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Оперативна доручення\"/>
    </mc:Choice>
  </mc:AlternateContent>
  <bookViews>
    <workbookView xWindow="0" yWindow="0" windowWidth="28800" windowHeight="11445" activeTab="11"/>
  </bookViews>
  <sheets>
    <sheet name="08.01.19" sheetId="1" r:id="rId1"/>
    <sheet name="14.01.19" sheetId="2" r:id="rId2"/>
    <sheet name="21.01.19" sheetId="3" r:id="rId3"/>
    <sheet name="28.01.19" sheetId="4" r:id="rId4"/>
    <sheet name="04.02.19" sheetId="5" r:id="rId5"/>
    <sheet name="11.02.19" sheetId="6" r:id="rId6"/>
    <sheet name="18.02.2019" sheetId="7" r:id="rId7"/>
    <sheet name="25.02.2019" sheetId="8" r:id="rId8"/>
    <sheet name="04.03.2019" sheetId="9" r:id="rId9"/>
    <sheet name="11.03.2019" sheetId="10" r:id="rId10"/>
    <sheet name="01.04.2019" sheetId="11" r:id="rId11"/>
    <sheet name="18.03.2019" sheetId="12" r:id="rId12"/>
    <sheet name="25.03.2019" sheetId="13" r:id="rId13"/>
    <sheet name="08.04.2019" sheetId="14" r:id="rId14"/>
    <sheet name="22.04.2019" sheetId="15" r:id="rId15"/>
    <sheet name="15.04.2019" sheetId="16" r:id="rId16"/>
    <sheet name="02.05.2019" sheetId="17" r:id="rId17"/>
    <sheet name="06.05.2019" sheetId="18" r:id="rId18"/>
    <sheet name="13.05.2019" sheetId="19" r:id="rId19"/>
    <sheet name="27.05.19" sheetId="20" r:id="rId20"/>
    <sheet name="20.05.2019" sheetId="21" r:id="rId21"/>
    <sheet name="03.06.19" sheetId="22" r:id="rId22"/>
    <sheet name="10.06.19" sheetId="23" r:id="rId23"/>
    <sheet name="17.06.19" sheetId="24" r:id="rId24"/>
    <sheet name="01.07.19" sheetId="25" r:id="rId25"/>
    <sheet name="08.07.19" sheetId="26" r:id="rId26"/>
    <sheet name="15.07.19" sheetId="27" r:id="rId27"/>
    <sheet name="29.07.19" sheetId="28" r:id="rId28"/>
    <sheet name=" 22.07.19" sheetId="29" r:id="rId29"/>
    <sheet name="05.08.19" sheetId="30" r:id="rId30"/>
    <sheet name="12.08.19" sheetId="31" r:id="rId31"/>
    <sheet name="19.08.19" sheetId="32" r:id="rId32"/>
    <sheet name="26.08.19" sheetId="33" r:id="rId33"/>
    <sheet name="02.09.19" sheetId="34" r:id="rId34"/>
    <sheet name="16.09.19" sheetId="35" r:id="rId35"/>
    <sheet name="23.09.19" sheetId="36" r:id="rId36"/>
    <sheet name=" 09.09.19" sheetId="37" r:id="rId37"/>
    <sheet name="30.09.19" sheetId="38" r:id="rId38"/>
    <sheet name="07.10.19" sheetId="39" r:id="rId39"/>
    <sheet name="15.10.19" sheetId="40" r:id="rId40"/>
    <sheet name="21.10.19" sheetId="41" r:id="rId41"/>
    <sheet name=" 28.10.19" sheetId="42" r:id="rId42"/>
    <sheet name="04.11.19" sheetId="43" r:id="rId43"/>
    <sheet name="11.11.19" sheetId="44" r:id="rId44"/>
    <sheet name=" 18.11.19" sheetId="45" r:id="rId45"/>
    <sheet name="25.11.19" sheetId="46" r:id="rId46"/>
    <sheet name=" 02.12.19" sheetId="47" r:id="rId47"/>
    <sheet name="09.12.19" sheetId="48" r:id="rId48"/>
    <sheet name="16.12.19" sheetId="49" r:id="rId49"/>
    <sheet name="23.12.19" sheetId="50" r:id="rId50"/>
    <sheet name="31.12.19" sheetId="51" r:id="rId51"/>
    <sheet name="Аркуш3" sheetId="52" r:id="rId52"/>
  </sheets>
  <calcPr calcId="152511"/>
  <fileRecoveryPr repairLoad="1"/>
</workbook>
</file>

<file path=xl/calcChain.xml><?xml version="1.0" encoding="utf-8"?>
<calcChain xmlns="http://schemas.openxmlformats.org/spreadsheetml/2006/main">
  <c r="T307" i="51" l="1"/>
  <c r="T308" i="51" s="1"/>
  <c r="S307" i="51"/>
  <c r="Q307" i="51"/>
  <c r="Q308" i="51" s="1"/>
  <c r="P307" i="51"/>
  <c r="P308" i="51" s="1"/>
  <c r="O307" i="51"/>
  <c r="O308" i="51" s="1"/>
  <c r="N307" i="51"/>
  <c r="N308" i="51" s="1"/>
  <c r="M307" i="51"/>
  <c r="K307" i="51"/>
  <c r="K308" i="51" s="1"/>
  <c r="J307" i="51"/>
  <c r="J308" i="51" s="1"/>
  <c r="I307" i="51"/>
  <c r="I308" i="51" s="1"/>
  <c r="H307" i="51"/>
  <c r="H308" i="51" s="1"/>
  <c r="G307" i="51"/>
  <c r="G308" i="51" s="1"/>
  <c r="T306" i="51"/>
  <c r="Q306" i="51"/>
  <c r="P306" i="51"/>
  <c r="O306" i="51"/>
  <c r="N306" i="51"/>
  <c r="K306" i="51"/>
  <c r="J306" i="51"/>
  <c r="I306" i="51"/>
  <c r="H306" i="51"/>
  <c r="G306" i="51"/>
  <c r="T305" i="51"/>
  <c r="S305" i="51"/>
  <c r="U305" i="51" s="1"/>
  <c r="Q305" i="51"/>
  <c r="P305" i="51"/>
  <c r="O305" i="51"/>
  <c r="N305" i="51"/>
  <c r="M305" i="51"/>
  <c r="K305" i="51"/>
  <c r="J305" i="51"/>
  <c r="V305" i="51" s="1"/>
  <c r="I305" i="51"/>
  <c r="H305" i="51"/>
  <c r="G305" i="51"/>
  <c r="U299" i="51"/>
  <c r="R299" i="51"/>
  <c r="Q299" i="51"/>
  <c r="P299" i="51"/>
  <c r="O299" i="51"/>
  <c r="L299" i="51"/>
  <c r="K299" i="51"/>
  <c r="J299" i="51"/>
  <c r="I299" i="51"/>
  <c r="H299" i="51"/>
  <c r="M298" i="51"/>
  <c r="S297" i="51"/>
  <c r="M297" i="51"/>
  <c r="S296" i="51"/>
  <c r="M296" i="51"/>
  <c r="S295" i="51"/>
  <c r="M295" i="51"/>
  <c r="T294" i="51"/>
  <c r="S294" i="51" s="1"/>
  <c r="M294" i="51"/>
  <c r="S293" i="51"/>
  <c r="M293" i="51"/>
  <c r="S291" i="51"/>
  <c r="M291" i="51"/>
  <c r="S290" i="51"/>
  <c r="M290" i="51"/>
  <c r="S289" i="51"/>
  <c r="M289" i="51"/>
  <c r="S288" i="51"/>
  <c r="M288" i="51"/>
  <c r="S287" i="51"/>
  <c r="M287" i="51"/>
  <c r="S286" i="51"/>
  <c r="M286" i="51"/>
  <c r="S285" i="51"/>
  <c r="M285" i="51"/>
  <c r="S284" i="51"/>
  <c r="N284" i="51"/>
  <c r="M284" i="51" s="1"/>
  <c r="S283" i="51"/>
  <c r="M283" i="51"/>
  <c r="T282" i="51"/>
  <c r="S282" i="51" s="1"/>
  <c r="N282" i="51"/>
  <c r="M282" i="51" s="1"/>
  <c r="S281" i="51"/>
  <c r="M281" i="51"/>
  <c r="T280" i="51"/>
  <c r="S280" i="51" s="1"/>
  <c r="M280" i="51"/>
  <c r="S279" i="51"/>
  <c r="M279" i="51"/>
  <c r="T278" i="51"/>
  <c r="S278" i="51"/>
  <c r="M278" i="51"/>
  <c r="S277" i="51"/>
  <c r="M277" i="51"/>
  <c r="T276" i="51"/>
  <c r="S276" i="51" s="1"/>
  <c r="M276" i="51"/>
  <c r="S275" i="51"/>
  <c r="M275" i="51"/>
  <c r="S274" i="51"/>
  <c r="N274" i="51"/>
  <c r="M274" i="51" s="1"/>
  <c r="S273" i="51"/>
  <c r="M273" i="51"/>
  <c r="T272" i="51"/>
  <c r="S272" i="51" s="1"/>
  <c r="M272" i="51"/>
  <c r="S271" i="51"/>
  <c r="M271" i="51"/>
  <c r="S270" i="51"/>
  <c r="M270" i="51"/>
  <c r="S269" i="51"/>
  <c r="M269" i="51"/>
  <c r="T268" i="51"/>
  <c r="S268" i="51"/>
  <c r="M268" i="51"/>
  <c r="S267" i="51"/>
  <c r="M267" i="51"/>
  <c r="S266" i="51"/>
  <c r="M266" i="51"/>
  <c r="S265" i="51"/>
  <c r="M265" i="51"/>
  <c r="S263" i="51"/>
  <c r="M263" i="51"/>
  <c r="S262" i="51"/>
  <c r="M262" i="51"/>
  <c r="S261" i="51"/>
  <c r="M261" i="51"/>
  <c r="T260" i="51"/>
  <c r="S260" i="51" s="1"/>
  <c r="M260" i="51"/>
  <c r="S259" i="51"/>
  <c r="M259" i="51"/>
  <c r="T258" i="51"/>
  <c r="S258" i="51"/>
  <c r="M258" i="51"/>
  <c r="S257" i="51"/>
  <c r="M257" i="51"/>
  <c r="S256" i="51"/>
  <c r="M256" i="51"/>
  <c r="S255" i="51"/>
  <c r="M255" i="51"/>
  <c r="S254" i="51"/>
  <c r="M254" i="51"/>
  <c r="S253" i="51"/>
  <c r="M253" i="51"/>
  <c r="S252" i="51"/>
  <c r="M252" i="51"/>
  <c r="S251" i="51"/>
  <c r="M251" i="51"/>
  <c r="T250" i="51"/>
  <c r="S250" i="51" s="1"/>
  <c r="M250" i="51"/>
  <c r="S249" i="51"/>
  <c r="M249" i="51"/>
  <c r="T248" i="51"/>
  <c r="S248" i="51"/>
  <c r="M248" i="51"/>
  <c r="S247" i="51"/>
  <c r="M247" i="51"/>
  <c r="S246" i="51"/>
  <c r="N246" i="51"/>
  <c r="M246" i="51"/>
  <c r="S245" i="51"/>
  <c r="M245" i="51"/>
  <c r="S244" i="51"/>
  <c r="M244" i="51"/>
  <c r="S243" i="51"/>
  <c r="M243" i="51"/>
  <c r="S242" i="51"/>
  <c r="M242" i="51"/>
  <c r="S241" i="51"/>
  <c r="M241" i="51"/>
  <c r="S240" i="51"/>
  <c r="M240" i="51"/>
  <c r="S239" i="51"/>
  <c r="M239" i="51"/>
  <c r="S238" i="51"/>
  <c r="M238" i="51"/>
  <c r="S237" i="51"/>
  <c r="M237" i="51"/>
  <c r="S235" i="51"/>
  <c r="M235" i="51"/>
  <c r="S233" i="51"/>
  <c r="M233" i="51"/>
  <c r="S232" i="51"/>
  <c r="M232" i="51"/>
  <c r="S231" i="51"/>
  <c r="M231" i="51"/>
  <c r="S230" i="51"/>
  <c r="M230" i="51"/>
  <c r="S229" i="51"/>
  <c r="M229" i="51"/>
  <c r="T228" i="51"/>
  <c r="S228" i="51"/>
  <c r="M228" i="51"/>
  <c r="S227" i="51"/>
  <c r="M227" i="51"/>
  <c r="S226" i="51"/>
  <c r="M226" i="51"/>
  <c r="S225" i="51"/>
  <c r="M225" i="51"/>
  <c r="T224" i="51"/>
  <c r="S224" i="51" s="1"/>
  <c r="N224" i="51"/>
  <c r="M224" i="51" s="1"/>
  <c r="S223" i="51"/>
  <c r="M223" i="51"/>
  <c r="T222" i="51"/>
  <c r="S222" i="51" s="1"/>
  <c r="M222" i="51"/>
  <c r="S221" i="51"/>
  <c r="M221" i="51"/>
  <c r="S220" i="51"/>
  <c r="M220" i="51"/>
  <c r="S219" i="51"/>
  <c r="M219" i="51"/>
  <c r="S218" i="51"/>
  <c r="M218" i="51"/>
  <c r="S217" i="51"/>
  <c r="M217" i="51"/>
  <c r="S215" i="51"/>
  <c r="M215" i="51"/>
  <c r="T214" i="51"/>
  <c r="S214" i="51"/>
  <c r="N214" i="51"/>
  <c r="M214" i="51"/>
  <c r="S213" i="51"/>
  <c r="M213" i="51"/>
  <c r="S212" i="51"/>
  <c r="M212" i="51"/>
  <c r="S211" i="51"/>
  <c r="M211" i="51"/>
  <c r="S210" i="51"/>
  <c r="M210" i="51"/>
  <c r="S209" i="51"/>
  <c r="M209" i="51"/>
  <c r="S208" i="51"/>
  <c r="M208" i="51"/>
  <c r="T207" i="51"/>
  <c r="S207" i="51"/>
  <c r="N207" i="51"/>
  <c r="M207" i="51"/>
  <c r="S206" i="51"/>
  <c r="M206" i="51"/>
  <c r="S205" i="51"/>
  <c r="M205" i="51"/>
  <c r="S204" i="51"/>
  <c r="M204" i="51"/>
  <c r="S203" i="51"/>
  <c r="M203" i="51"/>
  <c r="S202" i="51"/>
  <c r="M202" i="51"/>
  <c r="S201" i="51"/>
  <c r="M201" i="51"/>
  <c r="S200" i="51"/>
  <c r="M200" i="51"/>
  <c r="S199" i="51"/>
  <c r="M199" i="51"/>
  <c r="S198" i="51"/>
  <c r="M198" i="51"/>
  <c r="T197" i="51"/>
  <c r="S197" i="51"/>
  <c r="M197" i="51"/>
  <c r="S196" i="51"/>
  <c r="M196" i="51"/>
  <c r="S194" i="51"/>
  <c r="M194" i="51"/>
  <c r="S193" i="51"/>
  <c r="N193" i="51"/>
  <c r="M193" i="51"/>
  <c r="S192" i="51"/>
  <c r="M192" i="51"/>
  <c r="S191" i="51"/>
  <c r="N191" i="51"/>
  <c r="M191" i="51" s="1"/>
  <c r="S190" i="51"/>
  <c r="M190" i="51"/>
  <c r="T189" i="51"/>
  <c r="S189" i="51" s="1"/>
  <c r="N189" i="51"/>
  <c r="M189" i="51" s="1"/>
  <c r="S188" i="51"/>
  <c r="M188" i="51"/>
  <c r="S187" i="51"/>
  <c r="N187" i="51"/>
  <c r="M187" i="51" s="1"/>
  <c r="S186" i="51"/>
  <c r="M186" i="51"/>
  <c r="S185" i="51"/>
  <c r="M185" i="51"/>
  <c r="S184" i="51"/>
  <c r="M184" i="51"/>
  <c r="S183" i="51"/>
  <c r="M183" i="51"/>
  <c r="S182" i="51"/>
  <c r="M182" i="51"/>
  <c r="S181" i="51"/>
  <c r="M181" i="51"/>
  <c r="S180" i="51"/>
  <c r="M180" i="51"/>
  <c r="S179" i="51"/>
  <c r="M179" i="51"/>
  <c r="S178" i="51"/>
  <c r="M178" i="51"/>
  <c r="T177" i="51"/>
  <c r="S177" i="51" s="1"/>
  <c r="M177" i="51"/>
  <c r="S176" i="51"/>
  <c r="M176" i="51"/>
  <c r="T175" i="51"/>
  <c r="S175" i="51"/>
  <c r="M175" i="51"/>
  <c r="S174" i="51"/>
  <c r="M174" i="51"/>
  <c r="T173" i="51"/>
  <c r="S173" i="51" s="1"/>
  <c r="M173" i="51"/>
  <c r="S172" i="51"/>
  <c r="M172" i="51"/>
  <c r="T171" i="51"/>
  <c r="S171" i="51"/>
  <c r="N171" i="51"/>
  <c r="M171" i="51"/>
  <c r="S170" i="51"/>
  <c r="M170" i="51"/>
  <c r="M169" i="51"/>
  <c r="T168" i="51"/>
  <c r="S168" i="51" s="1"/>
  <c r="N168" i="51"/>
  <c r="M168" i="51" s="1"/>
  <c r="S167" i="51"/>
  <c r="M167" i="51"/>
  <c r="S166" i="51"/>
  <c r="M166" i="51"/>
  <c r="S165" i="51"/>
  <c r="M165" i="51"/>
  <c r="S164" i="51"/>
  <c r="M164" i="51"/>
  <c r="T163" i="51"/>
  <c r="S163" i="51" s="1"/>
  <c r="M163" i="51"/>
  <c r="S162" i="51"/>
  <c r="M162" i="51"/>
  <c r="S160" i="51"/>
  <c r="M160" i="51"/>
  <c r="S159" i="51"/>
  <c r="M159" i="51"/>
  <c r="S158" i="51"/>
  <c r="M158" i="51"/>
  <c r="T157" i="51"/>
  <c r="S157" i="51"/>
  <c r="N157" i="51"/>
  <c r="M157" i="51"/>
  <c r="S156" i="51"/>
  <c r="M156" i="51"/>
  <c r="T155" i="51"/>
  <c r="S155" i="51"/>
  <c r="M155" i="51"/>
  <c r="S154" i="51"/>
  <c r="M154" i="51"/>
  <c r="S153" i="51"/>
  <c r="M153" i="51"/>
  <c r="M152" i="51"/>
  <c r="S151" i="51"/>
  <c r="M151" i="51"/>
  <c r="S150" i="51"/>
  <c r="M150" i="51"/>
  <c r="S149" i="51"/>
  <c r="M149" i="51"/>
  <c r="S148" i="51"/>
  <c r="M148" i="51"/>
  <c r="S147" i="51"/>
  <c r="M147" i="51"/>
  <c r="S146" i="51"/>
  <c r="M146" i="51"/>
  <c r="S145" i="51"/>
  <c r="M145" i="51"/>
  <c r="S143" i="51"/>
  <c r="M143" i="51"/>
  <c r="S142" i="51"/>
  <c r="M142" i="51"/>
  <c r="S141" i="51"/>
  <c r="M141" i="51"/>
  <c r="S140" i="51"/>
  <c r="M140" i="51"/>
  <c r="S139" i="51"/>
  <c r="M139" i="51"/>
  <c r="S138" i="51"/>
  <c r="M138" i="51"/>
  <c r="S137" i="51"/>
  <c r="M137" i="51"/>
  <c r="T136" i="51"/>
  <c r="S136" i="51"/>
  <c r="M136" i="51"/>
  <c r="S135" i="51"/>
  <c r="M135" i="51"/>
  <c r="S134" i="51"/>
  <c r="M134" i="51"/>
  <c r="S133" i="51"/>
  <c r="M133" i="51"/>
  <c r="T132" i="51"/>
  <c r="S132" i="51" s="1"/>
  <c r="N132" i="51"/>
  <c r="M132" i="51" s="1"/>
  <c r="S131" i="51"/>
  <c r="M131" i="51"/>
  <c r="S130" i="51"/>
  <c r="M130" i="51"/>
  <c r="S129" i="51"/>
  <c r="M129" i="51"/>
  <c r="S128" i="51"/>
  <c r="M128" i="51"/>
  <c r="S127" i="51"/>
  <c r="M127" i="51"/>
  <c r="S126" i="51"/>
  <c r="T125" i="51"/>
  <c r="S125" i="51"/>
  <c r="M125" i="51"/>
  <c r="S124" i="51"/>
  <c r="M124" i="51"/>
  <c r="S123" i="51"/>
  <c r="M123" i="51"/>
  <c r="S122" i="51"/>
  <c r="M122" i="51"/>
  <c r="S121" i="51"/>
  <c r="M121" i="51"/>
  <c r="S120" i="51"/>
  <c r="M120" i="51"/>
  <c r="T119" i="51"/>
  <c r="S119" i="51" s="1"/>
  <c r="M119" i="51"/>
  <c r="S118" i="51"/>
  <c r="M118" i="51"/>
  <c r="T117" i="51"/>
  <c r="S117" i="51"/>
  <c r="M117" i="51"/>
  <c r="S116" i="51"/>
  <c r="M116" i="51"/>
  <c r="S115" i="51"/>
  <c r="N115" i="51"/>
  <c r="M115" i="51"/>
  <c r="S114" i="51"/>
  <c r="M114" i="51"/>
  <c r="T113" i="51"/>
  <c r="S113" i="51"/>
  <c r="N113" i="51"/>
  <c r="M113" i="51"/>
  <c r="S112" i="51"/>
  <c r="M112" i="51"/>
  <c r="S111" i="51"/>
  <c r="M111" i="51"/>
  <c r="S110" i="51"/>
  <c r="M110" i="51"/>
  <c r="S108" i="51"/>
  <c r="M108" i="51"/>
  <c r="S107" i="51"/>
  <c r="M107" i="51"/>
  <c r="S106" i="51"/>
  <c r="M106" i="51"/>
  <c r="S105" i="51"/>
  <c r="M105" i="51"/>
  <c r="S104" i="51"/>
  <c r="M104" i="51"/>
  <c r="T103" i="51"/>
  <c r="S103" i="51"/>
  <c r="N103" i="51"/>
  <c r="M103" i="51"/>
  <c r="S102" i="51"/>
  <c r="M102" i="51"/>
  <c r="T101" i="51"/>
  <c r="S101" i="51"/>
  <c r="S100" i="51"/>
  <c r="M100" i="51"/>
  <c r="S98" i="51"/>
  <c r="M98" i="51"/>
  <c r="S97" i="51"/>
  <c r="M97" i="51"/>
  <c r="S96" i="51"/>
  <c r="M96" i="51"/>
  <c r="S95" i="51"/>
  <c r="M95" i="51"/>
  <c r="S94" i="51"/>
  <c r="M94" i="51"/>
  <c r="S93" i="51"/>
  <c r="M93" i="51"/>
  <c r="S92" i="51"/>
  <c r="M92" i="51"/>
  <c r="S91" i="51"/>
  <c r="M91" i="51"/>
  <c r="S90" i="51"/>
  <c r="M90" i="51"/>
  <c r="S89" i="51"/>
  <c r="M89" i="51"/>
  <c r="S88" i="51"/>
  <c r="M88" i="51"/>
  <c r="S87" i="51"/>
  <c r="M87" i="51"/>
  <c r="S86" i="51"/>
  <c r="M86" i="51"/>
  <c r="S85" i="51"/>
  <c r="M85" i="51"/>
  <c r="S84" i="51"/>
  <c r="M84" i="51"/>
  <c r="S83" i="51"/>
  <c r="M83" i="51"/>
  <c r="S82" i="51"/>
  <c r="M82" i="51"/>
  <c r="S80" i="51"/>
  <c r="M80" i="51"/>
  <c r="S79" i="51"/>
  <c r="M79" i="51"/>
  <c r="S78" i="51"/>
  <c r="M78" i="51"/>
  <c r="S77" i="51"/>
  <c r="M77" i="51"/>
  <c r="S76" i="51"/>
  <c r="M76" i="51"/>
  <c r="T75" i="51"/>
  <c r="S75" i="51"/>
  <c r="M75" i="51"/>
  <c r="S74" i="51"/>
  <c r="M74" i="51"/>
  <c r="S73" i="51"/>
  <c r="M73" i="51"/>
  <c r="S72" i="51"/>
  <c r="M72" i="51"/>
  <c r="S71" i="51"/>
  <c r="M71" i="51"/>
  <c r="S70" i="51"/>
  <c r="M70" i="51"/>
  <c r="S69" i="51"/>
  <c r="M69" i="51"/>
  <c r="S68" i="51"/>
  <c r="M68" i="51"/>
  <c r="S67" i="51"/>
  <c r="M67" i="51"/>
  <c r="S66" i="51"/>
  <c r="M66" i="51"/>
  <c r="S65" i="51"/>
  <c r="M65" i="51"/>
  <c r="S64" i="51"/>
  <c r="M64" i="51"/>
  <c r="T63" i="51"/>
  <c r="S63" i="51" s="1"/>
  <c r="M63" i="51"/>
  <c r="S62" i="51"/>
  <c r="M62" i="51"/>
  <c r="S61" i="51"/>
  <c r="M61" i="51"/>
  <c r="S60" i="51"/>
  <c r="M60" i="51"/>
  <c r="T59" i="51"/>
  <c r="S59" i="51"/>
  <c r="M59" i="51"/>
  <c r="S58" i="51"/>
  <c r="M58" i="51"/>
  <c r="S57" i="51"/>
  <c r="M57" i="51"/>
  <c r="S56" i="51"/>
  <c r="M56" i="51"/>
  <c r="S55" i="51"/>
  <c r="M55" i="51"/>
  <c r="S54" i="51"/>
  <c r="M54" i="51"/>
  <c r="S53" i="51"/>
  <c r="M53" i="51"/>
  <c r="S52" i="51"/>
  <c r="M52" i="51"/>
  <c r="S51" i="51"/>
  <c r="M51" i="51"/>
  <c r="S50" i="51"/>
  <c r="M50" i="51"/>
  <c r="S49" i="51"/>
  <c r="M49" i="51"/>
  <c r="S48" i="51"/>
  <c r="M48" i="51"/>
  <c r="S47" i="51"/>
  <c r="M47" i="51"/>
  <c r="S46" i="51"/>
  <c r="M46" i="51"/>
  <c r="S45" i="51"/>
  <c r="M45" i="51"/>
  <c r="S44" i="51"/>
  <c r="M44" i="51"/>
  <c r="S43" i="51"/>
  <c r="M43" i="51"/>
  <c r="S42" i="51"/>
  <c r="M42" i="51"/>
  <c r="S41" i="51"/>
  <c r="M41" i="51"/>
  <c r="S40" i="51"/>
  <c r="M40" i="51"/>
  <c r="S39" i="51"/>
  <c r="M39" i="51"/>
  <c r="T38" i="51"/>
  <c r="S38" i="51" s="1"/>
  <c r="M38" i="51"/>
  <c r="S37" i="51"/>
  <c r="M37" i="51"/>
  <c r="S36" i="51"/>
  <c r="M36" i="51"/>
  <c r="S35" i="51"/>
  <c r="M35" i="51"/>
  <c r="S33" i="51"/>
  <c r="M33" i="51"/>
  <c r="S32" i="51"/>
  <c r="M32" i="51"/>
  <c r="S31" i="51"/>
  <c r="M31" i="51"/>
  <c r="T30" i="51"/>
  <c r="S30" i="51"/>
  <c r="M30" i="51"/>
  <c r="S29" i="51"/>
  <c r="M29" i="51"/>
  <c r="T28" i="51"/>
  <c r="S28" i="51" s="1"/>
  <c r="M28" i="51"/>
  <c r="S27" i="51"/>
  <c r="M27" i="51"/>
  <c r="T26" i="51"/>
  <c r="S26" i="51"/>
  <c r="N26" i="51"/>
  <c r="M26" i="51"/>
  <c r="S25" i="51"/>
  <c r="M25" i="51"/>
  <c r="S24" i="51"/>
  <c r="S23" i="51"/>
  <c r="M23" i="51"/>
  <c r="T22" i="51"/>
  <c r="S22" i="51" s="1"/>
  <c r="M22" i="51"/>
  <c r="S21" i="51"/>
  <c r="M21" i="51"/>
  <c r="S20" i="51"/>
  <c r="N20" i="51"/>
  <c r="M20" i="51" s="1"/>
  <c r="S19" i="51"/>
  <c r="M19" i="51"/>
  <c r="T18" i="51"/>
  <c r="S18" i="51" s="1"/>
  <c r="M18" i="51"/>
  <c r="S17" i="51"/>
  <c r="M17" i="51"/>
  <c r="T16" i="51"/>
  <c r="S306" i="51" s="1"/>
  <c r="S16" i="51"/>
  <c r="M16" i="51"/>
  <c r="S15" i="51"/>
  <c r="M15" i="51"/>
  <c r="S14" i="51"/>
  <c r="N14" i="51"/>
  <c r="M306" i="51" s="1"/>
  <c r="M14" i="51"/>
  <c r="S13" i="51"/>
  <c r="M13" i="51"/>
  <c r="S12" i="51"/>
  <c r="R306" i="51" s="1"/>
  <c r="M12" i="51"/>
  <c r="L306" i="51" s="1"/>
  <c r="S11" i="51"/>
  <c r="M11" i="51"/>
  <c r="S10" i="51"/>
  <c r="R307" i="51" s="1"/>
  <c r="M10" i="51"/>
  <c r="L307" i="51" s="1"/>
  <c r="S9" i="51"/>
  <c r="R305" i="51" s="1"/>
  <c r="M9" i="51"/>
  <c r="L305" i="51" s="1"/>
  <c r="T307" i="50"/>
  <c r="T308" i="50" s="1"/>
  <c r="S307" i="50"/>
  <c r="Q307" i="50"/>
  <c r="Q308" i="50" s="1"/>
  <c r="P307" i="50"/>
  <c r="P308" i="50" s="1"/>
  <c r="O307" i="50"/>
  <c r="O308" i="50" s="1"/>
  <c r="N307" i="50"/>
  <c r="N308" i="50" s="1"/>
  <c r="M307" i="50"/>
  <c r="K307" i="50"/>
  <c r="J307" i="50"/>
  <c r="J308" i="50" s="1"/>
  <c r="I307" i="50"/>
  <c r="H307" i="50"/>
  <c r="H308" i="50" s="1"/>
  <c r="G307" i="50"/>
  <c r="T306" i="50"/>
  <c r="Q306" i="50"/>
  <c r="P306" i="50"/>
  <c r="O306" i="50"/>
  <c r="N306" i="50"/>
  <c r="K306" i="50"/>
  <c r="J306" i="50"/>
  <c r="I306" i="50"/>
  <c r="H306" i="50"/>
  <c r="G306" i="50"/>
  <c r="T305" i="50"/>
  <c r="S305" i="50"/>
  <c r="Q305" i="50"/>
  <c r="P305" i="50"/>
  <c r="O305" i="50"/>
  <c r="N305" i="50"/>
  <c r="M305" i="50"/>
  <c r="K305" i="50"/>
  <c r="J305" i="50"/>
  <c r="V305" i="50" s="1"/>
  <c r="I305" i="50"/>
  <c r="H305" i="50"/>
  <c r="G305" i="50"/>
  <c r="U299" i="50"/>
  <c r="R299" i="50"/>
  <c r="Q299" i="50"/>
  <c r="P299" i="50"/>
  <c r="O299" i="50"/>
  <c r="L299" i="50"/>
  <c r="K299" i="50"/>
  <c r="J299" i="50"/>
  <c r="I299" i="50"/>
  <c r="H299" i="50"/>
  <c r="M298" i="50"/>
  <c r="S297" i="50"/>
  <c r="M297" i="50"/>
  <c r="S296" i="50"/>
  <c r="M296" i="50"/>
  <c r="S295" i="50"/>
  <c r="M295" i="50"/>
  <c r="T294" i="50"/>
  <c r="S294" i="50" s="1"/>
  <c r="N294" i="50"/>
  <c r="M294" i="50" s="1"/>
  <c r="S293" i="50"/>
  <c r="M293" i="50"/>
  <c r="S291" i="50"/>
  <c r="M291" i="50"/>
  <c r="S290" i="50"/>
  <c r="M290" i="50"/>
  <c r="S289" i="50"/>
  <c r="M289" i="50"/>
  <c r="S288" i="50"/>
  <c r="N288" i="50"/>
  <c r="M288" i="50"/>
  <c r="S287" i="50"/>
  <c r="M287" i="50"/>
  <c r="S286" i="50"/>
  <c r="M286" i="50"/>
  <c r="S285" i="50"/>
  <c r="M285" i="50"/>
  <c r="S284" i="50"/>
  <c r="N284" i="50"/>
  <c r="M284" i="50" s="1"/>
  <c r="S283" i="50"/>
  <c r="M283" i="50"/>
  <c r="T282" i="50"/>
  <c r="S282" i="50" s="1"/>
  <c r="N282" i="50"/>
  <c r="M282" i="50" s="1"/>
  <c r="S281" i="50"/>
  <c r="M281" i="50"/>
  <c r="T280" i="50"/>
  <c r="S280" i="50" s="1"/>
  <c r="N280" i="50"/>
  <c r="M280" i="50" s="1"/>
  <c r="S279" i="50"/>
  <c r="M279" i="50"/>
  <c r="T278" i="50"/>
  <c r="S278" i="50" s="1"/>
  <c r="N278" i="50"/>
  <c r="M278" i="50" s="1"/>
  <c r="S277" i="50"/>
  <c r="M277" i="50"/>
  <c r="T276" i="50"/>
  <c r="S276" i="50" s="1"/>
  <c r="M276" i="50"/>
  <c r="S275" i="50"/>
  <c r="M275" i="50"/>
  <c r="S274" i="50"/>
  <c r="N274" i="50"/>
  <c r="M274" i="50" s="1"/>
  <c r="S273" i="50"/>
  <c r="M273" i="50"/>
  <c r="T272" i="50"/>
  <c r="S272" i="50" s="1"/>
  <c r="M272" i="50"/>
  <c r="S271" i="50"/>
  <c r="M271" i="50"/>
  <c r="S270" i="50"/>
  <c r="N270" i="50"/>
  <c r="M270" i="50" s="1"/>
  <c r="S269" i="50"/>
  <c r="M269" i="50"/>
  <c r="T268" i="50"/>
  <c r="S268" i="50" s="1"/>
  <c r="M268" i="50"/>
  <c r="S267" i="50"/>
  <c r="M267" i="50"/>
  <c r="S266" i="50"/>
  <c r="M266" i="50"/>
  <c r="S265" i="50"/>
  <c r="M265" i="50"/>
  <c r="S263" i="50"/>
  <c r="M263" i="50"/>
  <c r="S262" i="50"/>
  <c r="N262" i="50"/>
  <c r="M262" i="50" s="1"/>
  <c r="S261" i="50"/>
  <c r="M261" i="50"/>
  <c r="T260" i="50"/>
  <c r="S260" i="50" s="1"/>
  <c r="M260" i="50"/>
  <c r="S259" i="50"/>
  <c r="M259" i="50"/>
  <c r="T258" i="50"/>
  <c r="S258" i="50"/>
  <c r="N258" i="50"/>
  <c r="M258" i="50"/>
  <c r="S257" i="50"/>
  <c r="M257" i="50"/>
  <c r="S256" i="50"/>
  <c r="M256" i="50"/>
  <c r="S255" i="50"/>
  <c r="M255" i="50"/>
  <c r="T254" i="50"/>
  <c r="S254" i="50"/>
  <c r="N254" i="50"/>
  <c r="M254" i="50"/>
  <c r="S253" i="50"/>
  <c r="M253" i="50"/>
  <c r="S252" i="50"/>
  <c r="M252" i="50"/>
  <c r="S251" i="50"/>
  <c r="M251" i="50"/>
  <c r="T250" i="50"/>
  <c r="S250" i="50"/>
  <c r="M250" i="50"/>
  <c r="S249" i="50"/>
  <c r="M249" i="50"/>
  <c r="T248" i="50"/>
  <c r="S248" i="50" s="1"/>
  <c r="M248" i="50"/>
  <c r="S247" i="50"/>
  <c r="M247" i="50"/>
  <c r="S246" i="50"/>
  <c r="N246" i="50"/>
  <c r="M246" i="50" s="1"/>
  <c r="S245" i="50"/>
  <c r="M245" i="50"/>
  <c r="S244" i="50"/>
  <c r="M244" i="50"/>
  <c r="S243" i="50"/>
  <c r="M243" i="50"/>
  <c r="S242" i="50"/>
  <c r="M242" i="50"/>
  <c r="S241" i="50"/>
  <c r="M241" i="50"/>
  <c r="S240" i="50"/>
  <c r="M240" i="50"/>
  <c r="S239" i="50"/>
  <c r="M239" i="50"/>
  <c r="S238" i="50"/>
  <c r="M238" i="50"/>
  <c r="S237" i="50"/>
  <c r="M237" i="50"/>
  <c r="S235" i="50"/>
  <c r="M235" i="50"/>
  <c r="S233" i="50"/>
  <c r="M233" i="50"/>
  <c r="S232" i="50"/>
  <c r="M232" i="50"/>
  <c r="S231" i="50"/>
  <c r="M231" i="50"/>
  <c r="S230" i="50"/>
  <c r="M230" i="50"/>
  <c r="S229" i="50"/>
  <c r="M229" i="50"/>
  <c r="T228" i="50"/>
  <c r="S228" i="50" s="1"/>
  <c r="N228" i="50"/>
  <c r="M228" i="50" s="1"/>
  <c r="S227" i="50"/>
  <c r="M227" i="50"/>
  <c r="S226" i="50"/>
  <c r="M226" i="50"/>
  <c r="S225" i="50"/>
  <c r="M225" i="50"/>
  <c r="T224" i="50"/>
  <c r="S224" i="50" s="1"/>
  <c r="N224" i="50"/>
  <c r="M224" i="50" s="1"/>
  <c r="S223" i="50"/>
  <c r="M223" i="50"/>
  <c r="T222" i="50"/>
  <c r="S222" i="50" s="1"/>
  <c r="N222" i="50"/>
  <c r="M222" i="50" s="1"/>
  <c r="S221" i="50"/>
  <c r="M221" i="50"/>
  <c r="S220" i="50"/>
  <c r="M220" i="50"/>
  <c r="S219" i="50"/>
  <c r="M219" i="50"/>
  <c r="S218" i="50"/>
  <c r="N218" i="50"/>
  <c r="M218" i="50"/>
  <c r="S217" i="50"/>
  <c r="M217" i="50"/>
  <c r="S215" i="50"/>
  <c r="M215" i="50"/>
  <c r="T214" i="50"/>
  <c r="S214" i="50"/>
  <c r="N214" i="50"/>
  <c r="M214" i="50"/>
  <c r="S213" i="50"/>
  <c r="M213" i="50"/>
  <c r="S212" i="50"/>
  <c r="M212" i="50"/>
  <c r="S211" i="50"/>
  <c r="M211" i="50"/>
  <c r="S210" i="50"/>
  <c r="M210" i="50"/>
  <c r="S209" i="50"/>
  <c r="M209" i="50"/>
  <c r="S208" i="50"/>
  <c r="M208" i="50"/>
  <c r="T207" i="50"/>
  <c r="S207" i="50"/>
  <c r="N207" i="50"/>
  <c r="M207" i="50"/>
  <c r="S206" i="50"/>
  <c r="M206" i="50"/>
  <c r="S205" i="50"/>
  <c r="N205" i="50"/>
  <c r="M205" i="50" s="1"/>
  <c r="S204" i="50"/>
  <c r="M204" i="50"/>
  <c r="S203" i="50"/>
  <c r="M203" i="50"/>
  <c r="S202" i="50"/>
  <c r="M202" i="50"/>
  <c r="S201" i="50"/>
  <c r="M201" i="50"/>
  <c r="S200" i="50"/>
  <c r="M200" i="50"/>
  <c r="S199" i="50"/>
  <c r="M199" i="50"/>
  <c r="S198" i="50"/>
  <c r="M198" i="50"/>
  <c r="T197" i="50"/>
  <c r="S197" i="50" s="1"/>
  <c r="N197" i="50"/>
  <c r="M197" i="50" s="1"/>
  <c r="S196" i="50"/>
  <c r="M196" i="50"/>
  <c r="S194" i="50"/>
  <c r="M194" i="50"/>
  <c r="S193" i="50"/>
  <c r="N193" i="50"/>
  <c r="M193" i="50"/>
  <c r="S192" i="50"/>
  <c r="M192" i="50"/>
  <c r="T191" i="50"/>
  <c r="S191" i="50"/>
  <c r="N191" i="50"/>
  <c r="M191" i="50"/>
  <c r="S190" i="50"/>
  <c r="M190" i="50"/>
  <c r="T189" i="50"/>
  <c r="S189" i="50"/>
  <c r="N189" i="50"/>
  <c r="M189" i="50"/>
  <c r="S188" i="50"/>
  <c r="M188" i="50"/>
  <c r="T187" i="50"/>
  <c r="S187" i="50"/>
  <c r="N187" i="50"/>
  <c r="M187" i="50"/>
  <c r="S186" i="50"/>
  <c r="M186" i="50"/>
  <c r="S185" i="50"/>
  <c r="M185" i="50"/>
  <c r="S184" i="50"/>
  <c r="M184" i="50"/>
  <c r="S183" i="50"/>
  <c r="M183" i="50"/>
  <c r="S182" i="50"/>
  <c r="M182" i="50"/>
  <c r="S181" i="50"/>
  <c r="M181" i="50"/>
  <c r="S180" i="50"/>
  <c r="M180" i="50"/>
  <c r="S179" i="50"/>
  <c r="M179" i="50"/>
  <c r="S178" i="50"/>
  <c r="M178" i="50"/>
  <c r="T177" i="50"/>
  <c r="S177" i="50"/>
  <c r="N177" i="50"/>
  <c r="M177" i="50"/>
  <c r="S176" i="50"/>
  <c r="M176" i="50"/>
  <c r="T175" i="50"/>
  <c r="S175" i="50"/>
  <c r="N175" i="50"/>
  <c r="M175" i="50"/>
  <c r="S174" i="50"/>
  <c r="M174" i="50"/>
  <c r="T173" i="50"/>
  <c r="S173" i="50"/>
  <c r="N173" i="50"/>
  <c r="M173" i="50"/>
  <c r="S172" i="50"/>
  <c r="M172" i="50"/>
  <c r="T171" i="50"/>
  <c r="S171" i="50"/>
  <c r="N171" i="50"/>
  <c r="M171" i="50"/>
  <c r="S170" i="50"/>
  <c r="M170" i="50"/>
  <c r="M169" i="50"/>
  <c r="T168" i="50"/>
  <c r="S168" i="50" s="1"/>
  <c r="N168" i="50"/>
  <c r="M168" i="50" s="1"/>
  <c r="S167" i="50"/>
  <c r="M167" i="50"/>
  <c r="S166" i="50"/>
  <c r="M166" i="50"/>
  <c r="S165" i="50"/>
  <c r="M165" i="50"/>
  <c r="S164" i="50"/>
  <c r="M164" i="50"/>
  <c r="T163" i="50"/>
  <c r="S163" i="50" s="1"/>
  <c r="N163" i="50"/>
  <c r="M163" i="50" s="1"/>
  <c r="S162" i="50"/>
  <c r="M162" i="50"/>
  <c r="S160" i="50"/>
  <c r="M160" i="50"/>
  <c r="S159" i="50"/>
  <c r="M159" i="50"/>
  <c r="S158" i="50"/>
  <c r="M158" i="50"/>
  <c r="T157" i="50"/>
  <c r="S157" i="50" s="1"/>
  <c r="N157" i="50"/>
  <c r="M157" i="50" s="1"/>
  <c r="S156" i="50"/>
  <c r="M156" i="50"/>
  <c r="T155" i="50"/>
  <c r="S155" i="50" s="1"/>
  <c r="N155" i="50"/>
  <c r="M155" i="50" s="1"/>
  <c r="S154" i="50"/>
  <c r="M154" i="50"/>
  <c r="T153" i="50"/>
  <c r="S153" i="50" s="1"/>
  <c r="M153" i="50"/>
  <c r="M152" i="50"/>
  <c r="S151" i="50"/>
  <c r="M151" i="50"/>
  <c r="S150" i="50"/>
  <c r="M150" i="50"/>
  <c r="S149" i="50"/>
  <c r="M149" i="50"/>
  <c r="S148" i="50"/>
  <c r="M148" i="50"/>
  <c r="S147" i="50"/>
  <c r="M147" i="50"/>
  <c r="S146" i="50"/>
  <c r="M146" i="50"/>
  <c r="S145" i="50"/>
  <c r="M145" i="50"/>
  <c r="S143" i="50"/>
  <c r="M143" i="50"/>
  <c r="S142" i="50"/>
  <c r="M142" i="50"/>
  <c r="S141" i="50"/>
  <c r="M141" i="50"/>
  <c r="S140" i="50"/>
  <c r="M140" i="50"/>
  <c r="S139" i="50"/>
  <c r="M139" i="50"/>
  <c r="S138" i="50"/>
  <c r="M138" i="50"/>
  <c r="S137" i="50"/>
  <c r="M137" i="50"/>
  <c r="T136" i="50"/>
  <c r="S136" i="50" s="1"/>
  <c r="M136" i="50"/>
  <c r="S135" i="50"/>
  <c r="M135" i="50"/>
  <c r="S134" i="50"/>
  <c r="M134" i="50"/>
  <c r="S133" i="50"/>
  <c r="M133" i="50"/>
  <c r="T132" i="50"/>
  <c r="S132" i="50"/>
  <c r="N132" i="50"/>
  <c r="M132" i="50"/>
  <c r="S131" i="50"/>
  <c r="M131" i="50"/>
  <c r="S130" i="50"/>
  <c r="M130" i="50"/>
  <c r="S129" i="50"/>
  <c r="M129" i="50"/>
  <c r="S128" i="50"/>
  <c r="M128" i="50"/>
  <c r="S127" i="50"/>
  <c r="M127" i="50"/>
  <c r="S126" i="50"/>
  <c r="T125" i="50"/>
  <c r="S125" i="50" s="1"/>
  <c r="N125" i="50"/>
  <c r="M125" i="50" s="1"/>
  <c r="S124" i="50"/>
  <c r="M124" i="50"/>
  <c r="T123" i="50"/>
  <c r="S123" i="50" s="1"/>
  <c r="N123" i="50"/>
  <c r="M123" i="50" s="1"/>
  <c r="S122" i="50"/>
  <c r="M122" i="50"/>
  <c r="S121" i="50"/>
  <c r="M121" i="50"/>
  <c r="S120" i="50"/>
  <c r="M120" i="50"/>
  <c r="T119" i="50"/>
  <c r="S119" i="50" s="1"/>
  <c r="N119" i="50"/>
  <c r="M119" i="50" s="1"/>
  <c r="S118" i="50"/>
  <c r="M118" i="50"/>
  <c r="T117" i="50"/>
  <c r="S117" i="50" s="1"/>
  <c r="N117" i="50"/>
  <c r="M117" i="50" s="1"/>
  <c r="S116" i="50"/>
  <c r="M116" i="50"/>
  <c r="S115" i="50"/>
  <c r="N115" i="50"/>
  <c r="M115" i="50"/>
  <c r="S114" i="50"/>
  <c r="M114" i="50"/>
  <c r="T113" i="50"/>
  <c r="S113" i="50"/>
  <c r="N113" i="50"/>
  <c r="M113" i="50"/>
  <c r="S112" i="50"/>
  <c r="M112" i="50"/>
  <c r="S111" i="50"/>
  <c r="N111" i="50"/>
  <c r="M111" i="50" s="1"/>
  <c r="S110" i="50"/>
  <c r="M110" i="50"/>
  <c r="S108" i="50"/>
  <c r="M108" i="50"/>
  <c r="S107" i="50"/>
  <c r="M107" i="50"/>
  <c r="S106" i="50"/>
  <c r="M106" i="50"/>
  <c r="S105" i="50"/>
  <c r="M105" i="50"/>
  <c r="S104" i="50"/>
  <c r="M104" i="50"/>
  <c r="T103" i="50"/>
  <c r="S103" i="50" s="1"/>
  <c r="N103" i="50"/>
  <c r="M103" i="50" s="1"/>
  <c r="S102" i="50"/>
  <c r="M102" i="50"/>
  <c r="T101" i="50"/>
  <c r="S101" i="50" s="1"/>
  <c r="N101" i="50"/>
  <c r="S100" i="50"/>
  <c r="M100" i="50"/>
  <c r="S98" i="50"/>
  <c r="M98" i="50"/>
  <c r="S97" i="50"/>
  <c r="M97" i="50"/>
  <c r="S96" i="50"/>
  <c r="M96" i="50"/>
  <c r="S95" i="50"/>
  <c r="M95" i="50"/>
  <c r="S94" i="50"/>
  <c r="M94" i="50"/>
  <c r="S93" i="50"/>
  <c r="M93" i="50"/>
  <c r="S92" i="50"/>
  <c r="M92" i="50"/>
  <c r="S91" i="50"/>
  <c r="M91" i="50"/>
  <c r="S90" i="50"/>
  <c r="M90" i="50"/>
  <c r="S89" i="50"/>
  <c r="M89" i="50"/>
  <c r="S88" i="50"/>
  <c r="M88" i="50"/>
  <c r="S87" i="50"/>
  <c r="N87" i="50"/>
  <c r="M87" i="50" s="1"/>
  <c r="S86" i="50"/>
  <c r="M86" i="50"/>
  <c r="S85" i="50"/>
  <c r="M85" i="50"/>
  <c r="S84" i="50"/>
  <c r="M84" i="50"/>
  <c r="S83" i="50"/>
  <c r="M83" i="50"/>
  <c r="S82" i="50"/>
  <c r="M82" i="50"/>
  <c r="S80" i="50"/>
  <c r="M80" i="50"/>
  <c r="S79" i="50"/>
  <c r="M79" i="50"/>
  <c r="S78" i="50"/>
  <c r="M78" i="50"/>
  <c r="S77" i="50"/>
  <c r="N77" i="50"/>
  <c r="M77" i="50"/>
  <c r="S76" i="50"/>
  <c r="M76" i="50"/>
  <c r="T75" i="50"/>
  <c r="S75" i="50"/>
  <c r="N75" i="50"/>
  <c r="M75" i="50"/>
  <c r="S74" i="50"/>
  <c r="M74" i="50"/>
  <c r="S73" i="50"/>
  <c r="M73" i="50"/>
  <c r="S72" i="50"/>
  <c r="M72" i="50"/>
  <c r="T71" i="50"/>
  <c r="S71" i="50"/>
  <c r="N71" i="50"/>
  <c r="M71" i="50"/>
  <c r="S70" i="50"/>
  <c r="M70" i="50"/>
  <c r="S69" i="50"/>
  <c r="N69" i="50"/>
  <c r="M69" i="50" s="1"/>
  <c r="S68" i="50"/>
  <c r="M68" i="50"/>
  <c r="S67" i="50"/>
  <c r="M67" i="50"/>
  <c r="S66" i="50"/>
  <c r="M66" i="50"/>
  <c r="S65" i="50"/>
  <c r="M65" i="50"/>
  <c r="S64" i="50"/>
  <c r="M64" i="50"/>
  <c r="T63" i="50"/>
  <c r="S63" i="50" s="1"/>
  <c r="N63" i="50"/>
  <c r="M63" i="50" s="1"/>
  <c r="S62" i="50"/>
  <c r="M62" i="50"/>
  <c r="S61" i="50"/>
  <c r="M61" i="50"/>
  <c r="S60" i="50"/>
  <c r="M60" i="50"/>
  <c r="T59" i="50"/>
  <c r="S59" i="50" s="1"/>
  <c r="N59" i="50"/>
  <c r="M59" i="50" s="1"/>
  <c r="S58" i="50"/>
  <c r="M58" i="50"/>
  <c r="S57" i="50"/>
  <c r="N57" i="50"/>
  <c r="M57" i="50"/>
  <c r="S56" i="50"/>
  <c r="M56" i="50"/>
  <c r="S55" i="50"/>
  <c r="M55" i="50"/>
  <c r="S54" i="50"/>
  <c r="M54" i="50"/>
  <c r="S53" i="50"/>
  <c r="N53" i="50"/>
  <c r="M53" i="50" s="1"/>
  <c r="S52" i="50"/>
  <c r="M52" i="50"/>
  <c r="S51" i="50"/>
  <c r="M51" i="50"/>
  <c r="S50" i="50"/>
  <c r="M50" i="50"/>
  <c r="S49" i="50"/>
  <c r="M49" i="50"/>
  <c r="S48" i="50"/>
  <c r="N48" i="50"/>
  <c r="M48" i="50"/>
  <c r="S47" i="50"/>
  <c r="M47" i="50"/>
  <c r="S46" i="50"/>
  <c r="M46" i="50"/>
  <c r="S45" i="50"/>
  <c r="M45" i="50"/>
  <c r="S44" i="50"/>
  <c r="M44" i="50"/>
  <c r="S43" i="50"/>
  <c r="M43" i="50"/>
  <c r="S42" i="50"/>
  <c r="M42" i="50"/>
  <c r="S41" i="50"/>
  <c r="M41" i="50"/>
  <c r="S40" i="50"/>
  <c r="M40" i="50"/>
  <c r="S39" i="50"/>
  <c r="M39" i="50"/>
  <c r="T38" i="50"/>
  <c r="S38" i="50"/>
  <c r="N38" i="50"/>
  <c r="M38" i="50"/>
  <c r="S37" i="50"/>
  <c r="M37" i="50"/>
  <c r="S36" i="50"/>
  <c r="M36" i="50"/>
  <c r="S35" i="50"/>
  <c r="M35" i="50"/>
  <c r="S33" i="50"/>
  <c r="M33" i="50"/>
  <c r="S32" i="50"/>
  <c r="M32" i="50"/>
  <c r="S31" i="50"/>
  <c r="M31" i="50"/>
  <c r="T30" i="50"/>
  <c r="S30" i="50"/>
  <c r="N30" i="50"/>
  <c r="M30" i="50"/>
  <c r="S29" i="50"/>
  <c r="M29" i="50"/>
  <c r="T28" i="50"/>
  <c r="S28" i="50"/>
  <c r="N28" i="50"/>
  <c r="M28" i="50"/>
  <c r="S27" i="50"/>
  <c r="M27" i="50"/>
  <c r="T26" i="50"/>
  <c r="S26" i="50"/>
  <c r="N26" i="50"/>
  <c r="M26" i="50"/>
  <c r="S25" i="50"/>
  <c r="M25" i="50"/>
  <c r="S24" i="50"/>
  <c r="M24" i="50"/>
  <c r="S23" i="50"/>
  <c r="M23" i="50"/>
  <c r="T22" i="50"/>
  <c r="S22" i="50"/>
  <c r="M22" i="50"/>
  <c r="S21" i="50"/>
  <c r="M21" i="50"/>
  <c r="S20" i="50"/>
  <c r="N20" i="50"/>
  <c r="M20" i="50"/>
  <c r="S19" i="50"/>
  <c r="M19" i="50"/>
  <c r="T18" i="50"/>
  <c r="S18" i="50"/>
  <c r="N18" i="50"/>
  <c r="M18" i="50"/>
  <c r="S17" i="50"/>
  <c r="M17" i="50"/>
  <c r="T16" i="50"/>
  <c r="S16" i="50"/>
  <c r="N16" i="50"/>
  <c r="M16" i="50"/>
  <c r="S15" i="50"/>
  <c r="M15" i="50"/>
  <c r="T14" i="50"/>
  <c r="S306" i="50" s="1"/>
  <c r="S14" i="50"/>
  <c r="N14" i="50"/>
  <c r="M306" i="50" s="1"/>
  <c r="S13" i="50"/>
  <c r="M13" i="50"/>
  <c r="S12" i="50"/>
  <c r="M12" i="50"/>
  <c r="S11" i="50"/>
  <c r="M11" i="50"/>
  <c r="S10" i="50"/>
  <c r="R307" i="50" s="1"/>
  <c r="M10" i="50"/>
  <c r="L307" i="50" s="1"/>
  <c r="S9" i="50"/>
  <c r="M9" i="50"/>
  <c r="T307" i="49"/>
  <c r="T308" i="49" s="1"/>
  <c r="S307" i="49"/>
  <c r="Q307" i="49"/>
  <c r="Q308" i="49" s="1"/>
  <c r="P307" i="49"/>
  <c r="P308" i="49" s="1"/>
  <c r="O307" i="49"/>
  <c r="O308" i="49" s="1"/>
  <c r="N307" i="49"/>
  <c r="N308" i="49" s="1"/>
  <c r="M307" i="49"/>
  <c r="M308" i="49" s="1"/>
  <c r="K307" i="49"/>
  <c r="K308" i="49" s="1"/>
  <c r="J307" i="49"/>
  <c r="J308" i="49" s="1"/>
  <c r="I307" i="49"/>
  <c r="I308" i="49" s="1"/>
  <c r="H307" i="49"/>
  <c r="H308" i="49" s="1"/>
  <c r="G307" i="49"/>
  <c r="G308" i="49" s="1"/>
  <c r="T306" i="49"/>
  <c r="Q306" i="49"/>
  <c r="P306" i="49"/>
  <c r="O306" i="49"/>
  <c r="N306" i="49"/>
  <c r="K306" i="49"/>
  <c r="J306" i="49"/>
  <c r="I306" i="49"/>
  <c r="H306" i="49"/>
  <c r="G306" i="49"/>
  <c r="T305" i="49"/>
  <c r="S305" i="49"/>
  <c r="U305" i="49" s="1"/>
  <c r="Q305" i="49"/>
  <c r="P305" i="49"/>
  <c r="O305" i="49"/>
  <c r="N305" i="49"/>
  <c r="M305" i="49"/>
  <c r="K305" i="49"/>
  <c r="J305" i="49"/>
  <c r="V305" i="49" s="1"/>
  <c r="I305" i="49"/>
  <c r="H305" i="49"/>
  <c r="G305" i="49"/>
  <c r="U299" i="49"/>
  <c r="R299" i="49"/>
  <c r="Q299" i="49"/>
  <c r="P299" i="49"/>
  <c r="O299" i="49"/>
  <c r="L299" i="49"/>
  <c r="K299" i="49"/>
  <c r="J299" i="49"/>
  <c r="I299" i="49"/>
  <c r="H299" i="49"/>
  <c r="M298" i="49"/>
  <c r="S297" i="49"/>
  <c r="M297" i="49"/>
  <c r="S296" i="49"/>
  <c r="M296" i="49"/>
  <c r="S295" i="49"/>
  <c r="M295" i="49"/>
  <c r="T294" i="49"/>
  <c r="S294" i="49"/>
  <c r="N294" i="49"/>
  <c r="M294" i="49"/>
  <c r="S293" i="49"/>
  <c r="M293" i="49"/>
  <c r="S291" i="49"/>
  <c r="M291" i="49"/>
  <c r="S290" i="49"/>
  <c r="M290" i="49"/>
  <c r="S289" i="49"/>
  <c r="M289" i="49"/>
  <c r="S288" i="49"/>
  <c r="N288" i="49"/>
  <c r="M288" i="49" s="1"/>
  <c r="S287" i="49"/>
  <c r="M287" i="49"/>
  <c r="S286" i="49"/>
  <c r="M286" i="49"/>
  <c r="S285" i="49"/>
  <c r="M285" i="49"/>
  <c r="S284" i="49"/>
  <c r="N284" i="49"/>
  <c r="M284" i="49"/>
  <c r="S283" i="49"/>
  <c r="M283" i="49"/>
  <c r="T282" i="49"/>
  <c r="S282" i="49"/>
  <c r="N282" i="49"/>
  <c r="M282" i="49"/>
  <c r="S281" i="49"/>
  <c r="M281" i="49"/>
  <c r="T280" i="49"/>
  <c r="S280" i="49"/>
  <c r="N280" i="49"/>
  <c r="M280" i="49"/>
  <c r="S279" i="49"/>
  <c r="M279" i="49"/>
  <c r="T278" i="49"/>
  <c r="S278" i="49"/>
  <c r="N278" i="49"/>
  <c r="M278" i="49"/>
  <c r="S277" i="49"/>
  <c r="M277" i="49"/>
  <c r="T276" i="49"/>
  <c r="S276" i="49"/>
  <c r="M276" i="49"/>
  <c r="S275" i="49"/>
  <c r="M275" i="49"/>
  <c r="S274" i="49"/>
  <c r="N274" i="49"/>
  <c r="M274" i="49"/>
  <c r="S273" i="49"/>
  <c r="M273" i="49"/>
  <c r="T272" i="49"/>
  <c r="S272" i="49"/>
  <c r="M272" i="49"/>
  <c r="S271" i="49"/>
  <c r="M271" i="49"/>
  <c r="S270" i="49"/>
  <c r="N270" i="49"/>
  <c r="M270" i="49"/>
  <c r="S269" i="49"/>
  <c r="M269" i="49"/>
  <c r="T268" i="49"/>
  <c r="S268" i="49"/>
  <c r="M268" i="49"/>
  <c r="S267" i="49"/>
  <c r="M267" i="49"/>
  <c r="S266" i="49"/>
  <c r="M266" i="49"/>
  <c r="S265" i="49"/>
  <c r="M265" i="49"/>
  <c r="S263" i="49"/>
  <c r="M263" i="49"/>
  <c r="S262" i="49"/>
  <c r="N262" i="49"/>
  <c r="M262" i="49"/>
  <c r="S261" i="49"/>
  <c r="M261" i="49"/>
  <c r="T260" i="49"/>
  <c r="S260" i="49"/>
  <c r="M260" i="49"/>
  <c r="S259" i="49"/>
  <c r="M259" i="49"/>
  <c r="T258" i="49"/>
  <c r="S258" i="49" s="1"/>
  <c r="N258" i="49"/>
  <c r="M258" i="49" s="1"/>
  <c r="S257" i="49"/>
  <c r="M257" i="49"/>
  <c r="S256" i="49"/>
  <c r="M256" i="49"/>
  <c r="S255" i="49"/>
  <c r="M255" i="49"/>
  <c r="T254" i="49"/>
  <c r="S254" i="49" s="1"/>
  <c r="N254" i="49"/>
  <c r="M254" i="49" s="1"/>
  <c r="S253" i="49"/>
  <c r="M253" i="49"/>
  <c r="S252" i="49"/>
  <c r="M252" i="49"/>
  <c r="S251" i="49"/>
  <c r="M251" i="49"/>
  <c r="T250" i="49"/>
  <c r="S250" i="49" s="1"/>
  <c r="M250" i="49"/>
  <c r="S249" i="49"/>
  <c r="M249" i="49"/>
  <c r="T248" i="49"/>
  <c r="S248" i="49"/>
  <c r="M248" i="49"/>
  <c r="S247" i="49"/>
  <c r="M247" i="49"/>
  <c r="S246" i="49"/>
  <c r="N246" i="49"/>
  <c r="M246" i="49"/>
  <c r="S245" i="49"/>
  <c r="M245" i="49"/>
  <c r="S244" i="49"/>
  <c r="M244" i="49"/>
  <c r="S243" i="49"/>
  <c r="M243" i="49"/>
  <c r="S242" i="49"/>
  <c r="M242" i="49"/>
  <c r="S241" i="49"/>
  <c r="M241" i="49"/>
  <c r="S240" i="49"/>
  <c r="M240" i="49"/>
  <c r="S239" i="49"/>
  <c r="M239" i="49"/>
  <c r="S238" i="49"/>
  <c r="M238" i="49"/>
  <c r="S237" i="49"/>
  <c r="M237" i="49"/>
  <c r="S235" i="49"/>
  <c r="M235" i="49"/>
  <c r="S233" i="49"/>
  <c r="M233" i="49"/>
  <c r="S232" i="49"/>
  <c r="M232" i="49"/>
  <c r="S231" i="49"/>
  <c r="M231" i="49"/>
  <c r="S230" i="49"/>
  <c r="M230" i="49"/>
  <c r="S229" i="49"/>
  <c r="M229" i="49"/>
  <c r="T228" i="49"/>
  <c r="S228" i="49"/>
  <c r="N228" i="49"/>
  <c r="M228" i="49"/>
  <c r="S227" i="49"/>
  <c r="M227" i="49"/>
  <c r="S226" i="49"/>
  <c r="M226" i="49"/>
  <c r="S225" i="49"/>
  <c r="M225" i="49"/>
  <c r="T224" i="49"/>
  <c r="S224" i="49"/>
  <c r="N224" i="49"/>
  <c r="M224" i="49"/>
  <c r="S223" i="49"/>
  <c r="M223" i="49"/>
  <c r="T222" i="49"/>
  <c r="S222" i="49"/>
  <c r="N222" i="49"/>
  <c r="M222" i="49"/>
  <c r="S221" i="49"/>
  <c r="M221" i="49"/>
  <c r="S220" i="49"/>
  <c r="M220" i="49"/>
  <c r="S219" i="49"/>
  <c r="M219" i="49"/>
  <c r="S218" i="49"/>
  <c r="N218" i="49"/>
  <c r="M218" i="49" s="1"/>
  <c r="S217" i="49"/>
  <c r="M217" i="49"/>
  <c r="S215" i="49"/>
  <c r="M215" i="49"/>
  <c r="T214" i="49"/>
  <c r="S214" i="49" s="1"/>
  <c r="N214" i="49"/>
  <c r="M214" i="49" s="1"/>
  <c r="S213" i="49"/>
  <c r="M213" i="49"/>
  <c r="S212" i="49"/>
  <c r="M212" i="49"/>
  <c r="S211" i="49"/>
  <c r="M211" i="49"/>
  <c r="S210" i="49"/>
  <c r="M210" i="49"/>
  <c r="S209" i="49"/>
  <c r="M209" i="49"/>
  <c r="S208" i="49"/>
  <c r="M208" i="49"/>
  <c r="T207" i="49"/>
  <c r="S207" i="49" s="1"/>
  <c r="N207" i="49"/>
  <c r="M207" i="49" s="1"/>
  <c r="S206" i="49"/>
  <c r="M206" i="49"/>
  <c r="S205" i="49"/>
  <c r="N205" i="49"/>
  <c r="M205" i="49"/>
  <c r="S204" i="49"/>
  <c r="M204" i="49"/>
  <c r="S203" i="49"/>
  <c r="M203" i="49"/>
  <c r="S202" i="49"/>
  <c r="M202" i="49"/>
  <c r="S201" i="49"/>
  <c r="M201" i="49"/>
  <c r="S200" i="49"/>
  <c r="M200" i="49"/>
  <c r="S199" i="49"/>
  <c r="M199" i="49"/>
  <c r="S198" i="49"/>
  <c r="M198" i="49"/>
  <c r="T197" i="49"/>
  <c r="S197" i="49"/>
  <c r="N197" i="49"/>
  <c r="M197" i="49"/>
  <c r="S196" i="49"/>
  <c r="M196" i="49"/>
  <c r="S194" i="49"/>
  <c r="M194" i="49"/>
  <c r="S193" i="49"/>
  <c r="N193" i="49"/>
  <c r="M193" i="49" s="1"/>
  <c r="S192" i="49"/>
  <c r="M192" i="49"/>
  <c r="T191" i="49"/>
  <c r="S191" i="49" s="1"/>
  <c r="N191" i="49"/>
  <c r="M191" i="49" s="1"/>
  <c r="S190" i="49"/>
  <c r="M190" i="49"/>
  <c r="T189" i="49"/>
  <c r="S189" i="49" s="1"/>
  <c r="N189" i="49"/>
  <c r="M189" i="49" s="1"/>
  <c r="S188" i="49"/>
  <c r="M188" i="49"/>
  <c r="T187" i="49"/>
  <c r="S187" i="49" s="1"/>
  <c r="N187" i="49"/>
  <c r="M187" i="49" s="1"/>
  <c r="S186" i="49"/>
  <c r="M186" i="49"/>
  <c r="S185" i="49"/>
  <c r="M185" i="49"/>
  <c r="S184" i="49"/>
  <c r="M184" i="49"/>
  <c r="S183" i="49"/>
  <c r="M183" i="49"/>
  <c r="S182" i="49"/>
  <c r="M182" i="49"/>
  <c r="S181" i="49"/>
  <c r="M181" i="49"/>
  <c r="S180" i="49"/>
  <c r="M180" i="49"/>
  <c r="S179" i="49"/>
  <c r="M179" i="49"/>
  <c r="S178" i="49"/>
  <c r="M178" i="49"/>
  <c r="T177" i="49"/>
  <c r="S177" i="49" s="1"/>
  <c r="N177" i="49"/>
  <c r="M177" i="49" s="1"/>
  <c r="S176" i="49"/>
  <c r="M176" i="49"/>
  <c r="T175" i="49"/>
  <c r="S175" i="49" s="1"/>
  <c r="N175" i="49"/>
  <c r="M175" i="49" s="1"/>
  <c r="S174" i="49"/>
  <c r="M174" i="49"/>
  <c r="T173" i="49"/>
  <c r="S173" i="49" s="1"/>
  <c r="N173" i="49"/>
  <c r="M173" i="49" s="1"/>
  <c r="S172" i="49"/>
  <c r="M172" i="49"/>
  <c r="T171" i="49"/>
  <c r="S171" i="49" s="1"/>
  <c r="N171" i="49"/>
  <c r="M171" i="49" s="1"/>
  <c r="S170" i="49"/>
  <c r="M170" i="49"/>
  <c r="M169" i="49"/>
  <c r="T168" i="49"/>
  <c r="S168" i="49"/>
  <c r="N168" i="49"/>
  <c r="M168" i="49"/>
  <c r="S167" i="49"/>
  <c r="M167" i="49"/>
  <c r="S166" i="49"/>
  <c r="M166" i="49"/>
  <c r="S165" i="49"/>
  <c r="M165" i="49"/>
  <c r="S164" i="49"/>
  <c r="M164" i="49"/>
  <c r="T163" i="49"/>
  <c r="S163" i="49"/>
  <c r="N163" i="49"/>
  <c r="M163" i="49"/>
  <c r="S162" i="49"/>
  <c r="M162" i="49"/>
  <c r="S160" i="49"/>
  <c r="M160" i="49"/>
  <c r="S159" i="49"/>
  <c r="M159" i="49"/>
  <c r="S158" i="49"/>
  <c r="M158" i="49"/>
  <c r="T157" i="49"/>
  <c r="S157" i="49"/>
  <c r="N157" i="49"/>
  <c r="M157" i="49"/>
  <c r="S156" i="49"/>
  <c r="M156" i="49"/>
  <c r="T155" i="49"/>
  <c r="S155" i="49"/>
  <c r="N155" i="49"/>
  <c r="M155" i="49"/>
  <c r="S154" i="49"/>
  <c r="M154" i="49"/>
  <c r="T153" i="49"/>
  <c r="S153" i="49"/>
  <c r="M153" i="49"/>
  <c r="M152" i="49"/>
  <c r="S151" i="49"/>
  <c r="M151" i="49"/>
  <c r="S150" i="49"/>
  <c r="M150" i="49"/>
  <c r="S149" i="49"/>
  <c r="M149" i="49"/>
  <c r="S148" i="49"/>
  <c r="M148" i="49"/>
  <c r="S147" i="49"/>
  <c r="M147" i="49"/>
  <c r="S146" i="49"/>
  <c r="M146" i="49"/>
  <c r="S145" i="49"/>
  <c r="M145" i="49"/>
  <c r="S143" i="49"/>
  <c r="M143" i="49"/>
  <c r="S142" i="49"/>
  <c r="M142" i="49"/>
  <c r="S141" i="49"/>
  <c r="M141" i="49"/>
  <c r="S140" i="49"/>
  <c r="M140" i="49"/>
  <c r="S139" i="49"/>
  <c r="M139" i="49"/>
  <c r="S138" i="49"/>
  <c r="M138" i="49"/>
  <c r="S137" i="49"/>
  <c r="M137" i="49"/>
  <c r="T136" i="49"/>
  <c r="S136" i="49"/>
  <c r="M136" i="49"/>
  <c r="S135" i="49"/>
  <c r="M135" i="49"/>
  <c r="S134" i="49"/>
  <c r="M134" i="49"/>
  <c r="S133" i="49"/>
  <c r="M133" i="49"/>
  <c r="T132" i="49"/>
  <c r="S132" i="49" s="1"/>
  <c r="N132" i="49"/>
  <c r="M132" i="49" s="1"/>
  <c r="S131" i="49"/>
  <c r="M131" i="49"/>
  <c r="S130" i="49"/>
  <c r="M130" i="49"/>
  <c r="S129" i="49"/>
  <c r="M129" i="49"/>
  <c r="S128" i="49"/>
  <c r="M128" i="49"/>
  <c r="S127" i="49"/>
  <c r="M127" i="49"/>
  <c r="S126" i="49"/>
  <c r="T125" i="49"/>
  <c r="S125" i="49"/>
  <c r="N125" i="49"/>
  <c r="M125" i="49"/>
  <c r="S124" i="49"/>
  <c r="M124" i="49"/>
  <c r="T123" i="49"/>
  <c r="S123" i="49"/>
  <c r="N123" i="49"/>
  <c r="M123" i="49"/>
  <c r="S122" i="49"/>
  <c r="M122" i="49"/>
  <c r="S121" i="49"/>
  <c r="M121" i="49"/>
  <c r="S120" i="49"/>
  <c r="M120" i="49"/>
  <c r="T119" i="49"/>
  <c r="S119" i="49"/>
  <c r="N119" i="49"/>
  <c r="M119" i="49"/>
  <c r="S118" i="49"/>
  <c r="M118" i="49"/>
  <c r="T117" i="49"/>
  <c r="S117" i="49"/>
  <c r="N117" i="49"/>
  <c r="M117" i="49"/>
  <c r="S116" i="49"/>
  <c r="M116" i="49"/>
  <c r="S115" i="49"/>
  <c r="N115" i="49"/>
  <c r="M115" i="49" s="1"/>
  <c r="S114" i="49"/>
  <c r="M114" i="49"/>
  <c r="T113" i="49"/>
  <c r="S113" i="49" s="1"/>
  <c r="N113" i="49"/>
  <c r="M113" i="49" s="1"/>
  <c r="S112" i="49"/>
  <c r="M112" i="49"/>
  <c r="S111" i="49"/>
  <c r="N111" i="49"/>
  <c r="M111" i="49"/>
  <c r="S110" i="49"/>
  <c r="M110" i="49"/>
  <c r="S108" i="49"/>
  <c r="M108" i="49"/>
  <c r="S107" i="49"/>
  <c r="M107" i="49"/>
  <c r="S106" i="49"/>
  <c r="M106" i="49"/>
  <c r="S105" i="49"/>
  <c r="M105" i="49"/>
  <c r="S104" i="49"/>
  <c r="M104" i="49"/>
  <c r="T103" i="49"/>
  <c r="S103" i="49"/>
  <c r="N103" i="49"/>
  <c r="M103" i="49"/>
  <c r="S102" i="49"/>
  <c r="M102" i="49"/>
  <c r="T101" i="49"/>
  <c r="S101" i="49"/>
  <c r="N101" i="49"/>
  <c r="S100" i="49"/>
  <c r="M100" i="49"/>
  <c r="S98" i="49"/>
  <c r="M98" i="49"/>
  <c r="S97" i="49"/>
  <c r="M97" i="49"/>
  <c r="S96" i="49"/>
  <c r="M96" i="49"/>
  <c r="S95" i="49"/>
  <c r="M95" i="49"/>
  <c r="S94" i="49"/>
  <c r="M94" i="49"/>
  <c r="S93" i="49"/>
  <c r="M93" i="49"/>
  <c r="S92" i="49"/>
  <c r="M92" i="49"/>
  <c r="S91" i="49"/>
  <c r="M91" i="49"/>
  <c r="S90" i="49"/>
  <c r="M90" i="49"/>
  <c r="S89" i="49"/>
  <c r="M89" i="49"/>
  <c r="S88" i="49"/>
  <c r="M88" i="49"/>
  <c r="S87" i="49"/>
  <c r="N87" i="49"/>
  <c r="M87" i="49"/>
  <c r="S86" i="49"/>
  <c r="M86" i="49"/>
  <c r="S85" i="49"/>
  <c r="M85" i="49"/>
  <c r="S84" i="49"/>
  <c r="M84" i="49"/>
  <c r="S83" i="49"/>
  <c r="M83" i="49"/>
  <c r="S82" i="49"/>
  <c r="M82" i="49"/>
  <c r="S80" i="49"/>
  <c r="M80" i="49"/>
  <c r="S79" i="49"/>
  <c r="M79" i="49"/>
  <c r="S78" i="49"/>
  <c r="M78" i="49"/>
  <c r="S77" i="49"/>
  <c r="N77" i="49"/>
  <c r="M77" i="49" s="1"/>
  <c r="S76" i="49"/>
  <c r="M76" i="49"/>
  <c r="T75" i="49"/>
  <c r="S75" i="49" s="1"/>
  <c r="N75" i="49"/>
  <c r="M75" i="49" s="1"/>
  <c r="S74" i="49"/>
  <c r="M74" i="49"/>
  <c r="S73" i="49"/>
  <c r="M73" i="49"/>
  <c r="S72" i="49"/>
  <c r="M72" i="49"/>
  <c r="T71" i="49"/>
  <c r="S71" i="49" s="1"/>
  <c r="N71" i="49"/>
  <c r="M71" i="49" s="1"/>
  <c r="S70" i="49"/>
  <c r="M70" i="49"/>
  <c r="S69" i="49"/>
  <c r="N69" i="49"/>
  <c r="M69" i="49"/>
  <c r="S68" i="49"/>
  <c r="M68" i="49"/>
  <c r="S67" i="49"/>
  <c r="M67" i="49"/>
  <c r="S66" i="49"/>
  <c r="M66" i="49"/>
  <c r="S65" i="49"/>
  <c r="M65" i="49"/>
  <c r="S64" i="49"/>
  <c r="M64" i="49"/>
  <c r="T63" i="49"/>
  <c r="S63" i="49"/>
  <c r="N63" i="49"/>
  <c r="M63" i="49"/>
  <c r="S62" i="49"/>
  <c r="M62" i="49"/>
  <c r="S61" i="49"/>
  <c r="M61" i="49"/>
  <c r="S60" i="49"/>
  <c r="M60" i="49"/>
  <c r="T59" i="49"/>
  <c r="S59" i="49"/>
  <c r="N59" i="49"/>
  <c r="M59" i="49"/>
  <c r="S58" i="49"/>
  <c r="M58" i="49"/>
  <c r="S57" i="49"/>
  <c r="N57" i="49"/>
  <c r="M57" i="49" s="1"/>
  <c r="S56" i="49"/>
  <c r="M56" i="49"/>
  <c r="S55" i="49"/>
  <c r="M55" i="49"/>
  <c r="S54" i="49"/>
  <c r="M54" i="49"/>
  <c r="S53" i="49"/>
  <c r="N53" i="49"/>
  <c r="M53" i="49"/>
  <c r="S52" i="49"/>
  <c r="M52" i="49"/>
  <c r="S51" i="49"/>
  <c r="M51" i="49"/>
  <c r="S50" i="49"/>
  <c r="M50" i="49"/>
  <c r="S49" i="49"/>
  <c r="M49" i="49"/>
  <c r="S48" i="49"/>
  <c r="N48" i="49"/>
  <c r="M48" i="49" s="1"/>
  <c r="S47" i="49"/>
  <c r="M47" i="49"/>
  <c r="S46" i="49"/>
  <c r="M46" i="49"/>
  <c r="S45" i="49"/>
  <c r="M45" i="49"/>
  <c r="S44" i="49"/>
  <c r="M44" i="49"/>
  <c r="S43" i="49"/>
  <c r="M43" i="49"/>
  <c r="S42" i="49"/>
  <c r="M42" i="49"/>
  <c r="S41" i="49"/>
  <c r="M41" i="49"/>
  <c r="S40" i="49"/>
  <c r="M40" i="49"/>
  <c r="S39" i="49"/>
  <c r="M39" i="49"/>
  <c r="T38" i="49"/>
  <c r="S38" i="49" s="1"/>
  <c r="N38" i="49"/>
  <c r="M38" i="49" s="1"/>
  <c r="S37" i="49"/>
  <c r="M37" i="49"/>
  <c r="S36" i="49"/>
  <c r="M36" i="49"/>
  <c r="S35" i="49"/>
  <c r="M35" i="49"/>
  <c r="S33" i="49"/>
  <c r="M33" i="49"/>
  <c r="S32" i="49"/>
  <c r="M32" i="49"/>
  <c r="S31" i="49"/>
  <c r="M31" i="49"/>
  <c r="T30" i="49"/>
  <c r="S30" i="49" s="1"/>
  <c r="N30" i="49"/>
  <c r="M30" i="49" s="1"/>
  <c r="S29" i="49"/>
  <c r="M29" i="49"/>
  <c r="T28" i="49"/>
  <c r="S28" i="49" s="1"/>
  <c r="N28" i="49"/>
  <c r="M28" i="49" s="1"/>
  <c r="S27" i="49"/>
  <c r="M27" i="49"/>
  <c r="T26" i="49"/>
  <c r="S26" i="49" s="1"/>
  <c r="N26" i="49"/>
  <c r="M26" i="49" s="1"/>
  <c r="S25" i="49"/>
  <c r="M25" i="49"/>
  <c r="S24" i="49"/>
  <c r="M24" i="49"/>
  <c r="S23" i="49"/>
  <c r="M23" i="49"/>
  <c r="T22" i="49"/>
  <c r="S22" i="49" s="1"/>
  <c r="M22" i="49"/>
  <c r="S21" i="49"/>
  <c r="M21" i="49"/>
  <c r="S20" i="49"/>
  <c r="N20" i="49"/>
  <c r="M20" i="49" s="1"/>
  <c r="S19" i="49"/>
  <c r="M19" i="49"/>
  <c r="T18" i="49"/>
  <c r="S18" i="49" s="1"/>
  <c r="N18" i="49"/>
  <c r="M18" i="49" s="1"/>
  <c r="S17" i="49"/>
  <c r="M17" i="49"/>
  <c r="T16" i="49"/>
  <c r="S16" i="49" s="1"/>
  <c r="N16" i="49"/>
  <c r="M16" i="49" s="1"/>
  <c r="S15" i="49"/>
  <c r="M15" i="49"/>
  <c r="T14" i="49"/>
  <c r="S306" i="49" s="1"/>
  <c r="U306" i="49" s="1"/>
  <c r="N14" i="49"/>
  <c r="M306" i="49" s="1"/>
  <c r="S13" i="49"/>
  <c r="M13" i="49"/>
  <c r="S12" i="49"/>
  <c r="M12" i="49"/>
  <c r="S11" i="49"/>
  <c r="M11" i="49"/>
  <c r="S10" i="49"/>
  <c r="R307" i="49" s="1"/>
  <c r="M10" i="49"/>
  <c r="L307" i="49" s="1"/>
  <c r="S9" i="49"/>
  <c r="R305" i="49" s="1"/>
  <c r="M9" i="49"/>
  <c r="L305" i="49" s="1"/>
  <c r="T307" i="48"/>
  <c r="T308" i="48" s="1"/>
  <c r="S307" i="48"/>
  <c r="Q307" i="48"/>
  <c r="Q308" i="48" s="1"/>
  <c r="P307" i="48"/>
  <c r="P308" i="48" s="1"/>
  <c r="O307" i="48"/>
  <c r="O308" i="48" s="1"/>
  <c r="N307" i="48"/>
  <c r="N308" i="48" s="1"/>
  <c r="M307" i="48"/>
  <c r="K307" i="48"/>
  <c r="K308" i="48" s="1"/>
  <c r="J307" i="48"/>
  <c r="J308" i="48" s="1"/>
  <c r="I307" i="48"/>
  <c r="I308" i="48" s="1"/>
  <c r="H307" i="48"/>
  <c r="H308" i="48" s="1"/>
  <c r="G307" i="48"/>
  <c r="G308" i="48" s="1"/>
  <c r="T306" i="48"/>
  <c r="Q306" i="48"/>
  <c r="P306" i="48"/>
  <c r="O306" i="48"/>
  <c r="N306" i="48"/>
  <c r="K306" i="48"/>
  <c r="J306" i="48"/>
  <c r="I306" i="48"/>
  <c r="H306" i="48"/>
  <c r="G306" i="48"/>
  <c r="T305" i="48"/>
  <c r="S305" i="48"/>
  <c r="U305" i="48" s="1"/>
  <c r="Q305" i="48"/>
  <c r="P305" i="48"/>
  <c r="O305" i="48"/>
  <c r="N305" i="48"/>
  <c r="M305" i="48"/>
  <c r="K305" i="48"/>
  <c r="J305" i="48"/>
  <c r="V305" i="48" s="1"/>
  <c r="I305" i="48"/>
  <c r="H305" i="48"/>
  <c r="G305" i="48"/>
  <c r="U299" i="48"/>
  <c r="R299" i="48"/>
  <c r="Q299" i="48"/>
  <c r="P299" i="48"/>
  <c r="O299" i="48"/>
  <c r="L299" i="48"/>
  <c r="K299" i="48"/>
  <c r="J299" i="48"/>
  <c r="I299" i="48"/>
  <c r="H299" i="48"/>
  <c r="M298" i="48"/>
  <c r="S297" i="48"/>
  <c r="M297" i="48"/>
  <c r="S296" i="48"/>
  <c r="M296" i="48"/>
  <c r="S295" i="48"/>
  <c r="M295" i="48"/>
  <c r="T294" i="48"/>
  <c r="S294" i="48"/>
  <c r="N294" i="48"/>
  <c r="M294" i="48"/>
  <c r="S293" i="48"/>
  <c r="M293" i="48"/>
  <c r="S291" i="48"/>
  <c r="M291" i="48"/>
  <c r="S290" i="48"/>
  <c r="M290" i="48"/>
  <c r="S289" i="48"/>
  <c r="M289" i="48"/>
  <c r="S288" i="48"/>
  <c r="N288" i="48"/>
  <c r="M288" i="48" s="1"/>
  <c r="S287" i="48"/>
  <c r="M287" i="48"/>
  <c r="S286" i="48"/>
  <c r="M286" i="48"/>
  <c r="S285" i="48"/>
  <c r="M285" i="48"/>
  <c r="S284" i="48"/>
  <c r="N284" i="48"/>
  <c r="M284" i="48"/>
  <c r="S283" i="48"/>
  <c r="M283" i="48"/>
  <c r="T282" i="48"/>
  <c r="S282" i="48"/>
  <c r="N282" i="48"/>
  <c r="M282" i="48"/>
  <c r="S281" i="48"/>
  <c r="M281" i="48"/>
  <c r="T280" i="48"/>
  <c r="S280" i="48"/>
  <c r="N280" i="48"/>
  <c r="M280" i="48"/>
  <c r="S279" i="48"/>
  <c r="M279" i="48"/>
  <c r="T278" i="48"/>
  <c r="S278" i="48"/>
  <c r="N278" i="48"/>
  <c r="M278" i="48"/>
  <c r="S277" i="48"/>
  <c r="M277" i="48"/>
  <c r="T276" i="48"/>
  <c r="S276" i="48"/>
  <c r="M276" i="48"/>
  <c r="S275" i="48"/>
  <c r="M275" i="48"/>
  <c r="S274" i="48"/>
  <c r="N274" i="48"/>
  <c r="M274" i="48"/>
  <c r="S273" i="48"/>
  <c r="M273" i="48"/>
  <c r="T272" i="48"/>
  <c r="S272" i="48"/>
  <c r="M272" i="48"/>
  <c r="S271" i="48"/>
  <c r="M271" i="48"/>
  <c r="S270" i="48"/>
  <c r="N270" i="48"/>
  <c r="M270" i="48"/>
  <c r="S269" i="48"/>
  <c r="M269" i="48"/>
  <c r="T268" i="48"/>
  <c r="S268" i="48"/>
  <c r="M268" i="48"/>
  <c r="S267" i="48"/>
  <c r="M267" i="48"/>
  <c r="S266" i="48"/>
  <c r="M266" i="48"/>
  <c r="S265" i="48"/>
  <c r="M265" i="48"/>
  <c r="S263" i="48"/>
  <c r="M263" i="48"/>
  <c r="S262" i="48"/>
  <c r="N262" i="48"/>
  <c r="M262" i="48"/>
  <c r="S261" i="48"/>
  <c r="M261" i="48"/>
  <c r="T260" i="48"/>
  <c r="S260" i="48"/>
  <c r="M260" i="48"/>
  <c r="S259" i="48"/>
  <c r="M259" i="48"/>
  <c r="T258" i="48"/>
  <c r="S258" i="48" s="1"/>
  <c r="N258" i="48"/>
  <c r="M258" i="48" s="1"/>
  <c r="S257" i="48"/>
  <c r="M257" i="48"/>
  <c r="S256" i="48"/>
  <c r="M256" i="48"/>
  <c r="S255" i="48"/>
  <c r="M255" i="48"/>
  <c r="T254" i="48"/>
  <c r="S254" i="48" s="1"/>
  <c r="N254" i="48"/>
  <c r="M254" i="48" s="1"/>
  <c r="S253" i="48"/>
  <c r="M253" i="48"/>
  <c r="S252" i="48"/>
  <c r="M252" i="48"/>
  <c r="S251" i="48"/>
  <c r="M251" i="48"/>
  <c r="T250" i="48"/>
  <c r="S250" i="48" s="1"/>
  <c r="M250" i="48"/>
  <c r="S249" i="48"/>
  <c r="M249" i="48"/>
  <c r="T248" i="48"/>
  <c r="S248" i="48"/>
  <c r="M248" i="48"/>
  <c r="S247" i="48"/>
  <c r="M247" i="48"/>
  <c r="S246" i="48"/>
  <c r="N246" i="48"/>
  <c r="M246" i="48"/>
  <c r="S245" i="48"/>
  <c r="M245" i="48"/>
  <c r="S244" i="48"/>
  <c r="M244" i="48"/>
  <c r="S243" i="48"/>
  <c r="M243" i="48"/>
  <c r="S242" i="48"/>
  <c r="M242" i="48"/>
  <c r="S241" i="48"/>
  <c r="M241" i="48"/>
  <c r="S240" i="48"/>
  <c r="M240" i="48"/>
  <c r="S239" i="48"/>
  <c r="M239" i="48"/>
  <c r="S238" i="48"/>
  <c r="M238" i="48"/>
  <c r="S237" i="48"/>
  <c r="M237" i="48"/>
  <c r="S235" i="48"/>
  <c r="M235" i="48"/>
  <c r="S233" i="48"/>
  <c r="M233" i="48"/>
  <c r="S232" i="48"/>
  <c r="M232" i="48"/>
  <c r="S231" i="48"/>
  <c r="M231" i="48"/>
  <c r="S230" i="48"/>
  <c r="M230" i="48"/>
  <c r="S229" i="48"/>
  <c r="M229" i="48"/>
  <c r="T228" i="48"/>
  <c r="S228" i="48"/>
  <c r="N228" i="48"/>
  <c r="M228" i="48"/>
  <c r="S227" i="48"/>
  <c r="M227" i="48"/>
  <c r="S226" i="48"/>
  <c r="M226" i="48"/>
  <c r="S225" i="48"/>
  <c r="M225" i="48"/>
  <c r="T224" i="48"/>
  <c r="S224" i="48"/>
  <c r="N224" i="48"/>
  <c r="M224" i="48"/>
  <c r="S223" i="48"/>
  <c r="M223" i="48"/>
  <c r="T222" i="48"/>
  <c r="S222" i="48"/>
  <c r="N222" i="48"/>
  <c r="M222" i="48"/>
  <c r="S221" i="48"/>
  <c r="M221" i="48"/>
  <c r="S220" i="48"/>
  <c r="M220" i="48"/>
  <c r="S219" i="48"/>
  <c r="M219" i="48"/>
  <c r="S218" i="48"/>
  <c r="N218" i="48"/>
  <c r="M218" i="48" s="1"/>
  <c r="S217" i="48"/>
  <c r="M217" i="48"/>
  <c r="S215" i="48"/>
  <c r="M215" i="48"/>
  <c r="T214" i="48"/>
  <c r="S214" i="48" s="1"/>
  <c r="N214" i="48"/>
  <c r="M214" i="48" s="1"/>
  <c r="S213" i="48"/>
  <c r="M213" i="48"/>
  <c r="S212" i="48"/>
  <c r="M212" i="48"/>
  <c r="S211" i="48"/>
  <c r="M211" i="48"/>
  <c r="S210" i="48"/>
  <c r="M210" i="48"/>
  <c r="S209" i="48"/>
  <c r="M209" i="48"/>
  <c r="S208" i="48"/>
  <c r="M208" i="48"/>
  <c r="T207" i="48"/>
  <c r="S207" i="48" s="1"/>
  <c r="N207" i="48"/>
  <c r="M207" i="48" s="1"/>
  <c r="S206" i="48"/>
  <c r="M206" i="48"/>
  <c r="S205" i="48"/>
  <c r="N205" i="48"/>
  <c r="M205" i="48"/>
  <c r="S204" i="48"/>
  <c r="M204" i="48"/>
  <c r="S203" i="48"/>
  <c r="M203" i="48"/>
  <c r="S202" i="48"/>
  <c r="M202" i="48"/>
  <c r="S201" i="48"/>
  <c r="M201" i="48"/>
  <c r="S200" i="48"/>
  <c r="M200" i="48"/>
  <c r="S199" i="48"/>
  <c r="M199" i="48"/>
  <c r="S198" i="48"/>
  <c r="M198" i="48"/>
  <c r="T197" i="48"/>
  <c r="S197" i="48"/>
  <c r="N197" i="48"/>
  <c r="M197" i="48"/>
  <c r="S196" i="48"/>
  <c r="M196" i="48"/>
  <c r="M195" i="48"/>
  <c r="S194" i="48"/>
  <c r="M194" i="48"/>
  <c r="S193" i="48"/>
  <c r="N193" i="48"/>
  <c r="M193" i="48"/>
  <c r="S192" i="48"/>
  <c r="M192" i="48"/>
  <c r="T191" i="48"/>
  <c r="S191" i="48"/>
  <c r="N191" i="48"/>
  <c r="M191" i="48"/>
  <c r="S190" i="48"/>
  <c r="M190" i="48"/>
  <c r="T189" i="48"/>
  <c r="S189" i="48"/>
  <c r="N189" i="48"/>
  <c r="M189" i="48"/>
  <c r="S188" i="48"/>
  <c r="M188" i="48"/>
  <c r="T187" i="48"/>
  <c r="S187" i="48"/>
  <c r="N187" i="48"/>
  <c r="M187" i="48"/>
  <c r="S186" i="48"/>
  <c r="M186" i="48"/>
  <c r="S185" i="48"/>
  <c r="M185" i="48"/>
  <c r="S184" i="48"/>
  <c r="M184" i="48"/>
  <c r="S183" i="48"/>
  <c r="M183" i="48"/>
  <c r="S182" i="48"/>
  <c r="M182" i="48"/>
  <c r="S181" i="48"/>
  <c r="M181" i="48"/>
  <c r="S180" i="48"/>
  <c r="M180" i="48"/>
  <c r="S179" i="48"/>
  <c r="M179" i="48"/>
  <c r="S178" i="48"/>
  <c r="M178" i="48"/>
  <c r="T177" i="48"/>
  <c r="S177" i="48"/>
  <c r="N177" i="48"/>
  <c r="M177" i="48"/>
  <c r="S176" i="48"/>
  <c r="M176" i="48"/>
  <c r="T175" i="48"/>
  <c r="S175" i="48"/>
  <c r="N175" i="48"/>
  <c r="M175" i="48"/>
  <c r="S174" i="48"/>
  <c r="M174" i="48"/>
  <c r="T173" i="48"/>
  <c r="S173" i="48"/>
  <c r="N173" i="48"/>
  <c r="M173" i="48"/>
  <c r="S172" i="48"/>
  <c r="M172" i="48"/>
  <c r="T171" i="48"/>
  <c r="S171" i="48"/>
  <c r="N171" i="48"/>
  <c r="M171" i="48"/>
  <c r="S170" i="48"/>
  <c r="M170" i="48"/>
  <c r="M169" i="48"/>
  <c r="T168" i="48"/>
  <c r="S168" i="48" s="1"/>
  <c r="N168" i="48"/>
  <c r="M168" i="48" s="1"/>
  <c r="S167" i="48"/>
  <c r="M167" i="48"/>
  <c r="S166" i="48"/>
  <c r="M166" i="48"/>
  <c r="S165" i="48"/>
  <c r="M165" i="48"/>
  <c r="S164" i="48"/>
  <c r="M164" i="48"/>
  <c r="T163" i="48"/>
  <c r="S163" i="48" s="1"/>
  <c r="N163" i="48"/>
  <c r="M163" i="48" s="1"/>
  <c r="S162" i="48"/>
  <c r="M162" i="48"/>
  <c r="S160" i="48"/>
  <c r="M160" i="48"/>
  <c r="S159" i="48"/>
  <c r="M159" i="48"/>
  <c r="S158" i="48"/>
  <c r="M158" i="48"/>
  <c r="T157" i="48"/>
  <c r="S157" i="48" s="1"/>
  <c r="N157" i="48"/>
  <c r="M157" i="48" s="1"/>
  <c r="S156" i="48"/>
  <c r="M156" i="48"/>
  <c r="T155" i="48"/>
  <c r="S155" i="48" s="1"/>
  <c r="N155" i="48"/>
  <c r="M155" i="48" s="1"/>
  <c r="S154" i="48"/>
  <c r="M154" i="48"/>
  <c r="T153" i="48"/>
  <c r="S153" i="48" s="1"/>
  <c r="M153" i="48"/>
  <c r="M152" i="48"/>
  <c r="S151" i="48"/>
  <c r="M151" i="48"/>
  <c r="S150" i="48"/>
  <c r="M150" i="48"/>
  <c r="S149" i="48"/>
  <c r="M149" i="48"/>
  <c r="S148" i="48"/>
  <c r="M148" i="48"/>
  <c r="S147" i="48"/>
  <c r="M147" i="48"/>
  <c r="S146" i="48"/>
  <c r="M146" i="48"/>
  <c r="S145" i="48"/>
  <c r="M145" i="48"/>
  <c r="S143" i="48"/>
  <c r="M143" i="48"/>
  <c r="S142" i="48"/>
  <c r="M142" i="48"/>
  <c r="S141" i="48"/>
  <c r="M141" i="48"/>
  <c r="S140" i="48"/>
  <c r="M140" i="48"/>
  <c r="S139" i="48"/>
  <c r="M139" i="48"/>
  <c r="S138" i="48"/>
  <c r="M138" i="48"/>
  <c r="S137" i="48"/>
  <c r="M137" i="48"/>
  <c r="T136" i="48"/>
  <c r="S136" i="48" s="1"/>
  <c r="M136" i="48"/>
  <c r="S135" i="48"/>
  <c r="M135" i="48"/>
  <c r="S134" i="48"/>
  <c r="M134" i="48"/>
  <c r="S133" i="48"/>
  <c r="M133" i="48"/>
  <c r="T132" i="48"/>
  <c r="S132" i="48"/>
  <c r="N132" i="48"/>
  <c r="M132" i="48"/>
  <c r="S131" i="48"/>
  <c r="M131" i="48"/>
  <c r="S130" i="48"/>
  <c r="M130" i="48"/>
  <c r="S129" i="48"/>
  <c r="M129" i="48"/>
  <c r="S128" i="48"/>
  <c r="M128" i="48"/>
  <c r="S127" i="48"/>
  <c r="M127" i="48"/>
  <c r="S126" i="48"/>
  <c r="T125" i="48"/>
  <c r="S125" i="48" s="1"/>
  <c r="N125" i="48"/>
  <c r="M125" i="48" s="1"/>
  <c r="S124" i="48"/>
  <c r="M124" i="48"/>
  <c r="T123" i="48"/>
  <c r="S123" i="48" s="1"/>
  <c r="N123" i="48"/>
  <c r="M123" i="48" s="1"/>
  <c r="S122" i="48"/>
  <c r="M122" i="48"/>
  <c r="S121" i="48"/>
  <c r="M121" i="48"/>
  <c r="S120" i="48"/>
  <c r="M120" i="48"/>
  <c r="T119" i="48"/>
  <c r="S119" i="48" s="1"/>
  <c r="N119" i="48"/>
  <c r="M119" i="48" s="1"/>
  <c r="S118" i="48"/>
  <c r="M118" i="48"/>
  <c r="T117" i="48"/>
  <c r="S117" i="48" s="1"/>
  <c r="N117" i="48"/>
  <c r="M117" i="48" s="1"/>
  <c r="S116" i="48"/>
  <c r="M116" i="48"/>
  <c r="S115" i="48"/>
  <c r="N115" i="48"/>
  <c r="M115" i="48"/>
  <c r="S114" i="48"/>
  <c r="M114" i="48"/>
  <c r="T113" i="48"/>
  <c r="S113" i="48"/>
  <c r="N113" i="48"/>
  <c r="M113" i="48"/>
  <c r="S112" i="48"/>
  <c r="M112" i="48"/>
  <c r="S111" i="48"/>
  <c r="N111" i="48"/>
  <c r="M111" i="48" s="1"/>
  <c r="S110" i="48"/>
  <c r="M110" i="48"/>
  <c r="S108" i="48"/>
  <c r="M108" i="48"/>
  <c r="S107" i="48"/>
  <c r="M107" i="48"/>
  <c r="S106" i="48"/>
  <c r="M106" i="48"/>
  <c r="S105" i="48"/>
  <c r="M105" i="48"/>
  <c r="S104" i="48"/>
  <c r="M104" i="48"/>
  <c r="T103" i="48"/>
  <c r="S103" i="48" s="1"/>
  <c r="N103" i="48"/>
  <c r="M103" i="48" s="1"/>
  <c r="S102" i="48"/>
  <c r="M102" i="48"/>
  <c r="T101" i="48"/>
  <c r="S101" i="48" s="1"/>
  <c r="N101" i="48"/>
  <c r="S100" i="48"/>
  <c r="M100" i="48"/>
  <c r="S98" i="48"/>
  <c r="M98" i="48"/>
  <c r="S97" i="48"/>
  <c r="M97" i="48"/>
  <c r="S96" i="48"/>
  <c r="M96" i="48"/>
  <c r="S95" i="48"/>
  <c r="M95" i="48"/>
  <c r="S94" i="48"/>
  <c r="M94" i="48"/>
  <c r="S93" i="48"/>
  <c r="M93" i="48"/>
  <c r="S92" i="48"/>
  <c r="M92" i="48"/>
  <c r="S91" i="48"/>
  <c r="M91" i="48"/>
  <c r="S90" i="48"/>
  <c r="M90" i="48"/>
  <c r="S89" i="48"/>
  <c r="M89" i="48"/>
  <c r="S88" i="48"/>
  <c r="M88" i="48"/>
  <c r="S87" i="48"/>
  <c r="N87" i="48"/>
  <c r="M87" i="48" s="1"/>
  <c r="S86" i="48"/>
  <c r="M86" i="48"/>
  <c r="S85" i="48"/>
  <c r="M85" i="48"/>
  <c r="S84" i="48"/>
  <c r="M84" i="48"/>
  <c r="S83" i="48"/>
  <c r="M83" i="48"/>
  <c r="S82" i="48"/>
  <c r="M82" i="48"/>
  <c r="S80" i="48"/>
  <c r="M80" i="48"/>
  <c r="S79" i="48"/>
  <c r="M79" i="48"/>
  <c r="S78" i="48"/>
  <c r="M78" i="48"/>
  <c r="S77" i="48"/>
  <c r="N77" i="48"/>
  <c r="M77" i="48"/>
  <c r="S76" i="48"/>
  <c r="M76" i="48"/>
  <c r="T75" i="48"/>
  <c r="S75" i="48"/>
  <c r="N75" i="48"/>
  <c r="M75" i="48"/>
  <c r="S74" i="48"/>
  <c r="M74" i="48"/>
  <c r="S73" i="48"/>
  <c r="M73" i="48"/>
  <c r="S72" i="48"/>
  <c r="M72" i="48"/>
  <c r="T71" i="48"/>
  <c r="S71" i="48"/>
  <c r="N71" i="48"/>
  <c r="M71" i="48"/>
  <c r="S70" i="48"/>
  <c r="M70" i="48"/>
  <c r="S69" i="48"/>
  <c r="N69" i="48"/>
  <c r="M69" i="48" s="1"/>
  <c r="S68" i="48"/>
  <c r="M68" i="48"/>
  <c r="S67" i="48"/>
  <c r="M67" i="48"/>
  <c r="S66" i="48"/>
  <c r="M66" i="48"/>
  <c r="S65" i="48"/>
  <c r="M65" i="48"/>
  <c r="S64" i="48"/>
  <c r="M64" i="48"/>
  <c r="T63" i="48"/>
  <c r="S63" i="48" s="1"/>
  <c r="N63" i="48"/>
  <c r="M63" i="48" s="1"/>
  <c r="S62" i="48"/>
  <c r="M62" i="48"/>
  <c r="S61" i="48"/>
  <c r="M61" i="48"/>
  <c r="S60" i="48"/>
  <c r="M60" i="48"/>
  <c r="T59" i="48"/>
  <c r="S59" i="48" s="1"/>
  <c r="N59" i="48"/>
  <c r="M59" i="48" s="1"/>
  <c r="S58" i="48"/>
  <c r="M58" i="48"/>
  <c r="S57" i="48"/>
  <c r="N57" i="48"/>
  <c r="M57" i="48"/>
  <c r="S56" i="48"/>
  <c r="M56" i="48"/>
  <c r="S55" i="48"/>
  <c r="M55" i="48"/>
  <c r="S54" i="48"/>
  <c r="M54" i="48"/>
  <c r="S53" i="48"/>
  <c r="N53" i="48"/>
  <c r="M53" i="48" s="1"/>
  <c r="S52" i="48"/>
  <c r="M52" i="48"/>
  <c r="S51" i="48"/>
  <c r="M51" i="48"/>
  <c r="S50" i="48"/>
  <c r="M50" i="48"/>
  <c r="S49" i="48"/>
  <c r="M49" i="48"/>
  <c r="S48" i="48"/>
  <c r="N48" i="48"/>
  <c r="M48" i="48"/>
  <c r="S47" i="48"/>
  <c r="M47" i="48"/>
  <c r="S46" i="48"/>
  <c r="M46" i="48"/>
  <c r="S45" i="48"/>
  <c r="M45" i="48"/>
  <c r="S44" i="48"/>
  <c r="M44" i="48"/>
  <c r="S43" i="48"/>
  <c r="M43" i="48"/>
  <c r="S42" i="48"/>
  <c r="M42" i="48"/>
  <c r="S41" i="48"/>
  <c r="M41" i="48"/>
  <c r="S40" i="48"/>
  <c r="M40" i="48"/>
  <c r="S39" i="48"/>
  <c r="M39" i="48"/>
  <c r="T38" i="48"/>
  <c r="S38" i="48"/>
  <c r="N38" i="48"/>
  <c r="M38" i="48"/>
  <c r="S37" i="48"/>
  <c r="M37" i="48"/>
  <c r="S36" i="48"/>
  <c r="M36" i="48"/>
  <c r="S35" i="48"/>
  <c r="M35" i="48"/>
  <c r="S33" i="48"/>
  <c r="M33" i="48"/>
  <c r="S32" i="48"/>
  <c r="M32" i="48"/>
  <c r="S31" i="48"/>
  <c r="M31" i="48"/>
  <c r="T30" i="48"/>
  <c r="S30" i="48"/>
  <c r="N30" i="48"/>
  <c r="M30" i="48"/>
  <c r="S29" i="48"/>
  <c r="M29" i="48"/>
  <c r="T28" i="48"/>
  <c r="S28" i="48"/>
  <c r="N28" i="48"/>
  <c r="M28" i="48"/>
  <c r="S27" i="48"/>
  <c r="M27" i="48"/>
  <c r="T26" i="48"/>
  <c r="S26" i="48"/>
  <c r="N26" i="48"/>
  <c r="M26" i="48"/>
  <c r="S25" i="48"/>
  <c r="M25" i="48"/>
  <c r="S24" i="48"/>
  <c r="M24" i="48"/>
  <c r="S23" i="48"/>
  <c r="M23" i="48"/>
  <c r="T22" i="48"/>
  <c r="S22" i="48"/>
  <c r="M22" i="48"/>
  <c r="S21" i="48"/>
  <c r="M21" i="48"/>
  <c r="S20" i="48"/>
  <c r="N20" i="48"/>
  <c r="M20" i="48"/>
  <c r="S19" i="48"/>
  <c r="M19" i="48"/>
  <c r="T18" i="48"/>
  <c r="S18" i="48"/>
  <c r="N18" i="48"/>
  <c r="M18" i="48"/>
  <c r="S17" i="48"/>
  <c r="M17" i="48"/>
  <c r="T16" i="48"/>
  <c r="S16" i="48"/>
  <c r="N16" i="48"/>
  <c r="M16" i="48"/>
  <c r="S15" i="48"/>
  <c r="M15" i="48"/>
  <c r="T14" i="48"/>
  <c r="S306" i="48" s="1"/>
  <c r="S14" i="48"/>
  <c r="N14" i="48"/>
  <c r="M306" i="48" s="1"/>
  <c r="M14" i="48"/>
  <c r="S13" i="48"/>
  <c r="M13" i="48"/>
  <c r="S12" i="48"/>
  <c r="R306" i="48" s="1"/>
  <c r="M12" i="48"/>
  <c r="L306" i="48" s="1"/>
  <c r="S11" i="48"/>
  <c r="M11" i="48"/>
  <c r="S10" i="48"/>
  <c r="R307" i="48" s="1"/>
  <c r="M10" i="48"/>
  <c r="L307" i="48" s="1"/>
  <c r="S9" i="48"/>
  <c r="R305" i="48" s="1"/>
  <c r="M9" i="48"/>
  <c r="L305" i="48" s="1"/>
  <c r="T305" i="47"/>
  <c r="T306" i="47" s="1"/>
  <c r="S305" i="47"/>
  <c r="Q305" i="47"/>
  <c r="Q306" i="47" s="1"/>
  <c r="P305" i="47"/>
  <c r="P306" i="47" s="1"/>
  <c r="O305" i="47"/>
  <c r="O306" i="47" s="1"/>
  <c r="N305" i="47"/>
  <c r="N306" i="47" s="1"/>
  <c r="M305" i="47"/>
  <c r="K305" i="47"/>
  <c r="K306" i="47" s="1"/>
  <c r="J305" i="47"/>
  <c r="J306" i="47" s="1"/>
  <c r="I305" i="47"/>
  <c r="H305" i="47"/>
  <c r="H306" i="47" s="1"/>
  <c r="G305" i="47"/>
  <c r="T304" i="47"/>
  <c r="Q304" i="47"/>
  <c r="P304" i="47"/>
  <c r="O304" i="47"/>
  <c r="N304" i="47"/>
  <c r="K304" i="47"/>
  <c r="J304" i="47"/>
  <c r="I304" i="47"/>
  <c r="H304" i="47"/>
  <c r="G304" i="47"/>
  <c r="T303" i="47"/>
  <c r="S303" i="47"/>
  <c r="U303" i="47" s="1"/>
  <c r="Q303" i="47"/>
  <c r="P303" i="47"/>
  <c r="O303" i="47"/>
  <c r="N303" i="47"/>
  <c r="M303" i="47"/>
  <c r="K303" i="47"/>
  <c r="J303" i="47"/>
  <c r="V303" i="47" s="1"/>
  <c r="I303" i="47"/>
  <c r="H303" i="47"/>
  <c r="G303" i="47"/>
  <c r="U297" i="47"/>
  <c r="R297" i="47"/>
  <c r="Q297" i="47"/>
  <c r="P297" i="47"/>
  <c r="O297" i="47"/>
  <c r="L297" i="47"/>
  <c r="K297" i="47"/>
  <c r="J297" i="47"/>
  <c r="I297" i="47"/>
  <c r="H297" i="47"/>
  <c r="M296" i="47"/>
  <c r="S295" i="47"/>
  <c r="M295" i="47"/>
  <c r="S294" i="47"/>
  <c r="M294" i="47"/>
  <c r="S293" i="47"/>
  <c r="M293" i="47"/>
  <c r="T292" i="47"/>
  <c r="S292" i="47" s="1"/>
  <c r="N292" i="47"/>
  <c r="M292" i="47" s="1"/>
  <c r="S291" i="47"/>
  <c r="M291" i="47"/>
  <c r="S289" i="47"/>
  <c r="M289" i="47"/>
  <c r="S288" i="47"/>
  <c r="M288" i="47"/>
  <c r="S287" i="47"/>
  <c r="M287" i="47"/>
  <c r="S286" i="47"/>
  <c r="N286" i="47"/>
  <c r="M286" i="47"/>
  <c r="S285" i="47"/>
  <c r="M285" i="47"/>
  <c r="S284" i="47"/>
  <c r="M284" i="47"/>
  <c r="S283" i="47"/>
  <c r="M283" i="47"/>
  <c r="S282" i="47"/>
  <c r="N282" i="47"/>
  <c r="M282" i="47" s="1"/>
  <c r="S281" i="47"/>
  <c r="M281" i="47"/>
  <c r="T280" i="47"/>
  <c r="S280" i="47" s="1"/>
  <c r="N280" i="47"/>
  <c r="M280" i="47" s="1"/>
  <c r="S279" i="47"/>
  <c r="M279" i="47"/>
  <c r="T278" i="47"/>
  <c r="S278" i="47" s="1"/>
  <c r="N278" i="47"/>
  <c r="M278" i="47" s="1"/>
  <c r="S277" i="47"/>
  <c r="M277" i="47"/>
  <c r="T276" i="47"/>
  <c r="S276" i="47" s="1"/>
  <c r="N276" i="47"/>
  <c r="M276" i="47" s="1"/>
  <c r="S275" i="47"/>
  <c r="M275" i="47"/>
  <c r="T274" i="47"/>
  <c r="S274" i="47" s="1"/>
  <c r="M274" i="47"/>
  <c r="S273" i="47"/>
  <c r="M273" i="47"/>
  <c r="S272" i="47"/>
  <c r="N272" i="47"/>
  <c r="M272" i="47" s="1"/>
  <c r="S271" i="47"/>
  <c r="M271" i="47"/>
  <c r="T270" i="47"/>
  <c r="S270" i="47" s="1"/>
  <c r="M270" i="47"/>
  <c r="S269" i="47"/>
  <c r="M269" i="47"/>
  <c r="S268" i="47"/>
  <c r="N268" i="47"/>
  <c r="M268" i="47" s="1"/>
  <c r="S267" i="47"/>
  <c r="M267" i="47"/>
  <c r="T266" i="47"/>
  <c r="S266" i="47" s="1"/>
  <c r="M266" i="47"/>
  <c r="S265" i="47"/>
  <c r="M265" i="47"/>
  <c r="S264" i="47"/>
  <c r="M264" i="47"/>
  <c r="S263" i="47"/>
  <c r="M263" i="47"/>
  <c r="S261" i="47"/>
  <c r="M261" i="47"/>
  <c r="S260" i="47"/>
  <c r="N260" i="47"/>
  <c r="M260" i="47" s="1"/>
  <c r="S259" i="47"/>
  <c r="M259" i="47"/>
  <c r="T258" i="47"/>
  <c r="S258" i="47" s="1"/>
  <c r="M258" i="47"/>
  <c r="S257" i="47"/>
  <c r="M257" i="47"/>
  <c r="T256" i="47"/>
  <c r="S256" i="47"/>
  <c r="N256" i="47"/>
  <c r="M256" i="47"/>
  <c r="S255" i="47"/>
  <c r="M255" i="47"/>
  <c r="S254" i="47"/>
  <c r="M254" i="47"/>
  <c r="S253" i="47"/>
  <c r="M253" i="47"/>
  <c r="T252" i="47"/>
  <c r="S252" i="47"/>
  <c r="N252" i="47"/>
  <c r="M252" i="47"/>
  <c r="S251" i="47"/>
  <c r="M251" i="47"/>
  <c r="S250" i="47"/>
  <c r="M250" i="47"/>
  <c r="S249" i="47"/>
  <c r="M249" i="47"/>
  <c r="T248" i="47"/>
  <c r="S248" i="47"/>
  <c r="M248" i="47"/>
  <c r="S247" i="47"/>
  <c r="M247" i="47"/>
  <c r="T246" i="47"/>
  <c r="S246" i="47" s="1"/>
  <c r="M246" i="47"/>
  <c r="S245" i="47"/>
  <c r="M245" i="47"/>
  <c r="S244" i="47"/>
  <c r="N244" i="47"/>
  <c r="M244" i="47" s="1"/>
  <c r="S243" i="47"/>
  <c r="M243" i="47"/>
  <c r="S242" i="47"/>
  <c r="M242" i="47"/>
  <c r="S241" i="47"/>
  <c r="M241" i="47"/>
  <c r="S240" i="47"/>
  <c r="M240" i="47"/>
  <c r="S239" i="47"/>
  <c r="M239" i="47"/>
  <c r="S238" i="47"/>
  <c r="M238" i="47"/>
  <c r="S237" i="47"/>
  <c r="M237" i="47"/>
  <c r="S236" i="47"/>
  <c r="M236" i="47"/>
  <c r="S235" i="47"/>
  <c r="M235" i="47"/>
  <c r="S233" i="47"/>
  <c r="M233" i="47"/>
  <c r="S231" i="47"/>
  <c r="M231" i="47"/>
  <c r="S230" i="47"/>
  <c r="M230" i="47"/>
  <c r="S229" i="47"/>
  <c r="M229" i="47"/>
  <c r="S228" i="47"/>
  <c r="M228" i="47"/>
  <c r="S227" i="47"/>
  <c r="M227" i="47"/>
  <c r="T226" i="47"/>
  <c r="S226" i="47" s="1"/>
  <c r="N226" i="47"/>
  <c r="M226" i="47" s="1"/>
  <c r="S225" i="47"/>
  <c r="M225" i="47"/>
  <c r="S224" i="47"/>
  <c r="M224" i="47"/>
  <c r="S223" i="47"/>
  <c r="M223" i="47"/>
  <c r="T222" i="47"/>
  <c r="S222" i="47" s="1"/>
  <c r="N222" i="47"/>
  <c r="M222" i="47" s="1"/>
  <c r="S221" i="47"/>
  <c r="M221" i="47"/>
  <c r="T220" i="47"/>
  <c r="S220" i="47" s="1"/>
  <c r="N220" i="47"/>
  <c r="M220" i="47" s="1"/>
  <c r="S219" i="47"/>
  <c r="M219" i="47"/>
  <c r="S218" i="47"/>
  <c r="M218" i="47"/>
  <c r="S217" i="47"/>
  <c r="M217" i="47"/>
  <c r="S216" i="47"/>
  <c r="N216" i="47"/>
  <c r="M216" i="47"/>
  <c r="S215" i="47"/>
  <c r="M215" i="47"/>
  <c r="S213" i="47"/>
  <c r="M213" i="47"/>
  <c r="T212" i="47"/>
  <c r="S212" i="47"/>
  <c r="N212" i="47"/>
  <c r="M212" i="47"/>
  <c r="S211" i="47"/>
  <c r="M211" i="47"/>
  <c r="S210" i="47"/>
  <c r="M210" i="47"/>
  <c r="S209" i="47"/>
  <c r="M209" i="47"/>
  <c r="S208" i="47"/>
  <c r="M208" i="47"/>
  <c r="S207" i="47"/>
  <c r="M207" i="47"/>
  <c r="S206" i="47"/>
  <c r="M206" i="47"/>
  <c r="T205" i="47"/>
  <c r="S205" i="47"/>
  <c r="N205" i="47"/>
  <c r="M205" i="47"/>
  <c r="S204" i="47"/>
  <c r="M204" i="47"/>
  <c r="S203" i="47"/>
  <c r="N203" i="47"/>
  <c r="M203" i="47" s="1"/>
  <c r="S202" i="47"/>
  <c r="M202" i="47"/>
  <c r="S201" i="47"/>
  <c r="M201" i="47"/>
  <c r="S200" i="47"/>
  <c r="M200" i="47"/>
  <c r="S199" i="47"/>
  <c r="M199" i="47"/>
  <c r="S198" i="47"/>
  <c r="M198" i="47"/>
  <c r="S197" i="47"/>
  <c r="M197" i="47"/>
  <c r="S196" i="47"/>
  <c r="M196" i="47"/>
  <c r="T195" i="47"/>
  <c r="S195" i="47" s="1"/>
  <c r="N195" i="47"/>
  <c r="M195" i="47" s="1"/>
  <c r="S194" i="47"/>
  <c r="M194" i="47"/>
  <c r="M193" i="47"/>
  <c r="S192" i="47"/>
  <c r="M192" i="47"/>
  <c r="S191" i="47"/>
  <c r="N191" i="47"/>
  <c r="M191" i="47" s="1"/>
  <c r="S190" i="47"/>
  <c r="M190" i="47"/>
  <c r="T189" i="47"/>
  <c r="S189" i="47" s="1"/>
  <c r="N189" i="47"/>
  <c r="M189" i="47" s="1"/>
  <c r="S188" i="47"/>
  <c r="M188" i="47"/>
  <c r="T187" i="47"/>
  <c r="S187" i="47" s="1"/>
  <c r="N187" i="47"/>
  <c r="M187" i="47" s="1"/>
  <c r="S186" i="47"/>
  <c r="M186" i="47"/>
  <c r="T185" i="47"/>
  <c r="S185" i="47" s="1"/>
  <c r="N185" i="47"/>
  <c r="M185" i="47" s="1"/>
  <c r="S184" i="47"/>
  <c r="M184" i="47"/>
  <c r="S183" i="47"/>
  <c r="M183" i="47"/>
  <c r="S182" i="47"/>
  <c r="M182" i="47"/>
  <c r="S181" i="47"/>
  <c r="M181" i="47"/>
  <c r="S180" i="47"/>
  <c r="M180" i="47"/>
  <c r="S179" i="47"/>
  <c r="M179" i="47"/>
  <c r="S178" i="47"/>
  <c r="M178" i="47"/>
  <c r="S177" i="47"/>
  <c r="M177" i="47"/>
  <c r="S176" i="47"/>
  <c r="M176" i="47"/>
  <c r="T175" i="47"/>
  <c r="S175" i="47" s="1"/>
  <c r="N175" i="47"/>
  <c r="M175" i="47" s="1"/>
  <c r="S174" i="47"/>
  <c r="M174" i="47"/>
  <c r="T173" i="47"/>
  <c r="S173" i="47" s="1"/>
  <c r="N173" i="47"/>
  <c r="M173" i="47" s="1"/>
  <c r="S172" i="47"/>
  <c r="M172" i="47"/>
  <c r="T171" i="47"/>
  <c r="S171" i="47" s="1"/>
  <c r="N171" i="47"/>
  <c r="M171" i="47" s="1"/>
  <c r="S170" i="47"/>
  <c r="M170" i="47"/>
  <c r="T169" i="47"/>
  <c r="S169" i="47" s="1"/>
  <c r="N169" i="47"/>
  <c r="M169" i="47" s="1"/>
  <c r="S168" i="47"/>
  <c r="M168" i="47"/>
  <c r="M167" i="47"/>
  <c r="T166" i="47"/>
  <c r="S166" i="47"/>
  <c r="N166" i="47"/>
  <c r="M166" i="47"/>
  <c r="S165" i="47"/>
  <c r="M165" i="47"/>
  <c r="S164" i="47"/>
  <c r="M164" i="47"/>
  <c r="S163" i="47"/>
  <c r="M163" i="47"/>
  <c r="S162" i="47"/>
  <c r="M162" i="47"/>
  <c r="T161" i="47"/>
  <c r="S161" i="47"/>
  <c r="N161" i="47"/>
  <c r="M161" i="47"/>
  <c r="S160" i="47"/>
  <c r="M160" i="47"/>
  <c r="S158" i="47"/>
  <c r="M158" i="47"/>
  <c r="S157" i="47"/>
  <c r="M157" i="47"/>
  <c r="S156" i="47"/>
  <c r="M156" i="47"/>
  <c r="T155" i="47"/>
  <c r="S155" i="47"/>
  <c r="N155" i="47"/>
  <c r="M155" i="47"/>
  <c r="S154" i="47"/>
  <c r="M154" i="47"/>
  <c r="T153" i="47"/>
  <c r="S153" i="47"/>
  <c r="N153" i="47"/>
  <c r="M153" i="47"/>
  <c r="S152" i="47"/>
  <c r="M152" i="47"/>
  <c r="T151" i="47"/>
  <c r="S151" i="47"/>
  <c r="M151" i="47"/>
  <c r="M150" i="47"/>
  <c r="S149" i="47"/>
  <c r="M149" i="47"/>
  <c r="S148" i="47"/>
  <c r="M148" i="47"/>
  <c r="S147" i="47"/>
  <c r="M147" i="47"/>
  <c r="S146" i="47"/>
  <c r="M146" i="47"/>
  <c r="S145" i="47"/>
  <c r="M145" i="47"/>
  <c r="S144" i="47"/>
  <c r="M144" i="47"/>
  <c r="S143" i="47"/>
  <c r="M143" i="47"/>
  <c r="S141" i="47"/>
  <c r="M141" i="47"/>
  <c r="S140" i="47"/>
  <c r="M140" i="47"/>
  <c r="S139" i="47"/>
  <c r="M139" i="47"/>
  <c r="S138" i="47"/>
  <c r="M138" i="47"/>
  <c r="S137" i="47"/>
  <c r="M137" i="47"/>
  <c r="S136" i="47"/>
  <c r="M136" i="47"/>
  <c r="S135" i="47"/>
  <c r="M135" i="47"/>
  <c r="T134" i="47"/>
  <c r="S134" i="47"/>
  <c r="M134" i="47"/>
  <c r="S133" i="47"/>
  <c r="M133" i="47"/>
  <c r="S132" i="47"/>
  <c r="M132" i="47"/>
  <c r="S131" i="47"/>
  <c r="M131" i="47"/>
  <c r="T130" i="47"/>
  <c r="S130" i="47" s="1"/>
  <c r="N130" i="47"/>
  <c r="M130" i="47" s="1"/>
  <c r="S129" i="47"/>
  <c r="M129" i="47"/>
  <c r="S128" i="47"/>
  <c r="M128" i="47"/>
  <c r="S127" i="47"/>
  <c r="M127" i="47"/>
  <c r="S126" i="47"/>
  <c r="M126" i="47"/>
  <c r="S125" i="47"/>
  <c r="M125" i="47"/>
  <c r="S124" i="47"/>
  <c r="T123" i="47"/>
  <c r="S123" i="47"/>
  <c r="N123" i="47"/>
  <c r="M123" i="47"/>
  <c r="S122" i="47"/>
  <c r="M122" i="47"/>
  <c r="T121" i="47"/>
  <c r="S121" i="47"/>
  <c r="N121" i="47"/>
  <c r="M121" i="47"/>
  <c r="S120" i="47"/>
  <c r="M120" i="47"/>
  <c r="S119" i="47"/>
  <c r="M119" i="47"/>
  <c r="S118" i="47"/>
  <c r="M118" i="47"/>
  <c r="T117" i="47"/>
  <c r="S117" i="47"/>
  <c r="N117" i="47"/>
  <c r="M117" i="47"/>
  <c r="S116" i="47"/>
  <c r="M116" i="47"/>
  <c r="T115" i="47"/>
  <c r="S115" i="47"/>
  <c r="N115" i="47"/>
  <c r="M115" i="47"/>
  <c r="S114" i="47"/>
  <c r="M114" i="47"/>
  <c r="S113" i="47"/>
  <c r="N113" i="47"/>
  <c r="M113" i="47" s="1"/>
  <c r="S112" i="47"/>
  <c r="M112" i="47"/>
  <c r="T111" i="47"/>
  <c r="S111" i="47" s="1"/>
  <c r="N111" i="47"/>
  <c r="M111" i="47" s="1"/>
  <c r="S110" i="47"/>
  <c r="M110" i="47"/>
  <c r="S109" i="47"/>
  <c r="N109" i="47"/>
  <c r="M109" i="47"/>
  <c r="S108" i="47"/>
  <c r="M108" i="47"/>
  <c r="S106" i="47"/>
  <c r="M106" i="47"/>
  <c r="S105" i="47"/>
  <c r="M105" i="47"/>
  <c r="S104" i="47"/>
  <c r="M104" i="47"/>
  <c r="T103" i="47"/>
  <c r="S103" i="47"/>
  <c r="N103" i="47"/>
  <c r="M103" i="47"/>
  <c r="S102" i="47"/>
  <c r="M102" i="47"/>
  <c r="T101" i="47"/>
  <c r="S101" i="47"/>
  <c r="N101" i="47"/>
  <c r="S100" i="47"/>
  <c r="M100" i="47"/>
  <c r="S98" i="47"/>
  <c r="M98" i="47"/>
  <c r="S97" i="47"/>
  <c r="M97" i="47"/>
  <c r="S96" i="47"/>
  <c r="M96" i="47"/>
  <c r="S95" i="47"/>
  <c r="M95" i="47"/>
  <c r="S94" i="47"/>
  <c r="M94" i="47"/>
  <c r="S93" i="47"/>
  <c r="M93" i="47"/>
  <c r="S92" i="47"/>
  <c r="M92" i="47"/>
  <c r="S91" i="47"/>
  <c r="M91" i="47"/>
  <c r="S90" i="47"/>
  <c r="M90" i="47"/>
  <c r="S89" i="47"/>
  <c r="M89" i="47"/>
  <c r="S88" i="47"/>
  <c r="M88" i="47"/>
  <c r="S87" i="47"/>
  <c r="N87" i="47"/>
  <c r="M87" i="47"/>
  <c r="S86" i="47"/>
  <c r="M86" i="47"/>
  <c r="S85" i="47"/>
  <c r="M85" i="47"/>
  <c r="S84" i="47"/>
  <c r="M84" i="47"/>
  <c r="S83" i="47"/>
  <c r="M83" i="47"/>
  <c r="S82" i="47"/>
  <c r="M82" i="47"/>
  <c r="S80" i="47"/>
  <c r="M80" i="47"/>
  <c r="S79" i="47"/>
  <c r="M79" i="47"/>
  <c r="S78" i="47"/>
  <c r="M78" i="47"/>
  <c r="S77" i="47"/>
  <c r="N77" i="47"/>
  <c r="M77" i="47" s="1"/>
  <c r="S76" i="47"/>
  <c r="M76" i="47"/>
  <c r="T75" i="47"/>
  <c r="S75" i="47" s="1"/>
  <c r="N75" i="47"/>
  <c r="M75" i="47" s="1"/>
  <c r="S74" i="47"/>
  <c r="M74" i="47"/>
  <c r="S73" i="47"/>
  <c r="M73" i="47"/>
  <c r="S72" i="47"/>
  <c r="M72" i="47"/>
  <c r="T71" i="47"/>
  <c r="S71" i="47" s="1"/>
  <c r="N71" i="47"/>
  <c r="M71" i="47" s="1"/>
  <c r="S70" i="47"/>
  <c r="M70" i="47"/>
  <c r="S69" i="47"/>
  <c r="N69" i="47"/>
  <c r="M69" i="47"/>
  <c r="S68" i="47"/>
  <c r="M68" i="47"/>
  <c r="S67" i="47"/>
  <c r="M67" i="47"/>
  <c r="S66" i="47"/>
  <c r="M66" i="47"/>
  <c r="S65" i="47"/>
  <c r="M65" i="47"/>
  <c r="S64" i="47"/>
  <c r="M64" i="47"/>
  <c r="T63" i="47"/>
  <c r="S63" i="47"/>
  <c r="N63" i="47"/>
  <c r="M63" i="47"/>
  <c r="S62" i="47"/>
  <c r="M62" i="47"/>
  <c r="S61" i="47"/>
  <c r="M61" i="47"/>
  <c r="S60" i="47"/>
  <c r="M60" i="47"/>
  <c r="T59" i="47"/>
  <c r="S59" i="47"/>
  <c r="N59" i="47"/>
  <c r="M59" i="47"/>
  <c r="S58" i="47"/>
  <c r="M58" i="47"/>
  <c r="S57" i="47"/>
  <c r="N57" i="47"/>
  <c r="M57" i="47" s="1"/>
  <c r="S56" i="47"/>
  <c r="M56" i="47"/>
  <c r="S55" i="47"/>
  <c r="M55" i="47"/>
  <c r="S54" i="47"/>
  <c r="M54" i="47"/>
  <c r="S53" i="47"/>
  <c r="N53" i="47"/>
  <c r="M53" i="47"/>
  <c r="S52" i="47"/>
  <c r="M52" i="47"/>
  <c r="S51" i="47"/>
  <c r="M51" i="47"/>
  <c r="S50" i="47"/>
  <c r="M50" i="47"/>
  <c r="S49" i="47"/>
  <c r="M49" i="47"/>
  <c r="S48" i="47"/>
  <c r="N48" i="47"/>
  <c r="M48" i="47" s="1"/>
  <c r="S47" i="47"/>
  <c r="M47" i="47"/>
  <c r="S46" i="47"/>
  <c r="M46" i="47"/>
  <c r="S45" i="47"/>
  <c r="M45" i="47"/>
  <c r="S44" i="47"/>
  <c r="M44" i="47"/>
  <c r="S43" i="47"/>
  <c r="M43" i="47"/>
  <c r="S42" i="47"/>
  <c r="M42" i="47"/>
  <c r="S41" i="47"/>
  <c r="M41" i="47"/>
  <c r="S40" i="47"/>
  <c r="M40" i="47"/>
  <c r="S39" i="47"/>
  <c r="M39" i="47"/>
  <c r="T38" i="47"/>
  <c r="S38" i="47" s="1"/>
  <c r="N38" i="47"/>
  <c r="M38" i="47" s="1"/>
  <c r="S37" i="47"/>
  <c r="M37" i="47"/>
  <c r="S36" i="47"/>
  <c r="M36" i="47"/>
  <c r="S35" i="47"/>
  <c r="M35" i="47"/>
  <c r="S33" i="47"/>
  <c r="M33" i="47"/>
  <c r="S32" i="47"/>
  <c r="M32" i="47"/>
  <c r="S31" i="47"/>
  <c r="M31" i="47"/>
  <c r="T30" i="47"/>
  <c r="S30" i="47" s="1"/>
  <c r="N30" i="47"/>
  <c r="M30" i="47" s="1"/>
  <c r="S29" i="47"/>
  <c r="M29" i="47"/>
  <c r="T28" i="47"/>
  <c r="S28" i="47" s="1"/>
  <c r="N28" i="47"/>
  <c r="M28" i="47" s="1"/>
  <c r="S27" i="47"/>
  <c r="M27" i="47"/>
  <c r="T26" i="47"/>
  <c r="S26" i="47" s="1"/>
  <c r="N26" i="47"/>
  <c r="M26" i="47" s="1"/>
  <c r="S25" i="47"/>
  <c r="M25" i="47"/>
  <c r="S24" i="47"/>
  <c r="M24" i="47"/>
  <c r="S23" i="47"/>
  <c r="M23" i="47"/>
  <c r="T22" i="47"/>
  <c r="S22" i="47" s="1"/>
  <c r="M22" i="47"/>
  <c r="S21" i="47"/>
  <c r="M21" i="47"/>
  <c r="S20" i="47"/>
  <c r="N20" i="47"/>
  <c r="M20" i="47" s="1"/>
  <c r="S19" i="47"/>
  <c r="M19" i="47"/>
  <c r="T18" i="47"/>
  <c r="S18" i="47" s="1"/>
  <c r="N18" i="47"/>
  <c r="M18" i="47" s="1"/>
  <c r="S17" i="47"/>
  <c r="M17" i="47"/>
  <c r="T16" i="47"/>
  <c r="S16" i="47" s="1"/>
  <c r="N16" i="47"/>
  <c r="M16" i="47" s="1"/>
  <c r="S15" i="47"/>
  <c r="M15" i="47"/>
  <c r="T14" i="47"/>
  <c r="S304" i="47" s="1"/>
  <c r="N14" i="47"/>
  <c r="M304" i="47" s="1"/>
  <c r="S13" i="47"/>
  <c r="M13" i="47"/>
  <c r="S12" i="47"/>
  <c r="M12" i="47"/>
  <c r="S11" i="47"/>
  <c r="M11" i="47"/>
  <c r="S10" i="47"/>
  <c r="R305" i="47" s="1"/>
  <c r="M10" i="47"/>
  <c r="S9" i="47"/>
  <c r="M9" i="47"/>
  <c r="T303" i="46"/>
  <c r="T304" i="46" s="1"/>
  <c r="S303" i="46"/>
  <c r="Q303" i="46"/>
  <c r="Q304" i="46" s="1"/>
  <c r="P303" i="46"/>
  <c r="P304" i="46" s="1"/>
  <c r="O303" i="46"/>
  <c r="O304" i="46" s="1"/>
  <c r="N303" i="46"/>
  <c r="M303" i="46"/>
  <c r="K303" i="46"/>
  <c r="K304" i="46" s="1"/>
  <c r="J303" i="46"/>
  <c r="J304" i="46" s="1"/>
  <c r="I303" i="46"/>
  <c r="I304" i="46" s="1"/>
  <c r="H303" i="46"/>
  <c r="G303" i="46"/>
  <c r="G304" i="46" s="1"/>
  <c r="T302" i="46"/>
  <c r="Q302" i="46"/>
  <c r="P302" i="46"/>
  <c r="O302" i="46"/>
  <c r="N302" i="46"/>
  <c r="K302" i="46"/>
  <c r="J302" i="46"/>
  <c r="I302" i="46"/>
  <c r="H302" i="46"/>
  <c r="G302" i="46"/>
  <c r="T301" i="46"/>
  <c r="S301" i="46"/>
  <c r="U301" i="46" s="1"/>
  <c r="Q301" i="46"/>
  <c r="P301" i="46"/>
  <c r="O301" i="46"/>
  <c r="N301" i="46"/>
  <c r="M301" i="46"/>
  <c r="K301" i="46"/>
  <c r="J301" i="46"/>
  <c r="V301" i="46" s="1"/>
  <c r="I301" i="46"/>
  <c r="H301" i="46"/>
  <c r="G301" i="46"/>
  <c r="U295" i="46"/>
  <c r="R295" i="46"/>
  <c r="Q295" i="46"/>
  <c r="P295" i="46"/>
  <c r="O295" i="46"/>
  <c r="L295" i="46"/>
  <c r="K295" i="46"/>
  <c r="J295" i="46"/>
  <c r="I295" i="46"/>
  <c r="H295" i="46"/>
  <c r="M294" i="46"/>
  <c r="S293" i="46"/>
  <c r="M293" i="46"/>
  <c r="S292" i="46"/>
  <c r="M292" i="46"/>
  <c r="S291" i="46"/>
  <c r="M291" i="46"/>
  <c r="T290" i="46"/>
  <c r="S290" i="46"/>
  <c r="N290" i="46"/>
  <c r="M290" i="46"/>
  <c r="S289" i="46"/>
  <c r="M289" i="46"/>
  <c r="S287" i="46"/>
  <c r="M287" i="46"/>
  <c r="S286" i="46"/>
  <c r="M286" i="46"/>
  <c r="S285" i="46"/>
  <c r="M285" i="46"/>
  <c r="S284" i="46"/>
  <c r="N284" i="46"/>
  <c r="M284" i="46" s="1"/>
  <c r="S283" i="46"/>
  <c r="M283" i="46"/>
  <c r="S282" i="46"/>
  <c r="M282" i="46"/>
  <c r="S281" i="46"/>
  <c r="M281" i="46"/>
  <c r="S280" i="46"/>
  <c r="N280" i="46"/>
  <c r="M280" i="46"/>
  <c r="S279" i="46"/>
  <c r="M279" i="46"/>
  <c r="T278" i="46"/>
  <c r="S278" i="46"/>
  <c r="N278" i="46"/>
  <c r="M278" i="46"/>
  <c r="S277" i="46"/>
  <c r="M277" i="46"/>
  <c r="T276" i="46"/>
  <c r="S276" i="46"/>
  <c r="N276" i="46"/>
  <c r="M276" i="46"/>
  <c r="S275" i="46"/>
  <c r="M275" i="46"/>
  <c r="T274" i="46"/>
  <c r="S274" i="46"/>
  <c r="N274" i="46"/>
  <c r="M274" i="46"/>
  <c r="S273" i="46"/>
  <c r="M273" i="46"/>
  <c r="T272" i="46"/>
  <c r="S272" i="46"/>
  <c r="M272" i="46"/>
  <c r="S271" i="46"/>
  <c r="M271" i="46"/>
  <c r="S270" i="46"/>
  <c r="N270" i="46"/>
  <c r="M270" i="46"/>
  <c r="S269" i="46"/>
  <c r="M269" i="46"/>
  <c r="T268" i="46"/>
  <c r="S268" i="46"/>
  <c r="M268" i="46"/>
  <c r="S267" i="46"/>
  <c r="M267" i="46"/>
  <c r="S266" i="46"/>
  <c r="N266" i="46"/>
  <c r="M266" i="46"/>
  <c r="S265" i="46"/>
  <c r="M265" i="46"/>
  <c r="T264" i="46"/>
  <c r="S264" i="46"/>
  <c r="M264" i="46"/>
  <c r="S263" i="46"/>
  <c r="M263" i="46"/>
  <c r="S262" i="46"/>
  <c r="M262" i="46"/>
  <c r="S261" i="46"/>
  <c r="M261" i="46"/>
  <c r="S259" i="46"/>
  <c r="M259" i="46"/>
  <c r="S258" i="46"/>
  <c r="N258" i="46"/>
  <c r="M258" i="46"/>
  <c r="S257" i="46"/>
  <c r="M257" i="46"/>
  <c r="T256" i="46"/>
  <c r="S256" i="46"/>
  <c r="M256" i="46"/>
  <c r="S255" i="46"/>
  <c r="M255" i="46"/>
  <c r="T254" i="46"/>
  <c r="S254" i="46" s="1"/>
  <c r="N254" i="46"/>
  <c r="M254" i="46" s="1"/>
  <c r="S253" i="46"/>
  <c r="M253" i="46"/>
  <c r="S252" i="46"/>
  <c r="M252" i="46"/>
  <c r="S251" i="46"/>
  <c r="M251" i="46"/>
  <c r="T250" i="46"/>
  <c r="S250" i="46" s="1"/>
  <c r="N250" i="46"/>
  <c r="M250" i="46" s="1"/>
  <c r="S249" i="46"/>
  <c r="M249" i="46"/>
  <c r="S248" i="46"/>
  <c r="M248" i="46"/>
  <c r="S247" i="46"/>
  <c r="M247" i="46"/>
  <c r="T246" i="46"/>
  <c r="S246" i="46"/>
  <c r="M246" i="46"/>
  <c r="S245" i="46"/>
  <c r="M245" i="46"/>
  <c r="T244" i="46"/>
  <c r="S244" i="46" s="1"/>
  <c r="M244" i="46"/>
  <c r="S243" i="46"/>
  <c r="M243" i="46"/>
  <c r="S242" i="46"/>
  <c r="N242" i="46"/>
  <c r="M242" i="46" s="1"/>
  <c r="S241" i="46"/>
  <c r="M241" i="46"/>
  <c r="S240" i="46"/>
  <c r="M240" i="46"/>
  <c r="S239" i="46"/>
  <c r="M239" i="46"/>
  <c r="S238" i="46"/>
  <c r="M238" i="46"/>
  <c r="S237" i="46"/>
  <c r="M237" i="46"/>
  <c r="S236" i="46"/>
  <c r="M236" i="46"/>
  <c r="S235" i="46"/>
  <c r="M235" i="46"/>
  <c r="S234" i="46"/>
  <c r="M234" i="46"/>
  <c r="S233" i="46"/>
  <c r="M233" i="46"/>
  <c r="S231" i="46"/>
  <c r="M231" i="46"/>
  <c r="S229" i="46"/>
  <c r="M229" i="46"/>
  <c r="S228" i="46"/>
  <c r="M228" i="46"/>
  <c r="S227" i="46"/>
  <c r="M227" i="46"/>
  <c r="S226" i="46"/>
  <c r="M226" i="46"/>
  <c r="S225" i="46"/>
  <c r="M225" i="46"/>
  <c r="T224" i="46"/>
  <c r="S224" i="46" s="1"/>
  <c r="N224" i="46"/>
  <c r="M224" i="46" s="1"/>
  <c r="S223" i="46"/>
  <c r="M223" i="46"/>
  <c r="S222" i="46"/>
  <c r="M222" i="46"/>
  <c r="S221" i="46"/>
  <c r="M221" i="46"/>
  <c r="T220" i="46"/>
  <c r="S220" i="46" s="1"/>
  <c r="N220" i="46"/>
  <c r="M220" i="46" s="1"/>
  <c r="S219" i="46"/>
  <c r="M219" i="46"/>
  <c r="T218" i="46"/>
  <c r="S218" i="46" s="1"/>
  <c r="N218" i="46"/>
  <c r="M218" i="46" s="1"/>
  <c r="S217" i="46"/>
  <c r="M217" i="46"/>
  <c r="S216" i="46"/>
  <c r="M216" i="46"/>
  <c r="S215" i="46"/>
  <c r="M215" i="46"/>
  <c r="S214" i="46"/>
  <c r="N214" i="46"/>
  <c r="M214" i="46"/>
  <c r="S213" i="46"/>
  <c r="M213" i="46"/>
  <c r="M212" i="46"/>
  <c r="S211" i="46"/>
  <c r="M211" i="46"/>
  <c r="T210" i="46"/>
  <c r="S210" i="46" s="1"/>
  <c r="N210" i="46"/>
  <c r="M210" i="46" s="1"/>
  <c r="S209" i="46"/>
  <c r="M209" i="46"/>
  <c r="S208" i="46"/>
  <c r="M208" i="46"/>
  <c r="S207" i="46"/>
  <c r="M207" i="46"/>
  <c r="S206" i="46"/>
  <c r="M206" i="46"/>
  <c r="S205" i="46"/>
  <c r="M205" i="46"/>
  <c r="S204" i="46"/>
  <c r="M204" i="46"/>
  <c r="T203" i="46"/>
  <c r="S203" i="46" s="1"/>
  <c r="N203" i="46"/>
  <c r="M203" i="46" s="1"/>
  <c r="S202" i="46"/>
  <c r="M202" i="46"/>
  <c r="S201" i="46"/>
  <c r="N201" i="46"/>
  <c r="M201" i="46"/>
  <c r="S200" i="46"/>
  <c r="M200" i="46"/>
  <c r="S199" i="46"/>
  <c r="M199" i="46"/>
  <c r="S198" i="46"/>
  <c r="M198" i="46"/>
  <c r="S197" i="46"/>
  <c r="M197" i="46"/>
  <c r="S196" i="46"/>
  <c r="M196" i="46"/>
  <c r="S195" i="46"/>
  <c r="M195" i="46"/>
  <c r="S194" i="46"/>
  <c r="M194" i="46"/>
  <c r="T193" i="46"/>
  <c r="S193" i="46"/>
  <c r="N193" i="46"/>
  <c r="M193" i="46"/>
  <c r="S192" i="46"/>
  <c r="M192" i="46"/>
  <c r="M191" i="46"/>
  <c r="S190" i="46"/>
  <c r="M190" i="46"/>
  <c r="S189" i="46"/>
  <c r="N189" i="46"/>
  <c r="M189" i="46"/>
  <c r="S188" i="46"/>
  <c r="M188" i="46"/>
  <c r="T187" i="46"/>
  <c r="S187" i="46"/>
  <c r="N187" i="46"/>
  <c r="M187" i="46"/>
  <c r="S186" i="46"/>
  <c r="M186" i="46"/>
  <c r="T185" i="46"/>
  <c r="S185" i="46"/>
  <c r="N185" i="46"/>
  <c r="M185" i="46"/>
  <c r="S184" i="46"/>
  <c r="M184" i="46"/>
  <c r="T183" i="46"/>
  <c r="S183" i="46"/>
  <c r="N183" i="46"/>
  <c r="M183" i="46"/>
  <c r="S182" i="46"/>
  <c r="M182" i="46"/>
  <c r="S181" i="46"/>
  <c r="M181" i="46"/>
  <c r="S180" i="46"/>
  <c r="M180" i="46"/>
  <c r="S179" i="46"/>
  <c r="M179" i="46"/>
  <c r="S178" i="46"/>
  <c r="M178" i="46"/>
  <c r="S177" i="46"/>
  <c r="M177" i="46"/>
  <c r="S176" i="46"/>
  <c r="M176" i="46"/>
  <c r="S175" i="46"/>
  <c r="M175" i="46"/>
  <c r="S174" i="46"/>
  <c r="M174" i="46"/>
  <c r="T173" i="46"/>
  <c r="S173" i="46"/>
  <c r="N173" i="46"/>
  <c r="M173" i="46"/>
  <c r="S172" i="46"/>
  <c r="M172" i="46"/>
  <c r="T171" i="46"/>
  <c r="S171" i="46"/>
  <c r="N171" i="46"/>
  <c r="M171" i="46"/>
  <c r="S170" i="46"/>
  <c r="M170" i="46"/>
  <c r="T169" i="46"/>
  <c r="S169" i="46"/>
  <c r="N169" i="46"/>
  <c r="M169" i="46"/>
  <c r="S168" i="46"/>
  <c r="M168" i="46"/>
  <c r="T167" i="46"/>
  <c r="S167" i="46"/>
  <c r="N167" i="46"/>
  <c r="M167" i="46"/>
  <c r="S166" i="46"/>
  <c r="M166" i="46"/>
  <c r="M165" i="46"/>
  <c r="T164" i="46"/>
  <c r="S164" i="46" s="1"/>
  <c r="N164" i="46"/>
  <c r="M164" i="46" s="1"/>
  <c r="S163" i="46"/>
  <c r="M163" i="46"/>
  <c r="S162" i="46"/>
  <c r="M162" i="46"/>
  <c r="S161" i="46"/>
  <c r="M161" i="46"/>
  <c r="S160" i="46"/>
  <c r="M160" i="46"/>
  <c r="T159" i="46"/>
  <c r="S159" i="46" s="1"/>
  <c r="N159" i="46"/>
  <c r="M159" i="46" s="1"/>
  <c r="S158" i="46"/>
  <c r="M158" i="46"/>
  <c r="S156" i="46"/>
  <c r="M156" i="46"/>
  <c r="S155" i="46"/>
  <c r="M155" i="46"/>
  <c r="S154" i="46"/>
  <c r="M154" i="46"/>
  <c r="T153" i="46"/>
  <c r="S153" i="46" s="1"/>
  <c r="N153" i="46"/>
  <c r="M153" i="46" s="1"/>
  <c r="S152" i="46"/>
  <c r="M152" i="46"/>
  <c r="T151" i="46"/>
  <c r="S151" i="46" s="1"/>
  <c r="N151" i="46"/>
  <c r="M151" i="46" s="1"/>
  <c r="S150" i="46"/>
  <c r="M150" i="46"/>
  <c r="T149" i="46"/>
  <c r="S149" i="46" s="1"/>
  <c r="M149" i="46"/>
  <c r="M148" i="46"/>
  <c r="S147" i="46"/>
  <c r="M147" i="46"/>
  <c r="S146" i="46"/>
  <c r="M146" i="46"/>
  <c r="S145" i="46"/>
  <c r="M145" i="46"/>
  <c r="S144" i="46"/>
  <c r="M144" i="46"/>
  <c r="S143" i="46"/>
  <c r="M143" i="46"/>
  <c r="S142" i="46"/>
  <c r="M142" i="46"/>
  <c r="S141" i="46"/>
  <c r="M141" i="46"/>
  <c r="S139" i="46"/>
  <c r="M139" i="46"/>
  <c r="S138" i="46"/>
  <c r="M138" i="46"/>
  <c r="S137" i="46"/>
  <c r="M137" i="46"/>
  <c r="S136" i="46"/>
  <c r="M136" i="46"/>
  <c r="S135" i="46"/>
  <c r="M135" i="46"/>
  <c r="T134" i="46"/>
  <c r="S134" i="46" s="1"/>
  <c r="M134" i="46"/>
  <c r="S133" i="46"/>
  <c r="M133" i="46"/>
  <c r="S132" i="46"/>
  <c r="M132" i="46"/>
  <c r="S131" i="46"/>
  <c r="M131" i="46"/>
  <c r="T130" i="46"/>
  <c r="S130" i="46"/>
  <c r="N130" i="46"/>
  <c r="M130" i="46"/>
  <c r="S129" i="46"/>
  <c r="M129" i="46"/>
  <c r="S128" i="46"/>
  <c r="M128" i="46"/>
  <c r="S127" i="46"/>
  <c r="M127" i="46"/>
  <c r="S126" i="46"/>
  <c r="M126" i="46"/>
  <c r="S125" i="46"/>
  <c r="M125" i="46"/>
  <c r="S124" i="46"/>
  <c r="T123" i="46"/>
  <c r="S123" i="46" s="1"/>
  <c r="N123" i="46"/>
  <c r="M123" i="46" s="1"/>
  <c r="S122" i="46"/>
  <c r="M122" i="46"/>
  <c r="T121" i="46"/>
  <c r="S121" i="46" s="1"/>
  <c r="N121" i="46"/>
  <c r="M121" i="46" s="1"/>
  <c r="S120" i="46"/>
  <c r="M120" i="46"/>
  <c r="S119" i="46"/>
  <c r="M119" i="46"/>
  <c r="S118" i="46"/>
  <c r="M118" i="46"/>
  <c r="T117" i="46"/>
  <c r="S117" i="46" s="1"/>
  <c r="N117" i="46"/>
  <c r="M117" i="46" s="1"/>
  <c r="S116" i="46"/>
  <c r="M116" i="46"/>
  <c r="T115" i="46"/>
  <c r="S115" i="46" s="1"/>
  <c r="N115" i="46"/>
  <c r="M115" i="46" s="1"/>
  <c r="S114" i="46"/>
  <c r="M114" i="46"/>
  <c r="S113" i="46"/>
  <c r="N113" i="46"/>
  <c r="M113" i="46"/>
  <c r="S112" i="46"/>
  <c r="M112" i="46"/>
  <c r="T111" i="46"/>
  <c r="S111" i="46"/>
  <c r="N111" i="46"/>
  <c r="M111" i="46"/>
  <c r="S110" i="46"/>
  <c r="M110" i="46"/>
  <c r="S109" i="46"/>
  <c r="N109" i="46"/>
  <c r="M109" i="46" s="1"/>
  <c r="S108" i="46"/>
  <c r="M108" i="46"/>
  <c r="S106" i="46"/>
  <c r="M106" i="46"/>
  <c r="S105" i="46"/>
  <c r="M105" i="46"/>
  <c r="S104" i="46"/>
  <c r="M104" i="46"/>
  <c r="T103" i="46"/>
  <c r="S103" i="46" s="1"/>
  <c r="N103" i="46"/>
  <c r="M103" i="46" s="1"/>
  <c r="S102" i="46"/>
  <c r="M102" i="46"/>
  <c r="T101" i="46"/>
  <c r="S101" i="46" s="1"/>
  <c r="N101" i="46"/>
  <c r="S100" i="46"/>
  <c r="M100" i="46"/>
  <c r="S98" i="46"/>
  <c r="M98" i="46"/>
  <c r="S97" i="46"/>
  <c r="M97" i="46"/>
  <c r="S96" i="46"/>
  <c r="M96" i="46"/>
  <c r="S95" i="46"/>
  <c r="M95" i="46"/>
  <c r="S94" i="46"/>
  <c r="M94" i="46"/>
  <c r="S93" i="46"/>
  <c r="M93" i="46"/>
  <c r="S92" i="46"/>
  <c r="M92" i="46"/>
  <c r="S91" i="46"/>
  <c r="M91" i="46"/>
  <c r="S90" i="46"/>
  <c r="M90" i="46"/>
  <c r="S89" i="46"/>
  <c r="M89" i="46"/>
  <c r="S88" i="46"/>
  <c r="M88" i="46"/>
  <c r="S87" i="46"/>
  <c r="N87" i="46"/>
  <c r="M87" i="46" s="1"/>
  <c r="S86" i="46"/>
  <c r="M86" i="46"/>
  <c r="S85" i="46"/>
  <c r="M85" i="46"/>
  <c r="S84" i="46"/>
  <c r="M84" i="46"/>
  <c r="S83" i="46"/>
  <c r="M83" i="46"/>
  <c r="S82" i="46"/>
  <c r="M82" i="46"/>
  <c r="S80" i="46"/>
  <c r="M80" i="46"/>
  <c r="S79" i="46"/>
  <c r="M79" i="46"/>
  <c r="S78" i="46"/>
  <c r="M78" i="46"/>
  <c r="S77" i="46"/>
  <c r="N77" i="46"/>
  <c r="M77" i="46"/>
  <c r="S76" i="46"/>
  <c r="M76" i="46"/>
  <c r="T75" i="46"/>
  <c r="S75" i="46"/>
  <c r="N75" i="46"/>
  <c r="M75" i="46"/>
  <c r="S74" i="46"/>
  <c r="M74" i="46"/>
  <c r="S73" i="46"/>
  <c r="M73" i="46"/>
  <c r="S72" i="46"/>
  <c r="M72" i="46"/>
  <c r="T71" i="46"/>
  <c r="S71" i="46"/>
  <c r="N71" i="46"/>
  <c r="M71" i="46"/>
  <c r="S70" i="46"/>
  <c r="M70" i="46"/>
  <c r="S69" i="46"/>
  <c r="N69" i="46"/>
  <c r="M69" i="46" s="1"/>
  <c r="S68" i="46"/>
  <c r="M68" i="46"/>
  <c r="S67" i="46"/>
  <c r="M67" i="46"/>
  <c r="S66" i="46"/>
  <c r="M66" i="46"/>
  <c r="S65" i="46"/>
  <c r="M65" i="46"/>
  <c r="S64" i="46"/>
  <c r="M64" i="46"/>
  <c r="T63" i="46"/>
  <c r="S63" i="46" s="1"/>
  <c r="N63" i="46"/>
  <c r="M63" i="46" s="1"/>
  <c r="S62" i="46"/>
  <c r="M62" i="46"/>
  <c r="S61" i="46"/>
  <c r="M61" i="46"/>
  <c r="S60" i="46"/>
  <c r="M60" i="46"/>
  <c r="T59" i="46"/>
  <c r="S59" i="46" s="1"/>
  <c r="N59" i="46"/>
  <c r="M59" i="46" s="1"/>
  <c r="S58" i="46"/>
  <c r="M58" i="46"/>
  <c r="S57" i="46"/>
  <c r="N57" i="46"/>
  <c r="M57" i="46"/>
  <c r="S56" i="46"/>
  <c r="M56" i="46"/>
  <c r="S55" i="46"/>
  <c r="M55" i="46"/>
  <c r="S54" i="46"/>
  <c r="M54" i="46"/>
  <c r="S53" i="46"/>
  <c r="N53" i="46"/>
  <c r="M53" i="46" s="1"/>
  <c r="S52" i="46"/>
  <c r="M52" i="46"/>
  <c r="S51" i="46"/>
  <c r="M51" i="46"/>
  <c r="S50" i="46"/>
  <c r="M50" i="46"/>
  <c r="S49" i="46"/>
  <c r="M49" i="46"/>
  <c r="S48" i="46"/>
  <c r="N48" i="46"/>
  <c r="M48" i="46"/>
  <c r="S47" i="46"/>
  <c r="M47" i="46"/>
  <c r="S46" i="46"/>
  <c r="M46" i="46"/>
  <c r="S45" i="46"/>
  <c r="M45" i="46"/>
  <c r="S44" i="46"/>
  <c r="M44" i="46"/>
  <c r="S43" i="46"/>
  <c r="M43" i="46"/>
  <c r="S42" i="46"/>
  <c r="M42" i="46"/>
  <c r="S41" i="46"/>
  <c r="M41" i="46"/>
  <c r="S40" i="46"/>
  <c r="M40" i="46"/>
  <c r="S39" i="46"/>
  <c r="M39" i="46"/>
  <c r="T38" i="46"/>
  <c r="S38" i="46"/>
  <c r="N38" i="46"/>
  <c r="M38" i="46"/>
  <c r="S37" i="46"/>
  <c r="M37" i="46"/>
  <c r="S36" i="46"/>
  <c r="M36" i="46"/>
  <c r="S35" i="46"/>
  <c r="M35" i="46"/>
  <c r="S33" i="46"/>
  <c r="M33" i="46"/>
  <c r="S32" i="46"/>
  <c r="M32" i="46"/>
  <c r="S31" i="46"/>
  <c r="M31" i="46"/>
  <c r="T30" i="46"/>
  <c r="S30" i="46"/>
  <c r="N30" i="46"/>
  <c r="M30" i="46"/>
  <c r="S29" i="46"/>
  <c r="M29" i="46"/>
  <c r="T28" i="46"/>
  <c r="S28" i="46"/>
  <c r="N28" i="46"/>
  <c r="M28" i="46"/>
  <c r="S27" i="46"/>
  <c r="M27" i="46"/>
  <c r="T26" i="46"/>
  <c r="S26" i="46"/>
  <c r="N26" i="46"/>
  <c r="M26" i="46"/>
  <c r="S25" i="46"/>
  <c r="M25" i="46"/>
  <c r="S24" i="46"/>
  <c r="M24" i="46"/>
  <c r="S23" i="46"/>
  <c r="M23" i="46"/>
  <c r="T22" i="46"/>
  <c r="S22" i="46"/>
  <c r="M22" i="46"/>
  <c r="S21" i="46"/>
  <c r="M21" i="46"/>
  <c r="S20" i="46"/>
  <c r="N20" i="46"/>
  <c r="M20" i="46"/>
  <c r="S19" i="46"/>
  <c r="M19" i="46"/>
  <c r="T18" i="46"/>
  <c r="S18" i="46"/>
  <c r="N18" i="46"/>
  <c r="M18" i="46"/>
  <c r="S17" i="46"/>
  <c r="M17" i="46"/>
  <c r="T16" i="46"/>
  <c r="S16" i="46"/>
  <c r="N16" i="46"/>
  <c r="M16" i="46"/>
  <c r="S15" i="46"/>
  <c r="M15" i="46"/>
  <c r="T14" i="46"/>
  <c r="S14" i="46"/>
  <c r="N14" i="46"/>
  <c r="M14" i="46"/>
  <c r="S13" i="46"/>
  <c r="M13" i="46"/>
  <c r="S12" i="46"/>
  <c r="M12" i="46"/>
  <c r="S11" i="46"/>
  <c r="M11" i="46"/>
  <c r="S10" i="46"/>
  <c r="M10" i="46"/>
  <c r="L303" i="46" s="1"/>
  <c r="S9" i="46"/>
  <c r="M9" i="46"/>
  <c r="L301" i="46" s="1"/>
  <c r="T303" i="45"/>
  <c r="T304" i="45" s="1"/>
  <c r="S303" i="45"/>
  <c r="Q303" i="45"/>
  <c r="Q304" i="45" s="1"/>
  <c r="P303" i="45"/>
  <c r="P304" i="45" s="1"/>
  <c r="O303" i="45"/>
  <c r="O304" i="45" s="1"/>
  <c r="N303" i="45"/>
  <c r="N304" i="45" s="1"/>
  <c r="M303" i="45"/>
  <c r="K303" i="45"/>
  <c r="K304" i="45" s="1"/>
  <c r="J303" i="45"/>
  <c r="J304" i="45" s="1"/>
  <c r="I303" i="45"/>
  <c r="I304" i="45" s="1"/>
  <c r="H303" i="45"/>
  <c r="H304" i="45" s="1"/>
  <c r="G303" i="45"/>
  <c r="G304" i="45" s="1"/>
  <c r="T302" i="45"/>
  <c r="Q302" i="45"/>
  <c r="P302" i="45"/>
  <c r="O302" i="45"/>
  <c r="N302" i="45"/>
  <c r="K302" i="45"/>
  <c r="J302" i="45"/>
  <c r="I302" i="45"/>
  <c r="H302" i="45"/>
  <c r="G302" i="45"/>
  <c r="T301" i="45"/>
  <c r="S301" i="45"/>
  <c r="U301" i="45" s="1"/>
  <c r="Q301" i="45"/>
  <c r="P301" i="45"/>
  <c r="O301" i="45"/>
  <c r="N301" i="45"/>
  <c r="M301" i="45"/>
  <c r="K301" i="45"/>
  <c r="J301" i="45"/>
  <c r="V301" i="45" s="1"/>
  <c r="I301" i="45"/>
  <c r="H301" i="45"/>
  <c r="G301" i="45"/>
  <c r="U295" i="45"/>
  <c r="R295" i="45"/>
  <c r="Q295" i="45"/>
  <c r="P295" i="45"/>
  <c r="O295" i="45"/>
  <c r="L295" i="45"/>
  <c r="K295" i="45"/>
  <c r="J295" i="45"/>
  <c r="I295" i="45"/>
  <c r="H295" i="45"/>
  <c r="M294" i="45"/>
  <c r="S293" i="45"/>
  <c r="M293" i="45"/>
  <c r="S292" i="45"/>
  <c r="M292" i="45"/>
  <c r="S291" i="45"/>
  <c r="M291" i="45"/>
  <c r="T290" i="45"/>
  <c r="S290" i="45" s="1"/>
  <c r="N290" i="45"/>
  <c r="M290" i="45" s="1"/>
  <c r="S289" i="45"/>
  <c r="M289" i="45"/>
  <c r="S287" i="45"/>
  <c r="M287" i="45"/>
  <c r="S286" i="45"/>
  <c r="M286" i="45"/>
  <c r="S285" i="45"/>
  <c r="M285" i="45"/>
  <c r="S284" i="45"/>
  <c r="N284" i="45"/>
  <c r="M284" i="45"/>
  <c r="S283" i="45"/>
  <c r="M283" i="45"/>
  <c r="S282" i="45"/>
  <c r="M282" i="45"/>
  <c r="S281" i="45"/>
  <c r="M281" i="45"/>
  <c r="S280" i="45"/>
  <c r="N280" i="45"/>
  <c r="M280" i="45" s="1"/>
  <c r="S279" i="45"/>
  <c r="M279" i="45"/>
  <c r="T278" i="45"/>
  <c r="S278" i="45" s="1"/>
  <c r="N278" i="45"/>
  <c r="M278" i="45" s="1"/>
  <c r="S277" i="45"/>
  <c r="M277" i="45"/>
  <c r="T276" i="45"/>
  <c r="S276" i="45" s="1"/>
  <c r="N276" i="45"/>
  <c r="M276" i="45" s="1"/>
  <c r="S275" i="45"/>
  <c r="M275" i="45"/>
  <c r="T274" i="45"/>
  <c r="S274" i="45" s="1"/>
  <c r="N274" i="45"/>
  <c r="M274" i="45" s="1"/>
  <c r="S273" i="45"/>
  <c r="M273" i="45"/>
  <c r="T272" i="45"/>
  <c r="S272" i="45" s="1"/>
  <c r="M272" i="45"/>
  <c r="S271" i="45"/>
  <c r="M271" i="45"/>
  <c r="S270" i="45"/>
  <c r="N270" i="45"/>
  <c r="M270" i="45" s="1"/>
  <c r="S269" i="45"/>
  <c r="M269" i="45"/>
  <c r="T268" i="45"/>
  <c r="S268" i="45" s="1"/>
  <c r="M268" i="45"/>
  <c r="S267" i="45"/>
  <c r="M267" i="45"/>
  <c r="S266" i="45"/>
  <c r="N266" i="45"/>
  <c r="M266" i="45" s="1"/>
  <c r="S265" i="45"/>
  <c r="M265" i="45"/>
  <c r="T264" i="45"/>
  <c r="S264" i="45" s="1"/>
  <c r="M264" i="45"/>
  <c r="S263" i="45"/>
  <c r="M263" i="45"/>
  <c r="S262" i="45"/>
  <c r="M262" i="45"/>
  <c r="S261" i="45"/>
  <c r="M261" i="45"/>
  <c r="S259" i="45"/>
  <c r="M259" i="45"/>
  <c r="S258" i="45"/>
  <c r="N258" i="45"/>
  <c r="M258" i="45" s="1"/>
  <c r="S257" i="45"/>
  <c r="M257" i="45"/>
  <c r="T256" i="45"/>
  <c r="S256" i="45" s="1"/>
  <c r="M256" i="45"/>
  <c r="S255" i="45"/>
  <c r="M255" i="45"/>
  <c r="T254" i="45"/>
  <c r="S254" i="45"/>
  <c r="N254" i="45"/>
  <c r="M254" i="45"/>
  <c r="S253" i="45"/>
  <c r="M253" i="45"/>
  <c r="S252" i="45"/>
  <c r="M252" i="45"/>
  <c r="S251" i="45"/>
  <c r="M251" i="45"/>
  <c r="T250" i="45"/>
  <c r="S250" i="45"/>
  <c r="N250" i="45"/>
  <c r="M250" i="45"/>
  <c r="S249" i="45"/>
  <c r="M249" i="45"/>
  <c r="S248" i="45"/>
  <c r="M248" i="45"/>
  <c r="S247" i="45"/>
  <c r="M247" i="45"/>
  <c r="T246" i="45"/>
  <c r="S246" i="45"/>
  <c r="M246" i="45"/>
  <c r="S245" i="45"/>
  <c r="M245" i="45"/>
  <c r="T244" i="45"/>
  <c r="S244" i="45" s="1"/>
  <c r="M244" i="45"/>
  <c r="S243" i="45"/>
  <c r="M243" i="45"/>
  <c r="S242" i="45"/>
  <c r="N242" i="45"/>
  <c r="M242" i="45" s="1"/>
  <c r="S241" i="45"/>
  <c r="M241" i="45"/>
  <c r="S240" i="45"/>
  <c r="M240" i="45"/>
  <c r="S239" i="45"/>
  <c r="M239" i="45"/>
  <c r="S238" i="45"/>
  <c r="M238" i="45"/>
  <c r="S237" i="45"/>
  <c r="M237" i="45"/>
  <c r="S236" i="45"/>
  <c r="M236" i="45"/>
  <c r="S235" i="45"/>
  <c r="M235" i="45"/>
  <c r="S234" i="45"/>
  <c r="M234" i="45"/>
  <c r="S233" i="45"/>
  <c r="M233" i="45"/>
  <c r="S231" i="45"/>
  <c r="M231" i="45"/>
  <c r="S229" i="45"/>
  <c r="M229" i="45"/>
  <c r="S228" i="45"/>
  <c r="M228" i="45"/>
  <c r="S227" i="45"/>
  <c r="M227" i="45"/>
  <c r="S226" i="45"/>
  <c r="M226" i="45"/>
  <c r="S225" i="45"/>
  <c r="M225" i="45"/>
  <c r="T224" i="45"/>
  <c r="S224" i="45" s="1"/>
  <c r="N224" i="45"/>
  <c r="M224" i="45" s="1"/>
  <c r="S223" i="45"/>
  <c r="M223" i="45"/>
  <c r="S222" i="45"/>
  <c r="M222" i="45"/>
  <c r="S221" i="45"/>
  <c r="M221" i="45"/>
  <c r="T220" i="45"/>
  <c r="S220" i="45" s="1"/>
  <c r="N220" i="45"/>
  <c r="M220" i="45" s="1"/>
  <c r="S219" i="45"/>
  <c r="M219" i="45"/>
  <c r="T218" i="45"/>
  <c r="S218" i="45" s="1"/>
  <c r="N218" i="45"/>
  <c r="M218" i="45" s="1"/>
  <c r="S217" i="45"/>
  <c r="M217" i="45"/>
  <c r="S216" i="45"/>
  <c r="M216" i="45"/>
  <c r="S215" i="45"/>
  <c r="M215" i="45"/>
  <c r="S214" i="45"/>
  <c r="N214" i="45"/>
  <c r="M214" i="45"/>
  <c r="S213" i="45"/>
  <c r="M213" i="45"/>
  <c r="M212" i="45"/>
  <c r="S211" i="45"/>
  <c r="M211" i="45"/>
  <c r="T210" i="45"/>
  <c r="S210" i="45" s="1"/>
  <c r="N210" i="45"/>
  <c r="M210" i="45" s="1"/>
  <c r="S209" i="45"/>
  <c r="M209" i="45"/>
  <c r="S208" i="45"/>
  <c r="M208" i="45"/>
  <c r="S207" i="45"/>
  <c r="M207" i="45"/>
  <c r="S206" i="45"/>
  <c r="M206" i="45"/>
  <c r="S205" i="45"/>
  <c r="M205" i="45"/>
  <c r="S204" i="45"/>
  <c r="M204" i="45"/>
  <c r="T203" i="45"/>
  <c r="S203" i="45" s="1"/>
  <c r="N203" i="45"/>
  <c r="M203" i="45" s="1"/>
  <c r="S202" i="45"/>
  <c r="M202" i="45"/>
  <c r="S201" i="45"/>
  <c r="N201" i="45"/>
  <c r="M201" i="45"/>
  <c r="S200" i="45"/>
  <c r="M200" i="45"/>
  <c r="S199" i="45"/>
  <c r="M199" i="45"/>
  <c r="S198" i="45"/>
  <c r="M198" i="45"/>
  <c r="S197" i="45"/>
  <c r="M197" i="45"/>
  <c r="S196" i="45"/>
  <c r="M196" i="45"/>
  <c r="S195" i="45"/>
  <c r="M195" i="45"/>
  <c r="S194" i="45"/>
  <c r="M194" i="45"/>
  <c r="T193" i="45"/>
  <c r="S193" i="45"/>
  <c r="N193" i="45"/>
  <c r="M193" i="45"/>
  <c r="S192" i="45"/>
  <c r="M192" i="45"/>
  <c r="M191" i="45"/>
  <c r="S190" i="45"/>
  <c r="M190" i="45"/>
  <c r="S189" i="45"/>
  <c r="N189" i="45"/>
  <c r="M189" i="45"/>
  <c r="S188" i="45"/>
  <c r="M188" i="45"/>
  <c r="T187" i="45"/>
  <c r="S187" i="45"/>
  <c r="N187" i="45"/>
  <c r="M187" i="45"/>
  <c r="S186" i="45"/>
  <c r="M186" i="45"/>
  <c r="T185" i="45"/>
  <c r="S185" i="45"/>
  <c r="N185" i="45"/>
  <c r="M185" i="45"/>
  <c r="S184" i="45"/>
  <c r="M184" i="45"/>
  <c r="T183" i="45"/>
  <c r="S183" i="45"/>
  <c r="N183" i="45"/>
  <c r="M183" i="45"/>
  <c r="S182" i="45"/>
  <c r="M182" i="45"/>
  <c r="S181" i="45"/>
  <c r="M181" i="45"/>
  <c r="S180" i="45"/>
  <c r="M180" i="45"/>
  <c r="S179" i="45"/>
  <c r="M179" i="45"/>
  <c r="S178" i="45"/>
  <c r="M178" i="45"/>
  <c r="S177" i="45"/>
  <c r="M177" i="45"/>
  <c r="S176" i="45"/>
  <c r="M176" i="45"/>
  <c r="S175" i="45"/>
  <c r="M175" i="45"/>
  <c r="S174" i="45"/>
  <c r="M174" i="45"/>
  <c r="T173" i="45"/>
  <c r="S173" i="45"/>
  <c r="N173" i="45"/>
  <c r="M173" i="45"/>
  <c r="S172" i="45"/>
  <c r="M172" i="45"/>
  <c r="T171" i="45"/>
  <c r="S171" i="45"/>
  <c r="N171" i="45"/>
  <c r="M171" i="45"/>
  <c r="S170" i="45"/>
  <c r="M170" i="45"/>
  <c r="T169" i="45"/>
  <c r="S169" i="45"/>
  <c r="N169" i="45"/>
  <c r="M169" i="45"/>
  <c r="S168" i="45"/>
  <c r="M168" i="45"/>
  <c r="T167" i="45"/>
  <c r="S167" i="45"/>
  <c r="N167" i="45"/>
  <c r="M167" i="45"/>
  <c r="S166" i="45"/>
  <c r="M166" i="45"/>
  <c r="M165" i="45"/>
  <c r="T164" i="45"/>
  <c r="S164" i="45" s="1"/>
  <c r="N164" i="45"/>
  <c r="M164" i="45" s="1"/>
  <c r="S163" i="45"/>
  <c r="M163" i="45"/>
  <c r="S162" i="45"/>
  <c r="M162" i="45"/>
  <c r="S161" i="45"/>
  <c r="M161" i="45"/>
  <c r="S160" i="45"/>
  <c r="M160" i="45"/>
  <c r="T159" i="45"/>
  <c r="S159" i="45" s="1"/>
  <c r="N159" i="45"/>
  <c r="M159" i="45" s="1"/>
  <c r="S158" i="45"/>
  <c r="M158" i="45"/>
  <c r="S156" i="45"/>
  <c r="M156" i="45"/>
  <c r="S155" i="45"/>
  <c r="M155" i="45"/>
  <c r="S154" i="45"/>
  <c r="M154" i="45"/>
  <c r="T153" i="45"/>
  <c r="S153" i="45" s="1"/>
  <c r="N153" i="45"/>
  <c r="M153" i="45" s="1"/>
  <c r="S152" i="45"/>
  <c r="M152" i="45"/>
  <c r="T151" i="45"/>
  <c r="S151" i="45" s="1"/>
  <c r="N151" i="45"/>
  <c r="M151" i="45" s="1"/>
  <c r="S150" i="45"/>
  <c r="M150" i="45"/>
  <c r="T149" i="45"/>
  <c r="S149" i="45" s="1"/>
  <c r="M149" i="45"/>
  <c r="M148" i="45"/>
  <c r="S147" i="45"/>
  <c r="M147" i="45"/>
  <c r="S146" i="45"/>
  <c r="M146" i="45"/>
  <c r="S145" i="45"/>
  <c r="M145" i="45"/>
  <c r="S144" i="45"/>
  <c r="M144" i="45"/>
  <c r="S143" i="45"/>
  <c r="M143" i="45"/>
  <c r="S142" i="45"/>
  <c r="M142" i="45"/>
  <c r="S141" i="45"/>
  <c r="M141" i="45"/>
  <c r="S139" i="45"/>
  <c r="M139" i="45"/>
  <c r="S138" i="45"/>
  <c r="M138" i="45"/>
  <c r="S137" i="45"/>
  <c r="M137" i="45"/>
  <c r="S136" i="45"/>
  <c r="M136" i="45"/>
  <c r="S135" i="45"/>
  <c r="M135" i="45"/>
  <c r="T134" i="45"/>
  <c r="S134" i="45" s="1"/>
  <c r="M134" i="45"/>
  <c r="S133" i="45"/>
  <c r="M133" i="45"/>
  <c r="S132" i="45"/>
  <c r="M132" i="45"/>
  <c r="S131" i="45"/>
  <c r="M131" i="45"/>
  <c r="T130" i="45"/>
  <c r="S130" i="45"/>
  <c r="N130" i="45"/>
  <c r="M130" i="45"/>
  <c r="S129" i="45"/>
  <c r="M129" i="45"/>
  <c r="S128" i="45"/>
  <c r="M128" i="45"/>
  <c r="S127" i="45"/>
  <c r="M127" i="45"/>
  <c r="S126" i="45"/>
  <c r="M126" i="45"/>
  <c r="S125" i="45"/>
  <c r="M125" i="45"/>
  <c r="S124" i="45"/>
  <c r="T123" i="45"/>
  <c r="S123" i="45" s="1"/>
  <c r="N123" i="45"/>
  <c r="M123" i="45" s="1"/>
  <c r="S122" i="45"/>
  <c r="M122" i="45"/>
  <c r="T121" i="45"/>
  <c r="S121" i="45" s="1"/>
  <c r="N121" i="45"/>
  <c r="M121" i="45" s="1"/>
  <c r="S120" i="45"/>
  <c r="M120" i="45"/>
  <c r="S119" i="45"/>
  <c r="M119" i="45"/>
  <c r="S118" i="45"/>
  <c r="M118" i="45"/>
  <c r="T117" i="45"/>
  <c r="S117" i="45" s="1"/>
  <c r="N117" i="45"/>
  <c r="M117" i="45" s="1"/>
  <c r="S116" i="45"/>
  <c r="M116" i="45"/>
  <c r="T115" i="45"/>
  <c r="S115" i="45" s="1"/>
  <c r="N115" i="45"/>
  <c r="M115" i="45" s="1"/>
  <c r="S114" i="45"/>
  <c r="M114" i="45"/>
  <c r="S113" i="45"/>
  <c r="N113" i="45"/>
  <c r="M113" i="45"/>
  <c r="S112" i="45"/>
  <c r="M112" i="45"/>
  <c r="T111" i="45"/>
  <c r="S111" i="45"/>
  <c r="N111" i="45"/>
  <c r="M111" i="45"/>
  <c r="S110" i="45"/>
  <c r="M110" i="45"/>
  <c r="S109" i="45"/>
  <c r="N109" i="45"/>
  <c r="M109" i="45" s="1"/>
  <c r="S108" i="45"/>
  <c r="M108" i="45"/>
  <c r="S106" i="45"/>
  <c r="M106" i="45"/>
  <c r="S105" i="45"/>
  <c r="M105" i="45"/>
  <c r="S104" i="45"/>
  <c r="M104" i="45"/>
  <c r="T103" i="45"/>
  <c r="S103" i="45" s="1"/>
  <c r="N103" i="45"/>
  <c r="M103" i="45" s="1"/>
  <c r="S102" i="45"/>
  <c r="M102" i="45"/>
  <c r="T101" i="45"/>
  <c r="S101" i="45" s="1"/>
  <c r="N101" i="45"/>
  <c r="S100" i="45"/>
  <c r="M100" i="45"/>
  <c r="S98" i="45"/>
  <c r="M98" i="45"/>
  <c r="S97" i="45"/>
  <c r="M97" i="45"/>
  <c r="S96" i="45"/>
  <c r="M96" i="45"/>
  <c r="S95" i="45"/>
  <c r="M95" i="45"/>
  <c r="S94" i="45"/>
  <c r="M94" i="45"/>
  <c r="S93" i="45"/>
  <c r="M93" i="45"/>
  <c r="S92" i="45"/>
  <c r="M92" i="45"/>
  <c r="S91" i="45"/>
  <c r="M91" i="45"/>
  <c r="S90" i="45"/>
  <c r="M90" i="45"/>
  <c r="S89" i="45"/>
  <c r="M89" i="45"/>
  <c r="S88" i="45"/>
  <c r="M88" i="45"/>
  <c r="S87" i="45"/>
  <c r="N87" i="45"/>
  <c r="M87" i="45" s="1"/>
  <c r="S86" i="45"/>
  <c r="M86" i="45"/>
  <c r="S85" i="45"/>
  <c r="M85" i="45"/>
  <c r="S84" i="45"/>
  <c r="M84" i="45"/>
  <c r="S83" i="45"/>
  <c r="M83" i="45"/>
  <c r="S82" i="45"/>
  <c r="M82" i="45"/>
  <c r="S80" i="45"/>
  <c r="M80" i="45"/>
  <c r="S79" i="45"/>
  <c r="M79" i="45"/>
  <c r="S78" i="45"/>
  <c r="M78" i="45"/>
  <c r="S77" i="45"/>
  <c r="N77" i="45"/>
  <c r="M77" i="45"/>
  <c r="S76" i="45"/>
  <c r="M76" i="45"/>
  <c r="T75" i="45"/>
  <c r="S75" i="45"/>
  <c r="N75" i="45"/>
  <c r="M75" i="45"/>
  <c r="S74" i="45"/>
  <c r="M74" i="45"/>
  <c r="S73" i="45"/>
  <c r="M73" i="45"/>
  <c r="S72" i="45"/>
  <c r="M72" i="45"/>
  <c r="T71" i="45"/>
  <c r="S71" i="45"/>
  <c r="N71" i="45"/>
  <c r="M71" i="45"/>
  <c r="S70" i="45"/>
  <c r="M70" i="45"/>
  <c r="S69" i="45"/>
  <c r="N69" i="45"/>
  <c r="M69" i="45" s="1"/>
  <c r="S68" i="45"/>
  <c r="M68" i="45"/>
  <c r="S67" i="45"/>
  <c r="M67" i="45"/>
  <c r="S66" i="45"/>
  <c r="M66" i="45"/>
  <c r="S65" i="45"/>
  <c r="M65" i="45"/>
  <c r="S64" i="45"/>
  <c r="M64" i="45"/>
  <c r="T63" i="45"/>
  <c r="S63" i="45" s="1"/>
  <c r="N63" i="45"/>
  <c r="M63" i="45" s="1"/>
  <c r="S62" i="45"/>
  <c r="M62" i="45"/>
  <c r="S61" i="45"/>
  <c r="M61" i="45"/>
  <c r="S60" i="45"/>
  <c r="M60" i="45"/>
  <c r="T59" i="45"/>
  <c r="T295" i="45" s="1"/>
  <c r="N59" i="45"/>
  <c r="M59" i="45" s="1"/>
  <c r="S58" i="45"/>
  <c r="M58" i="45"/>
  <c r="S57" i="45"/>
  <c r="N57" i="45"/>
  <c r="M57" i="45"/>
  <c r="S56" i="45"/>
  <c r="M56" i="45"/>
  <c r="S55" i="45"/>
  <c r="M55" i="45"/>
  <c r="S54" i="45"/>
  <c r="M54" i="45"/>
  <c r="S53" i="45"/>
  <c r="N53" i="45"/>
  <c r="N295" i="45" s="1"/>
  <c r="S52" i="45"/>
  <c r="M52" i="45"/>
  <c r="S51" i="45"/>
  <c r="M51" i="45"/>
  <c r="S50" i="45"/>
  <c r="M50" i="45"/>
  <c r="S49" i="45"/>
  <c r="M49" i="45"/>
  <c r="S48" i="45"/>
  <c r="N48" i="45"/>
  <c r="M48" i="45"/>
  <c r="S47" i="45"/>
  <c r="M47" i="45"/>
  <c r="S46" i="45"/>
  <c r="M46" i="45"/>
  <c r="S45" i="45"/>
  <c r="M45" i="45"/>
  <c r="S44" i="45"/>
  <c r="M44" i="45"/>
  <c r="S43" i="45"/>
  <c r="M43" i="45"/>
  <c r="S42" i="45"/>
  <c r="M42" i="45"/>
  <c r="S41" i="45"/>
  <c r="M41" i="45"/>
  <c r="S40" i="45"/>
  <c r="M40" i="45"/>
  <c r="S39" i="45"/>
  <c r="M39" i="45"/>
  <c r="T38" i="45"/>
  <c r="S38" i="45"/>
  <c r="N38" i="45"/>
  <c r="M38" i="45"/>
  <c r="S37" i="45"/>
  <c r="M37" i="45"/>
  <c r="S36" i="45"/>
  <c r="M36" i="45"/>
  <c r="S35" i="45"/>
  <c r="M35" i="45"/>
  <c r="S33" i="45"/>
  <c r="M33" i="45"/>
  <c r="S32" i="45"/>
  <c r="M32" i="45"/>
  <c r="S31" i="45"/>
  <c r="M31" i="45"/>
  <c r="T30" i="45"/>
  <c r="S30" i="45"/>
  <c r="N30" i="45"/>
  <c r="M30" i="45"/>
  <c r="S29" i="45"/>
  <c r="M29" i="45"/>
  <c r="T28" i="45"/>
  <c r="S28" i="45"/>
  <c r="N28" i="45"/>
  <c r="M28" i="45"/>
  <c r="S27" i="45"/>
  <c r="M27" i="45"/>
  <c r="T26" i="45"/>
  <c r="S26" i="45"/>
  <c r="N26" i="45"/>
  <c r="M26" i="45"/>
  <c r="S25" i="45"/>
  <c r="M25" i="45"/>
  <c r="S24" i="45"/>
  <c r="M24" i="45"/>
  <c r="S23" i="45"/>
  <c r="M23" i="45"/>
  <c r="T22" i="45"/>
  <c r="S22" i="45"/>
  <c r="M22" i="45"/>
  <c r="S21" i="45"/>
  <c r="M21" i="45"/>
  <c r="S20" i="45"/>
  <c r="N20" i="45"/>
  <c r="M20" i="45"/>
  <c r="S19" i="45"/>
  <c r="M19" i="45"/>
  <c r="T18" i="45"/>
  <c r="S18" i="45"/>
  <c r="N18" i="45"/>
  <c r="M18" i="45"/>
  <c r="S17" i="45"/>
  <c r="M17" i="45"/>
  <c r="T16" i="45"/>
  <c r="S16" i="45"/>
  <c r="N16" i="45"/>
  <c r="M16" i="45"/>
  <c r="S15" i="45"/>
  <c r="M15" i="45"/>
  <c r="T14" i="45"/>
  <c r="S302" i="45" s="1"/>
  <c r="S14" i="45"/>
  <c r="N14" i="45"/>
  <c r="M302" i="45" s="1"/>
  <c r="M14" i="45"/>
  <c r="S13" i="45"/>
  <c r="M13" i="45"/>
  <c r="S12" i="45"/>
  <c r="M12" i="45"/>
  <c r="S11" i="45"/>
  <c r="M11" i="45"/>
  <c r="S10" i="45"/>
  <c r="R303" i="45" s="1"/>
  <c r="M10" i="45"/>
  <c r="L303" i="45" s="1"/>
  <c r="S9" i="45"/>
  <c r="R301" i="45" s="1"/>
  <c r="M9" i="45"/>
  <c r="L301" i="45" s="1"/>
  <c r="T303" i="44"/>
  <c r="T304" i="44" s="1"/>
  <c r="S303" i="44"/>
  <c r="Q303" i="44"/>
  <c r="Q304" i="44" s="1"/>
  <c r="P303" i="44"/>
  <c r="P304" i="44" s="1"/>
  <c r="O303" i="44"/>
  <c r="O304" i="44" s="1"/>
  <c r="N303" i="44"/>
  <c r="N304" i="44" s="1"/>
  <c r="M303" i="44"/>
  <c r="K303" i="44"/>
  <c r="K304" i="44" s="1"/>
  <c r="J303" i="44"/>
  <c r="J304" i="44" s="1"/>
  <c r="I303" i="44"/>
  <c r="I304" i="44" s="1"/>
  <c r="H303" i="44"/>
  <c r="H304" i="44" s="1"/>
  <c r="G303" i="44"/>
  <c r="G304" i="44" s="1"/>
  <c r="T302" i="44"/>
  <c r="Q302" i="44"/>
  <c r="P302" i="44"/>
  <c r="O302" i="44"/>
  <c r="N302" i="44"/>
  <c r="K302" i="44"/>
  <c r="J302" i="44"/>
  <c r="I302" i="44"/>
  <c r="H302" i="44"/>
  <c r="G302" i="44"/>
  <c r="T301" i="44"/>
  <c r="S301" i="44"/>
  <c r="U301" i="44" s="1"/>
  <c r="Q301" i="44"/>
  <c r="P301" i="44"/>
  <c r="O301" i="44"/>
  <c r="N301" i="44"/>
  <c r="M301" i="44"/>
  <c r="K301" i="44"/>
  <c r="J301" i="44"/>
  <c r="V301" i="44" s="1"/>
  <c r="I301" i="44"/>
  <c r="H301" i="44"/>
  <c r="G301" i="44"/>
  <c r="U295" i="44"/>
  <c r="R295" i="44"/>
  <c r="Q295" i="44"/>
  <c r="P295" i="44"/>
  <c r="O295" i="44"/>
  <c r="L295" i="44"/>
  <c r="K295" i="44"/>
  <c r="J295" i="44"/>
  <c r="I295" i="44"/>
  <c r="H295" i="44"/>
  <c r="M294" i="44"/>
  <c r="S293" i="44"/>
  <c r="M293" i="44"/>
  <c r="S292" i="44"/>
  <c r="M292" i="44"/>
  <c r="S291" i="44"/>
  <c r="M291" i="44"/>
  <c r="T290" i="44"/>
  <c r="S290" i="44"/>
  <c r="N290" i="44"/>
  <c r="M290" i="44"/>
  <c r="S289" i="44"/>
  <c r="M289" i="44"/>
  <c r="S287" i="44"/>
  <c r="M287" i="44"/>
  <c r="S286" i="44"/>
  <c r="M286" i="44"/>
  <c r="S285" i="44"/>
  <c r="M285" i="44"/>
  <c r="S284" i="44"/>
  <c r="N284" i="44"/>
  <c r="M284" i="44" s="1"/>
  <c r="S283" i="44"/>
  <c r="M283" i="44"/>
  <c r="S282" i="44"/>
  <c r="M282" i="44"/>
  <c r="S281" i="44"/>
  <c r="M281" i="44"/>
  <c r="S280" i="44"/>
  <c r="N280" i="44"/>
  <c r="M280" i="44"/>
  <c r="S279" i="44"/>
  <c r="M279" i="44"/>
  <c r="T278" i="44"/>
  <c r="S278" i="44"/>
  <c r="N278" i="44"/>
  <c r="M278" i="44"/>
  <c r="S277" i="44"/>
  <c r="M277" i="44"/>
  <c r="T276" i="44"/>
  <c r="S276" i="44"/>
  <c r="N276" i="44"/>
  <c r="M276" i="44"/>
  <c r="S275" i="44"/>
  <c r="M275" i="44"/>
  <c r="T274" i="44"/>
  <c r="S274" i="44"/>
  <c r="N274" i="44"/>
  <c r="M274" i="44"/>
  <c r="S273" i="44"/>
  <c r="M273" i="44"/>
  <c r="T272" i="44"/>
  <c r="S272" i="44"/>
  <c r="M272" i="44"/>
  <c r="S271" i="44"/>
  <c r="M271" i="44"/>
  <c r="S270" i="44"/>
  <c r="N270" i="44"/>
  <c r="M270" i="44"/>
  <c r="S269" i="44"/>
  <c r="M269" i="44"/>
  <c r="T268" i="44"/>
  <c r="S268" i="44"/>
  <c r="M268" i="44"/>
  <c r="S267" i="44"/>
  <c r="M267" i="44"/>
  <c r="S266" i="44"/>
  <c r="N266" i="44"/>
  <c r="M266" i="44"/>
  <c r="S265" i="44"/>
  <c r="M265" i="44"/>
  <c r="T264" i="44"/>
  <c r="S264" i="44"/>
  <c r="M264" i="44"/>
  <c r="S263" i="44"/>
  <c r="M263" i="44"/>
  <c r="S262" i="44"/>
  <c r="M262" i="44"/>
  <c r="S261" i="44"/>
  <c r="M261" i="44"/>
  <c r="S259" i="44"/>
  <c r="M259" i="44"/>
  <c r="S258" i="44"/>
  <c r="N258" i="44"/>
  <c r="M258" i="44"/>
  <c r="S257" i="44"/>
  <c r="M257" i="44"/>
  <c r="T256" i="44"/>
  <c r="S256" i="44"/>
  <c r="M256" i="44"/>
  <c r="S255" i="44"/>
  <c r="M255" i="44"/>
  <c r="T254" i="44"/>
  <c r="S254" i="44" s="1"/>
  <c r="N254" i="44"/>
  <c r="M254" i="44" s="1"/>
  <c r="S253" i="44"/>
  <c r="M253" i="44"/>
  <c r="S252" i="44"/>
  <c r="M252" i="44"/>
  <c r="S251" i="44"/>
  <c r="M251" i="44"/>
  <c r="T250" i="44"/>
  <c r="S250" i="44" s="1"/>
  <c r="N250" i="44"/>
  <c r="M250" i="44" s="1"/>
  <c r="S249" i="44"/>
  <c r="M249" i="44"/>
  <c r="S248" i="44"/>
  <c r="M248" i="44"/>
  <c r="S247" i="44"/>
  <c r="M247" i="44"/>
  <c r="T246" i="44"/>
  <c r="S246" i="44" s="1"/>
  <c r="M246" i="44"/>
  <c r="S245" i="44"/>
  <c r="M245" i="44"/>
  <c r="T244" i="44"/>
  <c r="S244" i="44"/>
  <c r="M244" i="44"/>
  <c r="S243" i="44"/>
  <c r="M243" i="44"/>
  <c r="S242" i="44"/>
  <c r="N242" i="44"/>
  <c r="M242" i="44"/>
  <c r="S241" i="44"/>
  <c r="M241" i="44"/>
  <c r="S240" i="44"/>
  <c r="M240" i="44"/>
  <c r="S239" i="44"/>
  <c r="M239" i="44"/>
  <c r="S238" i="44"/>
  <c r="M238" i="44"/>
  <c r="S237" i="44"/>
  <c r="M237" i="44"/>
  <c r="S236" i="44"/>
  <c r="M236" i="44"/>
  <c r="S235" i="44"/>
  <c r="M235" i="44"/>
  <c r="S234" i="44"/>
  <c r="M234" i="44"/>
  <c r="S233" i="44"/>
  <c r="M233" i="44"/>
  <c r="S231" i="44"/>
  <c r="M231" i="44"/>
  <c r="S229" i="44"/>
  <c r="M229" i="44"/>
  <c r="S228" i="44"/>
  <c r="M228" i="44"/>
  <c r="S227" i="44"/>
  <c r="M227" i="44"/>
  <c r="S226" i="44"/>
  <c r="M226" i="44"/>
  <c r="S225" i="44"/>
  <c r="M225" i="44"/>
  <c r="T224" i="44"/>
  <c r="S224" i="44"/>
  <c r="N224" i="44"/>
  <c r="M224" i="44"/>
  <c r="S223" i="44"/>
  <c r="M223" i="44"/>
  <c r="S222" i="44"/>
  <c r="M222" i="44"/>
  <c r="S221" i="44"/>
  <c r="M221" i="44"/>
  <c r="T220" i="44"/>
  <c r="S220" i="44"/>
  <c r="N220" i="44"/>
  <c r="M220" i="44"/>
  <c r="S219" i="44"/>
  <c r="M219" i="44"/>
  <c r="T218" i="44"/>
  <c r="S218" i="44"/>
  <c r="N218" i="44"/>
  <c r="M218" i="44"/>
  <c r="S217" i="44"/>
  <c r="M217" i="44"/>
  <c r="S216" i="44"/>
  <c r="M216" i="44"/>
  <c r="S215" i="44"/>
  <c r="M215" i="44"/>
  <c r="S214" i="44"/>
  <c r="N214" i="44"/>
  <c r="M214" i="44" s="1"/>
  <c r="S213" i="44"/>
  <c r="M213" i="44"/>
  <c r="M212" i="44"/>
  <c r="S211" i="44"/>
  <c r="M211" i="44"/>
  <c r="T210" i="44"/>
  <c r="S210" i="44"/>
  <c r="N210" i="44"/>
  <c r="M210" i="44"/>
  <c r="S209" i="44"/>
  <c r="M209" i="44"/>
  <c r="S208" i="44"/>
  <c r="M208" i="44"/>
  <c r="S207" i="44"/>
  <c r="M207" i="44"/>
  <c r="S206" i="44"/>
  <c r="M206" i="44"/>
  <c r="S205" i="44"/>
  <c r="M205" i="44"/>
  <c r="S204" i="44"/>
  <c r="M204" i="44"/>
  <c r="T203" i="44"/>
  <c r="S203" i="44"/>
  <c r="N203" i="44"/>
  <c r="M203" i="44"/>
  <c r="S202" i="44"/>
  <c r="M202" i="44"/>
  <c r="S201" i="44"/>
  <c r="N201" i="44"/>
  <c r="M201" i="44" s="1"/>
  <c r="S200" i="44"/>
  <c r="M200" i="44"/>
  <c r="S199" i="44"/>
  <c r="M199" i="44"/>
  <c r="S198" i="44"/>
  <c r="M198" i="44"/>
  <c r="S197" i="44"/>
  <c r="M197" i="44"/>
  <c r="S196" i="44"/>
  <c r="M196" i="44"/>
  <c r="S195" i="44"/>
  <c r="M195" i="44"/>
  <c r="S194" i="44"/>
  <c r="M194" i="44"/>
  <c r="T193" i="44"/>
  <c r="S193" i="44" s="1"/>
  <c r="N193" i="44"/>
  <c r="M193" i="44" s="1"/>
  <c r="S192" i="44"/>
  <c r="M192" i="44"/>
  <c r="M191" i="44"/>
  <c r="S190" i="44"/>
  <c r="M190" i="44"/>
  <c r="S189" i="44"/>
  <c r="N189" i="44"/>
  <c r="M189" i="44" s="1"/>
  <c r="S188" i="44"/>
  <c r="M188" i="44"/>
  <c r="T187" i="44"/>
  <c r="S187" i="44" s="1"/>
  <c r="N187" i="44"/>
  <c r="M187" i="44" s="1"/>
  <c r="S186" i="44"/>
  <c r="M186" i="44"/>
  <c r="T185" i="44"/>
  <c r="S185" i="44" s="1"/>
  <c r="N185" i="44"/>
  <c r="M185" i="44" s="1"/>
  <c r="S184" i="44"/>
  <c r="M184" i="44"/>
  <c r="T183" i="44"/>
  <c r="S183" i="44" s="1"/>
  <c r="N183" i="44"/>
  <c r="M183" i="44" s="1"/>
  <c r="S182" i="44"/>
  <c r="M182" i="44"/>
  <c r="S181" i="44"/>
  <c r="M181" i="44"/>
  <c r="S180" i="44"/>
  <c r="M180" i="44"/>
  <c r="S179" i="44"/>
  <c r="M179" i="44"/>
  <c r="S178" i="44"/>
  <c r="M178" i="44"/>
  <c r="S177" i="44"/>
  <c r="M177" i="44"/>
  <c r="S176" i="44"/>
  <c r="M176" i="44"/>
  <c r="S175" i="44"/>
  <c r="M175" i="44"/>
  <c r="S174" i="44"/>
  <c r="M174" i="44"/>
  <c r="T173" i="44"/>
  <c r="S173" i="44" s="1"/>
  <c r="N173" i="44"/>
  <c r="M173" i="44" s="1"/>
  <c r="S172" i="44"/>
  <c r="M172" i="44"/>
  <c r="T171" i="44"/>
  <c r="S171" i="44" s="1"/>
  <c r="N171" i="44"/>
  <c r="M171" i="44" s="1"/>
  <c r="S170" i="44"/>
  <c r="M170" i="44"/>
  <c r="T169" i="44"/>
  <c r="S169" i="44" s="1"/>
  <c r="N169" i="44"/>
  <c r="M169" i="44" s="1"/>
  <c r="S168" i="44"/>
  <c r="M168" i="44"/>
  <c r="T167" i="44"/>
  <c r="S167" i="44" s="1"/>
  <c r="N167" i="44"/>
  <c r="M167" i="44" s="1"/>
  <c r="S166" i="44"/>
  <c r="M166" i="44"/>
  <c r="M165" i="44"/>
  <c r="T164" i="44"/>
  <c r="S164" i="44"/>
  <c r="N164" i="44"/>
  <c r="M164" i="44"/>
  <c r="S163" i="44"/>
  <c r="M163" i="44"/>
  <c r="S162" i="44"/>
  <c r="M162" i="44"/>
  <c r="S161" i="44"/>
  <c r="M161" i="44"/>
  <c r="S160" i="44"/>
  <c r="M160" i="44"/>
  <c r="T159" i="44"/>
  <c r="S159" i="44"/>
  <c r="N159" i="44"/>
  <c r="M159" i="44"/>
  <c r="S158" i="44"/>
  <c r="M158" i="44"/>
  <c r="S156" i="44"/>
  <c r="M156" i="44"/>
  <c r="S155" i="44"/>
  <c r="M155" i="44"/>
  <c r="S154" i="44"/>
  <c r="M154" i="44"/>
  <c r="T153" i="44"/>
  <c r="S153" i="44"/>
  <c r="N153" i="44"/>
  <c r="M153" i="44"/>
  <c r="S152" i="44"/>
  <c r="M152" i="44"/>
  <c r="T151" i="44"/>
  <c r="S151" i="44"/>
  <c r="N151" i="44"/>
  <c r="M151" i="44"/>
  <c r="S150" i="44"/>
  <c r="M150" i="44"/>
  <c r="T149" i="44"/>
  <c r="S149" i="44"/>
  <c r="M149" i="44"/>
  <c r="M148" i="44"/>
  <c r="S147" i="44"/>
  <c r="M147" i="44"/>
  <c r="S146" i="44"/>
  <c r="M146" i="44"/>
  <c r="S145" i="44"/>
  <c r="M145" i="44"/>
  <c r="S144" i="44"/>
  <c r="M144" i="44"/>
  <c r="S143" i="44"/>
  <c r="M143" i="44"/>
  <c r="S142" i="44"/>
  <c r="M142" i="44"/>
  <c r="S141" i="44"/>
  <c r="M141" i="44"/>
  <c r="S139" i="44"/>
  <c r="M139" i="44"/>
  <c r="S138" i="44"/>
  <c r="M138" i="44"/>
  <c r="S137" i="44"/>
  <c r="M137" i="44"/>
  <c r="S136" i="44"/>
  <c r="M136" i="44"/>
  <c r="S135" i="44"/>
  <c r="M135" i="44"/>
  <c r="T134" i="44"/>
  <c r="S134" i="44"/>
  <c r="M134" i="44"/>
  <c r="S133" i="44"/>
  <c r="M133" i="44"/>
  <c r="S132" i="44"/>
  <c r="M132" i="44"/>
  <c r="S131" i="44"/>
  <c r="M131" i="44"/>
  <c r="T130" i="44"/>
  <c r="S130" i="44" s="1"/>
  <c r="N130" i="44"/>
  <c r="M130" i="44" s="1"/>
  <c r="S129" i="44"/>
  <c r="M129" i="44"/>
  <c r="S128" i="44"/>
  <c r="M128" i="44"/>
  <c r="S127" i="44"/>
  <c r="M127" i="44"/>
  <c r="S126" i="44"/>
  <c r="M126" i="44"/>
  <c r="S125" i="44"/>
  <c r="M125" i="44"/>
  <c r="S124" i="44"/>
  <c r="T123" i="44"/>
  <c r="S123" i="44"/>
  <c r="N123" i="44"/>
  <c r="M123" i="44"/>
  <c r="S122" i="44"/>
  <c r="M122" i="44"/>
  <c r="T121" i="44"/>
  <c r="S121" i="44"/>
  <c r="N121" i="44"/>
  <c r="M121" i="44"/>
  <c r="S120" i="44"/>
  <c r="M120" i="44"/>
  <c r="S119" i="44"/>
  <c r="M119" i="44"/>
  <c r="S118" i="44"/>
  <c r="M118" i="44"/>
  <c r="T117" i="44"/>
  <c r="S117" i="44"/>
  <c r="N117" i="44"/>
  <c r="M117" i="44"/>
  <c r="S116" i="44"/>
  <c r="M116" i="44"/>
  <c r="T115" i="44"/>
  <c r="S115" i="44"/>
  <c r="N115" i="44"/>
  <c r="M115" i="44"/>
  <c r="S114" i="44"/>
  <c r="M114" i="44"/>
  <c r="S113" i="44"/>
  <c r="N113" i="44"/>
  <c r="M113" i="44" s="1"/>
  <c r="S112" i="44"/>
  <c r="M112" i="44"/>
  <c r="T111" i="44"/>
  <c r="S111" i="44" s="1"/>
  <c r="N111" i="44"/>
  <c r="M111" i="44" s="1"/>
  <c r="S110" i="44"/>
  <c r="M110" i="44"/>
  <c r="S109" i="44"/>
  <c r="N109" i="44"/>
  <c r="M109" i="44"/>
  <c r="S108" i="44"/>
  <c r="M108" i="44"/>
  <c r="S106" i="44"/>
  <c r="M106" i="44"/>
  <c r="S105" i="44"/>
  <c r="M105" i="44"/>
  <c r="S104" i="44"/>
  <c r="M104" i="44"/>
  <c r="T103" i="44"/>
  <c r="S103" i="44"/>
  <c r="N103" i="44"/>
  <c r="M103" i="44"/>
  <c r="S102" i="44"/>
  <c r="M102" i="44"/>
  <c r="T101" i="44"/>
  <c r="S101" i="44"/>
  <c r="N101" i="44"/>
  <c r="S100" i="44"/>
  <c r="M100" i="44"/>
  <c r="S98" i="44"/>
  <c r="M98" i="44"/>
  <c r="S97" i="44"/>
  <c r="M97" i="44"/>
  <c r="S96" i="44"/>
  <c r="M96" i="44"/>
  <c r="S95" i="44"/>
  <c r="M95" i="44"/>
  <c r="S94" i="44"/>
  <c r="M94" i="44"/>
  <c r="S93" i="44"/>
  <c r="M93" i="44"/>
  <c r="S92" i="44"/>
  <c r="M92" i="44"/>
  <c r="S91" i="44"/>
  <c r="M91" i="44"/>
  <c r="S90" i="44"/>
  <c r="M90" i="44"/>
  <c r="S89" i="44"/>
  <c r="M89" i="44"/>
  <c r="S88" i="44"/>
  <c r="M88" i="44"/>
  <c r="S87" i="44"/>
  <c r="N87" i="44"/>
  <c r="M87" i="44"/>
  <c r="S86" i="44"/>
  <c r="M86" i="44"/>
  <c r="S85" i="44"/>
  <c r="M85" i="44"/>
  <c r="S84" i="44"/>
  <c r="M84" i="44"/>
  <c r="S83" i="44"/>
  <c r="M83" i="44"/>
  <c r="S82" i="44"/>
  <c r="M82" i="44"/>
  <c r="S80" i="44"/>
  <c r="M80" i="44"/>
  <c r="S79" i="44"/>
  <c r="M79" i="44"/>
  <c r="S78" i="44"/>
  <c r="M78" i="44"/>
  <c r="S77" i="44"/>
  <c r="N77" i="44"/>
  <c r="M77" i="44" s="1"/>
  <c r="S76" i="44"/>
  <c r="M76" i="44"/>
  <c r="T75" i="44"/>
  <c r="S75" i="44" s="1"/>
  <c r="N75" i="44"/>
  <c r="M75" i="44" s="1"/>
  <c r="S74" i="44"/>
  <c r="M74" i="44"/>
  <c r="S73" i="44"/>
  <c r="M73" i="44"/>
  <c r="S72" i="44"/>
  <c r="M72" i="44"/>
  <c r="T71" i="44"/>
  <c r="S71" i="44" s="1"/>
  <c r="N71" i="44"/>
  <c r="M71" i="44" s="1"/>
  <c r="S70" i="44"/>
  <c r="M70" i="44"/>
  <c r="S69" i="44"/>
  <c r="N69" i="44"/>
  <c r="M69" i="44"/>
  <c r="S68" i="44"/>
  <c r="M68" i="44"/>
  <c r="S67" i="44"/>
  <c r="M67" i="44"/>
  <c r="S66" i="44"/>
  <c r="M66" i="44"/>
  <c r="S65" i="44"/>
  <c r="M65" i="44"/>
  <c r="S64" i="44"/>
  <c r="M64" i="44"/>
  <c r="T63" i="44"/>
  <c r="S63" i="44"/>
  <c r="N63" i="44"/>
  <c r="M63" i="44"/>
  <c r="S62" i="44"/>
  <c r="M62" i="44"/>
  <c r="S61" i="44"/>
  <c r="M61" i="44"/>
  <c r="S60" i="44"/>
  <c r="M60" i="44"/>
  <c r="T59" i="44"/>
  <c r="S59" i="44"/>
  <c r="N59" i="44"/>
  <c r="M59" i="44"/>
  <c r="S58" i="44"/>
  <c r="M58" i="44"/>
  <c r="S57" i="44"/>
  <c r="N57" i="44"/>
  <c r="M57" i="44" s="1"/>
  <c r="S56" i="44"/>
  <c r="M56" i="44"/>
  <c r="S55" i="44"/>
  <c r="M55" i="44"/>
  <c r="S54" i="44"/>
  <c r="M54" i="44"/>
  <c r="S53" i="44"/>
  <c r="N53" i="44"/>
  <c r="M53" i="44"/>
  <c r="S52" i="44"/>
  <c r="M52" i="44"/>
  <c r="S51" i="44"/>
  <c r="M51" i="44"/>
  <c r="S50" i="44"/>
  <c r="M50" i="44"/>
  <c r="S49" i="44"/>
  <c r="M49" i="44"/>
  <c r="S48" i="44"/>
  <c r="N48" i="44"/>
  <c r="M48" i="44" s="1"/>
  <c r="S47" i="44"/>
  <c r="M47" i="44"/>
  <c r="S46" i="44"/>
  <c r="M46" i="44"/>
  <c r="S45" i="44"/>
  <c r="M45" i="44"/>
  <c r="S44" i="44"/>
  <c r="M44" i="44"/>
  <c r="S43" i="44"/>
  <c r="M43" i="44"/>
  <c r="S42" i="44"/>
  <c r="M42" i="44"/>
  <c r="S41" i="44"/>
  <c r="M41" i="44"/>
  <c r="S40" i="44"/>
  <c r="M40" i="44"/>
  <c r="S39" i="44"/>
  <c r="M39" i="44"/>
  <c r="T38" i="44"/>
  <c r="S38" i="44" s="1"/>
  <c r="N38" i="44"/>
  <c r="M38" i="44" s="1"/>
  <c r="S37" i="44"/>
  <c r="M37" i="44"/>
  <c r="S36" i="44"/>
  <c r="M36" i="44"/>
  <c r="S35" i="44"/>
  <c r="M35" i="44"/>
  <c r="S33" i="44"/>
  <c r="M33" i="44"/>
  <c r="S32" i="44"/>
  <c r="M32" i="44"/>
  <c r="S31" i="44"/>
  <c r="M31" i="44"/>
  <c r="T30" i="44"/>
  <c r="S30" i="44" s="1"/>
  <c r="N30" i="44"/>
  <c r="M30" i="44" s="1"/>
  <c r="S29" i="44"/>
  <c r="M29" i="44"/>
  <c r="T28" i="44"/>
  <c r="S28" i="44" s="1"/>
  <c r="N28" i="44"/>
  <c r="M28" i="44" s="1"/>
  <c r="S27" i="44"/>
  <c r="M27" i="44"/>
  <c r="T26" i="44"/>
  <c r="S26" i="44" s="1"/>
  <c r="N26" i="44"/>
  <c r="M26" i="44" s="1"/>
  <c r="S25" i="44"/>
  <c r="M25" i="44"/>
  <c r="S24" i="44"/>
  <c r="M24" i="44"/>
  <c r="S23" i="44"/>
  <c r="M23" i="44"/>
  <c r="T22" i="44"/>
  <c r="S22" i="44" s="1"/>
  <c r="M22" i="44"/>
  <c r="S21" i="44"/>
  <c r="M21" i="44"/>
  <c r="S20" i="44"/>
  <c r="N20" i="44"/>
  <c r="M20" i="44" s="1"/>
  <c r="S19" i="44"/>
  <c r="M19" i="44"/>
  <c r="T18" i="44"/>
  <c r="S18" i="44" s="1"/>
  <c r="N18" i="44"/>
  <c r="M18" i="44" s="1"/>
  <c r="S17" i="44"/>
  <c r="M17" i="44"/>
  <c r="T16" i="44"/>
  <c r="S16" i="44" s="1"/>
  <c r="N16" i="44"/>
  <c r="M16" i="44" s="1"/>
  <c r="S15" i="44"/>
  <c r="M15" i="44"/>
  <c r="T14" i="44"/>
  <c r="S302" i="44" s="1"/>
  <c r="N14" i="44"/>
  <c r="M302" i="44" s="1"/>
  <c r="S13" i="44"/>
  <c r="M13" i="44"/>
  <c r="S12" i="44"/>
  <c r="M12" i="44"/>
  <c r="S11" i="44"/>
  <c r="M11" i="44"/>
  <c r="S10" i="44"/>
  <c r="R303" i="44" s="1"/>
  <c r="M10" i="44"/>
  <c r="L303" i="44" s="1"/>
  <c r="S9" i="44"/>
  <c r="R301" i="44" s="1"/>
  <c r="M9" i="44"/>
  <c r="L301" i="44" s="1"/>
  <c r="T303" i="43"/>
  <c r="T304" i="43" s="1"/>
  <c r="S303" i="43"/>
  <c r="Q303" i="43"/>
  <c r="Q304" i="43" s="1"/>
  <c r="P303" i="43"/>
  <c r="P304" i="43" s="1"/>
  <c r="O303" i="43"/>
  <c r="O304" i="43" s="1"/>
  <c r="N303" i="43"/>
  <c r="N304" i="43" s="1"/>
  <c r="M303" i="43"/>
  <c r="K303" i="43"/>
  <c r="K304" i="43" s="1"/>
  <c r="J303" i="43"/>
  <c r="J304" i="43" s="1"/>
  <c r="I303" i="43"/>
  <c r="I304" i="43" s="1"/>
  <c r="H303" i="43"/>
  <c r="H304" i="43" s="1"/>
  <c r="G303" i="43"/>
  <c r="G304" i="43" s="1"/>
  <c r="T302" i="43"/>
  <c r="Q302" i="43"/>
  <c r="P302" i="43"/>
  <c r="O302" i="43"/>
  <c r="N302" i="43"/>
  <c r="K302" i="43"/>
  <c r="J302" i="43"/>
  <c r="I302" i="43"/>
  <c r="H302" i="43"/>
  <c r="G302" i="43"/>
  <c r="T301" i="43"/>
  <c r="S301" i="43"/>
  <c r="U301" i="43" s="1"/>
  <c r="Q301" i="43"/>
  <c r="P301" i="43"/>
  <c r="O301" i="43"/>
  <c r="N301" i="43"/>
  <c r="M301" i="43"/>
  <c r="K301" i="43"/>
  <c r="J301" i="43"/>
  <c r="V301" i="43" s="1"/>
  <c r="I301" i="43"/>
  <c r="H301" i="43"/>
  <c r="G301" i="43"/>
  <c r="U295" i="43"/>
  <c r="R295" i="43"/>
  <c r="Q295" i="43"/>
  <c r="P295" i="43"/>
  <c r="O295" i="43"/>
  <c r="L295" i="43"/>
  <c r="K295" i="43"/>
  <c r="J295" i="43"/>
  <c r="I295" i="43"/>
  <c r="H295" i="43"/>
  <c r="M294" i="43"/>
  <c r="S293" i="43"/>
  <c r="M293" i="43"/>
  <c r="S292" i="43"/>
  <c r="M292" i="43"/>
  <c r="S291" i="43"/>
  <c r="M291" i="43"/>
  <c r="T290" i="43"/>
  <c r="S290" i="43" s="1"/>
  <c r="N290" i="43"/>
  <c r="M290" i="43" s="1"/>
  <c r="S289" i="43"/>
  <c r="M289" i="43"/>
  <c r="S287" i="43"/>
  <c r="M287" i="43"/>
  <c r="S286" i="43"/>
  <c r="M286" i="43"/>
  <c r="S285" i="43"/>
  <c r="M285" i="43"/>
  <c r="S284" i="43"/>
  <c r="N284" i="43"/>
  <c r="M284" i="43"/>
  <c r="S283" i="43"/>
  <c r="M283" i="43"/>
  <c r="S282" i="43"/>
  <c r="M282" i="43"/>
  <c r="S281" i="43"/>
  <c r="M281" i="43"/>
  <c r="S280" i="43"/>
  <c r="N280" i="43"/>
  <c r="M280" i="43" s="1"/>
  <c r="S279" i="43"/>
  <c r="M279" i="43"/>
  <c r="T278" i="43"/>
  <c r="S278" i="43" s="1"/>
  <c r="N278" i="43"/>
  <c r="M278" i="43" s="1"/>
  <c r="S277" i="43"/>
  <c r="M277" i="43"/>
  <c r="T276" i="43"/>
  <c r="S276" i="43" s="1"/>
  <c r="M276" i="43"/>
  <c r="S275" i="43"/>
  <c r="M275" i="43"/>
  <c r="T274" i="43"/>
  <c r="S274" i="43"/>
  <c r="N274" i="43"/>
  <c r="M274" i="43"/>
  <c r="S273" i="43"/>
  <c r="M273" i="43"/>
  <c r="T272" i="43"/>
  <c r="S272" i="43"/>
  <c r="M272" i="43"/>
  <c r="S271" i="43"/>
  <c r="M271" i="43"/>
  <c r="S270" i="43"/>
  <c r="N270" i="43"/>
  <c r="M270" i="43"/>
  <c r="S269" i="43"/>
  <c r="M269" i="43"/>
  <c r="T268" i="43"/>
  <c r="S268" i="43"/>
  <c r="M268" i="43"/>
  <c r="S267" i="43"/>
  <c r="M267" i="43"/>
  <c r="S266" i="43"/>
  <c r="N266" i="43"/>
  <c r="M266" i="43"/>
  <c r="S265" i="43"/>
  <c r="M265" i="43"/>
  <c r="T264" i="43"/>
  <c r="S264" i="43"/>
  <c r="M264" i="43"/>
  <c r="S263" i="43"/>
  <c r="M263" i="43"/>
  <c r="S262" i="43"/>
  <c r="M262" i="43"/>
  <c r="S261" i="43"/>
  <c r="M261" i="43"/>
  <c r="S259" i="43"/>
  <c r="M259" i="43"/>
  <c r="S258" i="43"/>
  <c r="M258" i="43"/>
  <c r="S257" i="43"/>
  <c r="M257" i="43"/>
  <c r="T256" i="43"/>
  <c r="S256" i="43" s="1"/>
  <c r="M256" i="43"/>
  <c r="S255" i="43"/>
  <c r="M255" i="43"/>
  <c r="T254" i="43"/>
  <c r="S254" i="43"/>
  <c r="N254" i="43"/>
  <c r="M254" i="43"/>
  <c r="S253" i="43"/>
  <c r="M253" i="43"/>
  <c r="S252" i="43"/>
  <c r="M252" i="43"/>
  <c r="S251" i="43"/>
  <c r="M251" i="43"/>
  <c r="T250" i="43"/>
  <c r="S250" i="43"/>
  <c r="N250" i="43"/>
  <c r="M250" i="43"/>
  <c r="S249" i="43"/>
  <c r="M249" i="43"/>
  <c r="S248" i="43"/>
  <c r="M248" i="43"/>
  <c r="S247" i="43"/>
  <c r="M247" i="43"/>
  <c r="T246" i="43"/>
  <c r="S246" i="43"/>
  <c r="M246" i="43"/>
  <c r="S245" i="43"/>
  <c r="M245" i="43"/>
  <c r="T244" i="43"/>
  <c r="S244" i="43" s="1"/>
  <c r="M244" i="43"/>
  <c r="S243" i="43"/>
  <c r="M243" i="43"/>
  <c r="S242" i="43"/>
  <c r="N242" i="43"/>
  <c r="M242" i="43" s="1"/>
  <c r="S241" i="43"/>
  <c r="M241" i="43"/>
  <c r="S240" i="43"/>
  <c r="M240" i="43"/>
  <c r="S239" i="43"/>
  <c r="M239" i="43"/>
  <c r="S238" i="43"/>
  <c r="M238" i="43"/>
  <c r="S237" i="43"/>
  <c r="M237" i="43"/>
  <c r="S236" i="43"/>
  <c r="M236" i="43"/>
  <c r="S235" i="43"/>
  <c r="M235" i="43"/>
  <c r="S234" i="43"/>
  <c r="M234" i="43"/>
  <c r="S233" i="43"/>
  <c r="M233" i="43"/>
  <c r="S231" i="43"/>
  <c r="M231" i="43"/>
  <c r="S229" i="43"/>
  <c r="M229" i="43"/>
  <c r="S228" i="43"/>
  <c r="M228" i="43"/>
  <c r="S227" i="43"/>
  <c r="M227" i="43"/>
  <c r="S226" i="43"/>
  <c r="M226" i="43"/>
  <c r="S225" i="43"/>
  <c r="M225" i="43"/>
  <c r="T224" i="43"/>
  <c r="S224" i="43" s="1"/>
  <c r="N224" i="43"/>
  <c r="M224" i="43" s="1"/>
  <c r="S223" i="43"/>
  <c r="M223" i="43"/>
  <c r="S222" i="43"/>
  <c r="M222" i="43"/>
  <c r="S221" i="43"/>
  <c r="M221" i="43"/>
  <c r="T220" i="43"/>
  <c r="S220" i="43" s="1"/>
  <c r="M220" i="43"/>
  <c r="S219" i="43"/>
  <c r="M219" i="43"/>
  <c r="T218" i="43"/>
  <c r="S218" i="43"/>
  <c r="N218" i="43"/>
  <c r="M218" i="43"/>
  <c r="S217" i="43"/>
  <c r="M217" i="43"/>
  <c r="S216" i="43"/>
  <c r="M216" i="43"/>
  <c r="S215" i="43"/>
  <c r="M215" i="43"/>
  <c r="S214" i="43"/>
  <c r="N214" i="43"/>
  <c r="M214" i="43" s="1"/>
  <c r="S213" i="43"/>
  <c r="M213" i="43"/>
  <c r="M212" i="43"/>
  <c r="S211" i="43"/>
  <c r="M211" i="43"/>
  <c r="T210" i="43"/>
  <c r="S210" i="43"/>
  <c r="M210" i="43"/>
  <c r="S209" i="43"/>
  <c r="M209" i="43"/>
  <c r="S208" i="43"/>
  <c r="M208" i="43"/>
  <c r="S207" i="43"/>
  <c r="M207" i="43"/>
  <c r="S206" i="43"/>
  <c r="M206" i="43"/>
  <c r="S205" i="43"/>
  <c r="M205" i="43"/>
  <c r="S204" i="43"/>
  <c r="M204" i="43"/>
  <c r="T203" i="43"/>
  <c r="S203" i="43" s="1"/>
  <c r="N203" i="43"/>
  <c r="M203" i="43" s="1"/>
  <c r="S202" i="43"/>
  <c r="M202" i="43"/>
  <c r="S201" i="43"/>
  <c r="N201" i="43"/>
  <c r="M201" i="43"/>
  <c r="S200" i="43"/>
  <c r="M200" i="43"/>
  <c r="S199" i="43"/>
  <c r="M199" i="43"/>
  <c r="S198" i="43"/>
  <c r="M198" i="43"/>
  <c r="S197" i="43"/>
  <c r="M197" i="43"/>
  <c r="S196" i="43"/>
  <c r="M196" i="43"/>
  <c r="S195" i="43"/>
  <c r="M195" i="43"/>
  <c r="S194" i="43"/>
  <c r="M194" i="43"/>
  <c r="T193" i="43"/>
  <c r="S193" i="43"/>
  <c r="N193" i="43"/>
  <c r="M193" i="43"/>
  <c r="S192" i="43"/>
  <c r="M192" i="43"/>
  <c r="M191" i="43"/>
  <c r="S190" i="43"/>
  <c r="M190" i="43"/>
  <c r="S189" i="43"/>
  <c r="N189" i="43"/>
  <c r="M189" i="43"/>
  <c r="S188" i="43"/>
  <c r="M188" i="43"/>
  <c r="T187" i="43"/>
  <c r="S187" i="43"/>
  <c r="N187" i="43"/>
  <c r="M187" i="43"/>
  <c r="S186" i="43"/>
  <c r="M186" i="43"/>
  <c r="T185" i="43"/>
  <c r="S185" i="43"/>
  <c r="N185" i="43"/>
  <c r="M185" i="43"/>
  <c r="S184" i="43"/>
  <c r="M184" i="43"/>
  <c r="T183" i="43"/>
  <c r="S183" i="43"/>
  <c r="N183" i="43"/>
  <c r="M183" i="43"/>
  <c r="S182" i="43"/>
  <c r="M182" i="43"/>
  <c r="S181" i="43"/>
  <c r="M181" i="43"/>
  <c r="S180" i="43"/>
  <c r="M180" i="43"/>
  <c r="S179" i="43"/>
  <c r="M179" i="43"/>
  <c r="S178" i="43"/>
  <c r="M178" i="43"/>
  <c r="S177" i="43"/>
  <c r="M177" i="43"/>
  <c r="S176" i="43"/>
  <c r="M176" i="43"/>
  <c r="S175" i="43"/>
  <c r="M175" i="43"/>
  <c r="S174" i="43"/>
  <c r="M174" i="43"/>
  <c r="T173" i="43"/>
  <c r="S173" i="43"/>
  <c r="N173" i="43"/>
  <c r="M173" i="43"/>
  <c r="S172" i="43"/>
  <c r="M172" i="43"/>
  <c r="T171" i="43"/>
  <c r="S171" i="43"/>
  <c r="N171" i="43"/>
  <c r="M171" i="43"/>
  <c r="S170" i="43"/>
  <c r="M170" i="43"/>
  <c r="T169" i="43"/>
  <c r="S169" i="43"/>
  <c r="N169" i="43"/>
  <c r="M169" i="43"/>
  <c r="S168" i="43"/>
  <c r="M168" i="43"/>
  <c r="T167" i="43"/>
  <c r="S167" i="43"/>
  <c r="N167" i="43"/>
  <c r="M167" i="43"/>
  <c r="S166" i="43"/>
  <c r="M166" i="43"/>
  <c r="M165" i="43"/>
  <c r="T164" i="43"/>
  <c r="S164" i="43" s="1"/>
  <c r="N164" i="43"/>
  <c r="M164" i="43" s="1"/>
  <c r="S163" i="43"/>
  <c r="M163" i="43"/>
  <c r="S162" i="43"/>
  <c r="M162" i="43"/>
  <c r="S161" i="43"/>
  <c r="M161" i="43"/>
  <c r="S160" i="43"/>
  <c r="M160" i="43"/>
  <c r="T159" i="43"/>
  <c r="S159" i="43" s="1"/>
  <c r="N159" i="43"/>
  <c r="M159" i="43" s="1"/>
  <c r="S158" i="43"/>
  <c r="M158" i="43"/>
  <c r="S156" i="43"/>
  <c r="M156" i="43"/>
  <c r="S155" i="43"/>
  <c r="M155" i="43"/>
  <c r="S154" i="43"/>
  <c r="M154" i="43"/>
  <c r="T153" i="43"/>
  <c r="S153" i="43" s="1"/>
  <c r="N153" i="43"/>
  <c r="M153" i="43" s="1"/>
  <c r="S152" i="43"/>
  <c r="M152" i="43"/>
  <c r="T151" i="43"/>
  <c r="S151" i="43" s="1"/>
  <c r="N151" i="43"/>
  <c r="M151" i="43" s="1"/>
  <c r="S150" i="43"/>
  <c r="M150" i="43"/>
  <c r="T149" i="43"/>
  <c r="S149" i="43" s="1"/>
  <c r="M149" i="43"/>
  <c r="M148" i="43"/>
  <c r="S147" i="43"/>
  <c r="M147" i="43"/>
  <c r="S146" i="43"/>
  <c r="M146" i="43"/>
  <c r="S145" i="43"/>
  <c r="M145" i="43"/>
  <c r="S144" i="43"/>
  <c r="M144" i="43"/>
  <c r="S143" i="43"/>
  <c r="M143" i="43"/>
  <c r="S142" i="43"/>
  <c r="M142" i="43"/>
  <c r="S141" i="43"/>
  <c r="M141" i="43"/>
  <c r="S139" i="43"/>
  <c r="M139" i="43"/>
  <c r="S138" i="43"/>
  <c r="M138" i="43"/>
  <c r="S137" i="43"/>
  <c r="M137" i="43"/>
  <c r="S136" i="43"/>
  <c r="M136" i="43"/>
  <c r="S135" i="43"/>
  <c r="M135" i="43"/>
  <c r="T134" i="43"/>
  <c r="S134" i="43" s="1"/>
  <c r="M134" i="43"/>
  <c r="S133" i="43"/>
  <c r="M133" i="43"/>
  <c r="S132" i="43"/>
  <c r="M132" i="43"/>
  <c r="S131" i="43"/>
  <c r="M131" i="43"/>
  <c r="T130" i="43"/>
  <c r="S130" i="43"/>
  <c r="N130" i="43"/>
  <c r="M130" i="43"/>
  <c r="S129" i="43"/>
  <c r="M129" i="43"/>
  <c r="S128" i="43"/>
  <c r="M128" i="43"/>
  <c r="S127" i="43"/>
  <c r="M127" i="43"/>
  <c r="S126" i="43"/>
  <c r="M126" i="43"/>
  <c r="S125" i="43"/>
  <c r="M125" i="43"/>
  <c r="S124" i="43"/>
  <c r="T123" i="43"/>
  <c r="S123" i="43" s="1"/>
  <c r="N123" i="43"/>
  <c r="M123" i="43" s="1"/>
  <c r="S122" i="43"/>
  <c r="M122" i="43"/>
  <c r="T121" i="43"/>
  <c r="S121" i="43" s="1"/>
  <c r="N121" i="43"/>
  <c r="M121" i="43" s="1"/>
  <c r="S120" i="43"/>
  <c r="M120" i="43"/>
  <c r="S119" i="43"/>
  <c r="M119" i="43"/>
  <c r="S118" i="43"/>
  <c r="M118" i="43"/>
  <c r="T117" i="43"/>
  <c r="S117" i="43" s="1"/>
  <c r="N117" i="43"/>
  <c r="M117" i="43" s="1"/>
  <c r="S116" i="43"/>
  <c r="M116" i="43"/>
  <c r="T115" i="43"/>
  <c r="S115" i="43" s="1"/>
  <c r="N115" i="43"/>
  <c r="M115" i="43" s="1"/>
  <c r="S114" i="43"/>
  <c r="M114" i="43"/>
  <c r="S113" i="43"/>
  <c r="N113" i="43"/>
  <c r="M113" i="43"/>
  <c r="S112" i="43"/>
  <c r="M112" i="43"/>
  <c r="T111" i="43"/>
  <c r="S111" i="43"/>
  <c r="N111" i="43"/>
  <c r="M111" i="43"/>
  <c r="S110" i="43"/>
  <c r="M110" i="43"/>
  <c r="S109" i="43"/>
  <c r="N109" i="43"/>
  <c r="M109" i="43" s="1"/>
  <c r="S108" i="43"/>
  <c r="M108" i="43"/>
  <c r="S106" i="43"/>
  <c r="M106" i="43"/>
  <c r="S105" i="43"/>
  <c r="M105" i="43"/>
  <c r="S104" i="43"/>
  <c r="M104" i="43"/>
  <c r="T103" i="43"/>
  <c r="S103" i="43" s="1"/>
  <c r="N103" i="43"/>
  <c r="M103" i="43" s="1"/>
  <c r="S102" i="43"/>
  <c r="M102" i="43"/>
  <c r="T101" i="43"/>
  <c r="S101" i="43" s="1"/>
  <c r="N101" i="43"/>
  <c r="S100" i="43"/>
  <c r="M100" i="43"/>
  <c r="S98" i="43"/>
  <c r="M98" i="43"/>
  <c r="S97" i="43"/>
  <c r="M97" i="43"/>
  <c r="S96" i="43"/>
  <c r="M96" i="43"/>
  <c r="S95" i="43"/>
  <c r="M95" i="43"/>
  <c r="S94" i="43"/>
  <c r="M94" i="43"/>
  <c r="S93" i="43"/>
  <c r="M93" i="43"/>
  <c r="S92" i="43"/>
  <c r="M92" i="43"/>
  <c r="S91" i="43"/>
  <c r="M91" i="43"/>
  <c r="S90" i="43"/>
  <c r="M90" i="43"/>
  <c r="S89" i="43"/>
  <c r="M89" i="43"/>
  <c r="S88" i="43"/>
  <c r="M88" i="43"/>
  <c r="S87" i="43"/>
  <c r="N87" i="43"/>
  <c r="M87" i="43" s="1"/>
  <c r="S86" i="43"/>
  <c r="M86" i="43"/>
  <c r="S85" i="43"/>
  <c r="M85" i="43"/>
  <c r="S84" i="43"/>
  <c r="M84" i="43"/>
  <c r="S83" i="43"/>
  <c r="M83" i="43"/>
  <c r="S82" i="43"/>
  <c r="M82" i="43"/>
  <c r="S80" i="43"/>
  <c r="M80" i="43"/>
  <c r="S79" i="43"/>
  <c r="M79" i="43"/>
  <c r="S78" i="43"/>
  <c r="M78" i="43"/>
  <c r="S77" i="43"/>
  <c r="M77" i="43"/>
  <c r="S76" i="43"/>
  <c r="M76" i="43"/>
  <c r="T75" i="43"/>
  <c r="S75" i="43" s="1"/>
  <c r="N75" i="43"/>
  <c r="M75" i="43" s="1"/>
  <c r="S74" i="43"/>
  <c r="M74" i="43"/>
  <c r="S73" i="43"/>
  <c r="M73" i="43"/>
  <c r="S72" i="43"/>
  <c r="M72" i="43"/>
  <c r="T71" i="43"/>
  <c r="S71" i="43" s="1"/>
  <c r="N71" i="43"/>
  <c r="M71" i="43" s="1"/>
  <c r="S70" i="43"/>
  <c r="M70" i="43"/>
  <c r="S69" i="43"/>
  <c r="N69" i="43"/>
  <c r="M69" i="43"/>
  <c r="S68" i="43"/>
  <c r="M68" i="43"/>
  <c r="S67" i="43"/>
  <c r="M67" i="43"/>
  <c r="S66" i="43"/>
  <c r="M66" i="43"/>
  <c r="S65" i="43"/>
  <c r="M65" i="43"/>
  <c r="S64" i="43"/>
  <c r="M64" i="43"/>
  <c r="T63" i="43"/>
  <c r="S63" i="43"/>
  <c r="N63" i="43"/>
  <c r="M63" i="43"/>
  <c r="S62" i="43"/>
  <c r="M62" i="43"/>
  <c r="S61" i="43"/>
  <c r="M61" i="43"/>
  <c r="S60" i="43"/>
  <c r="M60" i="43"/>
  <c r="T59" i="43"/>
  <c r="S59" i="43"/>
  <c r="N59" i="43"/>
  <c r="M59" i="43"/>
  <c r="S58" i="43"/>
  <c r="M58" i="43"/>
  <c r="S57" i="43"/>
  <c r="N57" i="43"/>
  <c r="M57" i="43" s="1"/>
  <c r="S56" i="43"/>
  <c r="M56" i="43"/>
  <c r="S55" i="43"/>
  <c r="M55" i="43"/>
  <c r="S54" i="43"/>
  <c r="M54" i="43"/>
  <c r="S53" i="43"/>
  <c r="N53" i="43"/>
  <c r="M53" i="43"/>
  <c r="S52" i="43"/>
  <c r="M52" i="43"/>
  <c r="S51" i="43"/>
  <c r="M51" i="43"/>
  <c r="S50" i="43"/>
  <c r="M50" i="43"/>
  <c r="S49" i="43"/>
  <c r="M49" i="43"/>
  <c r="S48" i="43"/>
  <c r="N48" i="43"/>
  <c r="M48" i="43" s="1"/>
  <c r="S47" i="43"/>
  <c r="M47" i="43"/>
  <c r="S46" i="43"/>
  <c r="M46" i="43"/>
  <c r="S45" i="43"/>
  <c r="M45" i="43"/>
  <c r="S44" i="43"/>
  <c r="M44" i="43"/>
  <c r="S43" i="43"/>
  <c r="M43" i="43"/>
  <c r="S42" i="43"/>
  <c r="M42" i="43"/>
  <c r="S41" i="43"/>
  <c r="M41" i="43"/>
  <c r="S40" i="43"/>
  <c r="M40" i="43"/>
  <c r="S39" i="43"/>
  <c r="M39" i="43"/>
  <c r="T38" i="43"/>
  <c r="S38" i="43" s="1"/>
  <c r="N38" i="43"/>
  <c r="M38" i="43" s="1"/>
  <c r="S37" i="43"/>
  <c r="M37" i="43"/>
  <c r="S36" i="43"/>
  <c r="M36" i="43"/>
  <c r="S35" i="43"/>
  <c r="M35" i="43"/>
  <c r="S33" i="43"/>
  <c r="M33" i="43"/>
  <c r="S32" i="43"/>
  <c r="M32" i="43"/>
  <c r="S31" i="43"/>
  <c r="M31" i="43"/>
  <c r="T30" i="43"/>
  <c r="S30" i="43" s="1"/>
  <c r="N30" i="43"/>
  <c r="M30" i="43" s="1"/>
  <c r="S29" i="43"/>
  <c r="M29" i="43"/>
  <c r="T28" i="43"/>
  <c r="S28" i="43" s="1"/>
  <c r="N28" i="43"/>
  <c r="N295" i="43" s="1"/>
  <c r="S27" i="43"/>
  <c r="M27" i="43"/>
  <c r="T26" i="43"/>
  <c r="T295" i="43" s="1"/>
  <c r="M26" i="43"/>
  <c r="S25" i="43"/>
  <c r="M25" i="43"/>
  <c r="S24" i="43"/>
  <c r="M24" i="43"/>
  <c r="S23" i="43"/>
  <c r="M23" i="43"/>
  <c r="T22" i="43"/>
  <c r="S22" i="43"/>
  <c r="M22" i="43"/>
  <c r="S21" i="43"/>
  <c r="M21" i="43"/>
  <c r="S20" i="43"/>
  <c r="N20" i="43"/>
  <c r="M20" i="43"/>
  <c r="S19" i="43"/>
  <c r="M19" i="43"/>
  <c r="T18" i="43"/>
  <c r="S18" i="43"/>
  <c r="N18" i="43"/>
  <c r="M18" i="43"/>
  <c r="S17" i="43"/>
  <c r="M17" i="43"/>
  <c r="T16" i="43"/>
  <c r="S16" i="43"/>
  <c r="N16" i="43"/>
  <c r="M302" i="43" s="1"/>
  <c r="M16" i="43"/>
  <c r="S15" i="43"/>
  <c r="M15" i="43"/>
  <c r="T14" i="43"/>
  <c r="S302" i="43" s="1"/>
  <c r="U302" i="43" s="1"/>
  <c r="S14" i="43"/>
  <c r="M14" i="43"/>
  <c r="S13" i="43"/>
  <c r="M13" i="43"/>
  <c r="S12" i="43"/>
  <c r="M12" i="43"/>
  <c r="S11" i="43"/>
  <c r="M11" i="43"/>
  <c r="S10" i="43"/>
  <c r="R303" i="43" s="1"/>
  <c r="M10" i="43"/>
  <c r="L303" i="43" s="1"/>
  <c r="S9" i="43"/>
  <c r="R301" i="43" s="1"/>
  <c r="M9" i="43"/>
  <c r="L301" i="43" s="1"/>
  <c r="T303" i="42"/>
  <c r="T304" i="42" s="1"/>
  <c r="S303" i="42"/>
  <c r="Q303" i="42"/>
  <c r="Q304" i="42" s="1"/>
  <c r="P303" i="42"/>
  <c r="P304" i="42" s="1"/>
  <c r="O303" i="42"/>
  <c r="O304" i="42" s="1"/>
  <c r="N303" i="42"/>
  <c r="N304" i="42" s="1"/>
  <c r="M303" i="42"/>
  <c r="K303" i="42"/>
  <c r="K304" i="42" s="1"/>
  <c r="J303" i="42"/>
  <c r="J304" i="42" s="1"/>
  <c r="I303" i="42"/>
  <c r="I304" i="42" s="1"/>
  <c r="H303" i="42"/>
  <c r="H304" i="42" s="1"/>
  <c r="G303" i="42"/>
  <c r="T302" i="42"/>
  <c r="Q302" i="42"/>
  <c r="P302" i="42"/>
  <c r="O302" i="42"/>
  <c r="N302" i="42"/>
  <c r="K302" i="42"/>
  <c r="J302" i="42"/>
  <c r="I302" i="42"/>
  <c r="H302" i="42"/>
  <c r="G302" i="42"/>
  <c r="T301" i="42"/>
  <c r="S301" i="42"/>
  <c r="U301" i="42" s="1"/>
  <c r="Q301" i="42"/>
  <c r="P301" i="42"/>
  <c r="O301" i="42"/>
  <c r="N301" i="42"/>
  <c r="M301" i="42"/>
  <c r="K301" i="42"/>
  <c r="J301" i="42"/>
  <c r="V301" i="42" s="1"/>
  <c r="I301" i="42"/>
  <c r="H301" i="42"/>
  <c r="G301" i="42"/>
  <c r="U295" i="42"/>
  <c r="R295" i="42"/>
  <c r="Q295" i="42"/>
  <c r="P295" i="42"/>
  <c r="O295" i="42"/>
  <c r="L295" i="42"/>
  <c r="K295" i="42"/>
  <c r="J295" i="42"/>
  <c r="I295" i="42"/>
  <c r="H295" i="42"/>
  <c r="M294" i="42"/>
  <c r="S293" i="42"/>
  <c r="M293" i="42"/>
  <c r="S292" i="42"/>
  <c r="M292" i="42"/>
  <c r="S291" i="42"/>
  <c r="M291" i="42"/>
  <c r="T290" i="42"/>
  <c r="S290" i="42" s="1"/>
  <c r="N290" i="42"/>
  <c r="M290" i="42" s="1"/>
  <c r="S289" i="42"/>
  <c r="M289" i="42"/>
  <c r="S287" i="42"/>
  <c r="M287" i="42"/>
  <c r="S286" i="42"/>
  <c r="M286" i="42"/>
  <c r="S285" i="42"/>
  <c r="M285" i="42"/>
  <c r="S284" i="42"/>
  <c r="N284" i="42"/>
  <c r="M284" i="42"/>
  <c r="S283" i="42"/>
  <c r="M283" i="42"/>
  <c r="S282" i="42"/>
  <c r="M282" i="42"/>
  <c r="S281" i="42"/>
  <c r="M281" i="42"/>
  <c r="S280" i="42"/>
  <c r="N280" i="42"/>
  <c r="M280" i="42" s="1"/>
  <c r="S279" i="42"/>
  <c r="M279" i="42"/>
  <c r="T278" i="42"/>
  <c r="S278" i="42" s="1"/>
  <c r="N278" i="42"/>
  <c r="M278" i="42" s="1"/>
  <c r="S277" i="42"/>
  <c r="M277" i="42"/>
  <c r="T276" i="42"/>
  <c r="S276" i="42" s="1"/>
  <c r="M276" i="42"/>
  <c r="S275" i="42"/>
  <c r="M275" i="42"/>
  <c r="T274" i="42"/>
  <c r="S274" i="42"/>
  <c r="N274" i="42"/>
  <c r="M274" i="42"/>
  <c r="S273" i="42"/>
  <c r="M273" i="42"/>
  <c r="T272" i="42"/>
  <c r="S272" i="42"/>
  <c r="M272" i="42"/>
  <c r="S271" i="42"/>
  <c r="M271" i="42"/>
  <c r="S270" i="42"/>
  <c r="N270" i="42"/>
  <c r="M270" i="42"/>
  <c r="S269" i="42"/>
  <c r="M269" i="42"/>
  <c r="T268" i="42"/>
  <c r="S268" i="42"/>
  <c r="M268" i="42"/>
  <c r="S267" i="42"/>
  <c r="M267" i="42"/>
  <c r="S266" i="42"/>
  <c r="N266" i="42"/>
  <c r="M266" i="42"/>
  <c r="S265" i="42"/>
  <c r="M265" i="42"/>
  <c r="T264" i="42"/>
  <c r="S264" i="42"/>
  <c r="M264" i="42"/>
  <c r="S263" i="42"/>
  <c r="M263" i="42"/>
  <c r="S262" i="42"/>
  <c r="M262" i="42"/>
  <c r="S261" i="42"/>
  <c r="M261" i="42"/>
  <c r="S259" i="42"/>
  <c r="M259" i="42"/>
  <c r="S258" i="42"/>
  <c r="M258" i="42"/>
  <c r="S257" i="42"/>
  <c r="M257" i="42"/>
  <c r="T256" i="42"/>
  <c r="S256" i="42" s="1"/>
  <c r="M256" i="42"/>
  <c r="S255" i="42"/>
  <c r="M255" i="42"/>
  <c r="T254" i="42"/>
  <c r="S254" i="42"/>
  <c r="N254" i="42"/>
  <c r="M254" i="42"/>
  <c r="S253" i="42"/>
  <c r="M253" i="42"/>
  <c r="S252" i="42"/>
  <c r="M252" i="42"/>
  <c r="S251" i="42"/>
  <c r="M251" i="42"/>
  <c r="T250" i="42"/>
  <c r="S250" i="42"/>
  <c r="N250" i="42"/>
  <c r="M250" i="42"/>
  <c r="S249" i="42"/>
  <c r="M249" i="42"/>
  <c r="S248" i="42"/>
  <c r="M248" i="42"/>
  <c r="S247" i="42"/>
  <c r="M247" i="42"/>
  <c r="T246" i="42"/>
  <c r="S246" i="42"/>
  <c r="M246" i="42"/>
  <c r="S245" i="42"/>
  <c r="M245" i="42"/>
  <c r="T244" i="42"/>
  <c r="S244" i="42" s="1"/>
  <c r="M244" i="42"/>
  <c r="S243" i="42"/>
  <c r="M243" i="42"/>
  <c r="S242" i="42"/>
  <c r="N242" i="42"/>
  <c r="M242" i="42" s="1"/>
  <c r="S241" i="42"/>
  <c r="M241" i="42"/>
  <c r="S240" i="42"/>
  <c r="M240" i="42"/>
  <c r="S239" i="42"/>
  <c r="M239" i="42"/>
  <c r="S238" i="42"/>
  <c r="M238" i="42"/>
  <c r="S237" i="42"/>
  <c r="M237" i="42"/>
  <c r="S236" i="42"/>
  <c r="M236" i="42"/>
  <c r="S235" i="42"/>
  <c r="M235" i="42"/>
  <c r="S234" i="42"/>
  <c r="M234" i="42"/>
  <c r="S233" i="42"/>
  <c r="M233" i="42"/>
  <c r="S231" i="42"/>
  <c r="M231" i="42"/>
  <c r="S229" i="42"/>
  <c r="M229" i="42"/>
  <c r="S228" i="42"/>
  <c r="M228" i="42"/>
  <c r="S227" i="42"/>
  <c r="M227" i="42"/>
  <c r="S226" i="42"/>
  <c r="M226" i="42"/>
  <c r="S225" i="42"/>
  <c r="M225" i="42"/>
  <c r="T224" i="42"/>
  <c r="S224" i="42" s="1"/>
  <c r="N224" i="42"/>
  <c r="M224" i="42" s="1"/>
  <c r="S223" i="42"/>
  <c r="M223" i="42"/>
  <c r="S222" i="42"/>
  <c r="M222" i="42"/>
  <c r="S221" i="42"/>
  <c r="M221" i="42"/>
  <c r="T220" i="42"/>
  <c r="S220" i="42" s="1"/>
  <c r="M220" i="42"/>
  <c r="S219" i="42"/>
  <c r="M219" i="42"/>
  <c r="T218" i="42"/>
  <c r="S218" i="42"/>
  <c r="N218" i="42"/>
  <c r="M218" i="42"/>
  <c r="S217" i="42"/>
  <c r="M217" i="42"/>
  <c r="S216" i="42"/>
  <c r="M216" i="42"/>
  <c r="S215" i="42"/>
  <c r="M215" i="42"/>
  <c r="S214" i="42"/>
  <c r="N214" i="42"/>
  <c r="M214" i="42" s="1"/>
  <c r="S213" i="42"/>
  <c r="M213" i="42"/>
  <c r="M212" i="42"/>
  <c r="S211" i="42"/>
  <c r="M211" i="42"/>
  <c r="T210" i="42"/>
  <c r="S210" i="42"/>
  <c r="M210" i="42"/>
  <c r="S209" i="42"/>
  <c r="M209" i="42"/>
  <c r="S208" i="42"/>
  <c r="M208" i="42"/>
  <c r="S207" i="42"/>
  <c r="M207" i="42"/>
  <c r="S206" i="42"/>
  <c r="M206" i="42"/>
  <c r="S205" i="42"/>
  <c r="M205" i="42"/>
  <c r="S204" i="42"/>
  <c r="M204" i="42"/>
  <c r="T203" i="42"/>
  <c r="S203" i="42" s="1"/>
  <c r="N203" i="42"/>
  <c r="M203" i="42" s="1"/>
  <c r="S202" i="42"/>
  <c r="M202" i="42"/>
  <c r="S201" i="42"/>
  <c r="N201" i="42"/>
  <c r="M201" i="42"/>
  <c r="S200" i="42"/>
  <c r="M200" i="42"/>
  <c r="S199" i="42"/>
  <c r="M199" i="42"/>
  <c r="S198" i="42"/>
  <c r="M198" i="42"/>
  <c r="S197" i="42"/>
  <c r="M197" i="42"/>
  <c r="S196" i="42"/>
  <c r="M196" i="42"/>
  <c r="S195" i="42"/>
  <c r="M195" i="42"/>
  <c r="S194" i="42"/>
  <c r="M194" i="42"/>
  <c r="T193" i="42"/>
  <c r="S193" i="42"/>
  <c r="N193" i="42"/>
  <c r="M193" i="42"/>
  <c r="S192" i="42"/>
  <c r="M192" i="42"/>
  <c r="M191" i="42"/>
  <c r="S190" i="42"/>
  <c r="M190" i="42"/>
  <c r="S189" i="42"/>
  <c r="N189" i="42"/>
  <c r="M189" i="42"/>
  <c r="S188" i="42"/>
  <c r="M188" i="42"/>
  <c r="T187" i="42"/>
  <c r="S187" i="42"/>
  <c r="N187" i="42"/>
  <c r="M187" i="42"/>
  <c r="S186" i="42"/>
  <c r="M186" i="42"/>
  <c r="T185" i="42"/>
  <c r="S185" i="42"/>
  <c r="N185" i="42"/>
  <c r="M185" i="42"/>
  <c r="S184" i="42"/>
  <c r="M184" i="42"/>
  <c r="T183" i="42"/>
  <c r="S183" i="42"/>
  <c r="N183" i="42"/>
  <c r="M183" i="42"/>
  <c r="S182" i="42"/>
  <c r="M182" i="42"/>
  <c r="S181" i="42"/>
  <c r="M181" i="42"/>
  <c r="S180" i="42"/>
  <c r="M180" i="42"/>
  <c r="S179" i="42"/>
  <c r="M179" i="42"/>
  <c r="S178" i="42"/>
  <c r="M178" i="42"/>
  <c r="S177" i="42"/>
  <c r="M177" i="42"/>
  <c r="S176" i="42"/>
  <c r="M176" i="42"/>
  <c r="S175" i="42"/>
  <c r="M175" i="42"/>
  <c r="S174" i="42"/>
  <c r="M174" i="42"/>
  <c r="T173" i="42"/>
  <c r="S173" i="42"/>
  <c r="N173" i="42"/>
  <c r="M173" i="42"/>
  <c r="S172" i="42"/>
  <c r="M172" i="42"/>
  <c r="T171" i="42"/>
  <c r="S171" i="42"/>
  <c r="N171" i="42"/>
  <c r="M171" i="42"/>
  <c r="S170" i="42"/>
  <c r="M170" i="42"/>
  <c r="T169" i="42"/>
  <c r="S169" i="42"/>
  <c r="N169" i="42"/>
  <c r="M169" i="42"/>
  <c r="S168" i="42"/>
  <c r="M168" i="42"/>
  <c r="T167" i="42"/>
  <c r="S167" i="42"/>
  <c r="N167" i="42"/>
  <c r="M167" i="42"/>
  <c r="S166" i="42"/>
  <c r="M166" i="42"/>
  <c r="M165" i="42"/>
  <c r="T164" i="42"/>
  <c r="S164" i="42" s="1"/>
  <c r="N164" i="42"/>
  <c r="M164" i="42" s="1"/>
  <c r="S163" i="42"/>
  <c r="M163" i="42"/>
  <c r="S162" i="42"/>
  <c r="M162" i="42"/>
  <c r="S161" i="42"/>
  <c r="M161" i="42"/>
  <c r="S160" i="42"/>
  <c r="M160" i="42"/>
  <c r="T159" i="42"/>
  <c r="S159" i="42" s="1"/>
  <c r="N159" i="42"/>
  <c r="M159" i="42" s="1"/>
  <c r="S158" i="42"/>
  <c r="M158" i="42"/>
  <c r="S156" i="42"/>
  <c r="M156" i="42"/>
  <c r="S155" i="42"/>
  <c r="M155" i="42"/>
  <c r="S154" i="42"/>
  <c r="M154" i="42"/>
  <c r="T153" i="42"/>
  <c r="S153" i="42" s="1"/>
  <c r="N153" i="42"/>
  <c r="M153" i="42" s="1"/>
  <c r="S152" i="42"/>
  <c r="M152" i="42"/>
  <c r="T151" i="42"/>
  <c r="S151" i="42" s="1"/>
  <c r="N151" i="42"/>
  <c r="M151" i="42" s="1"/>
  <c r="S150" i="42"/>
  <c r="M150" i="42"/>
  <c r="T149" i="42"/>
  <c r="S149" i="42" s="1"/>
  <c r="M149" i="42"/>
  <c r="M148" i="42"/>
  <c r="S147" i="42"/>
  <c r="M147" i="42"/>
  <c r="S146" i="42"/>
  <c r="M146" i="42"/>
  <c r="S145" i="42"/>
  <c r="M145" i="42"/>
  <c r="S144" i="42"/>
  <c r="M144" i="42"/>
  <c r="S143" i="42"/>
  <c r="M143" i="42"/>
  <c r="S142" i="42"/>
  <c r="M142" i="42"/>
  <c r="S141" i="42"/>
  <c r="M141" i="42"/>
  <c r="S139" i="42"/>
  <c r="M139" i="42"/>
  <c r="S138" i="42"/>
  <c r="M138" i="42"/>
  <c r="S137" i="42"/>
  <c r="M137" i="42"/>
  <c r="S136" i="42"/>
  <c r="M136" i="42"/>
  <c r="S135" i="42"/>
  <c r="M135" i="42"/>
  <c r="T134" i="42"/>
  <c r="S134" i="42" s="1"/>
  <c r="M134" i="42"/>
  <c r="S133" i="42"/>
  <c r="M133" i="42"/>
  <c r="S132" i="42"/>
  <c r="M132" i="42"/>
  <c r="S131" i="42"/>
  <c r="M131" i="42"/>
  <c r="T130" i="42"/>
  <c r="S130" i="42"/>
  <c r="N130" i="42"/>
  <c r="M130" i="42"/>
  <c r="S129" i="42"/>
  <c r="M129" i="42"/>
  <c r="S128" i="42"/>
  <c r="M128" i="42"/>
  <c r="S127" i="42"/>
  <c r="M127" i="42"/>
  <c r="S126" i="42"/>
  <c r="M126" i="42"/>
  <c r="S125" i="42"/>
  <c r="M125" i="42"/>
  <c r="S124" i="42"/>
  <c r="T123" i="42"/>
  <c r="S123" i="42" s="1"/>
  <c r="N123" i="42"/>
  <c r="M123" i="42" s="1"/>
  <c r="S122" i="42"/>
  <c r="M122" i="42"/>
  <c r="T121" i="42"/>
  <c r="S121" i="42" s="1"/>
  <c r="N121" i="42"/>
  <c r="M121" i="42" s="1"/>
  <c r="S120" i="42"/>
  <c r="M120" i="42"/>
  <c r="S119" i="42"/>
  <c r="M119" i="42"/>
  <c r="S118" i="42"/>
  <c r="M118" i="42"/>
  <c r="T117" i="42"/>
  <c r="S117" i="42" s="1"/>
  <c r="N117" i="42"/>
  <c r="M117" i="42" s="1"/>
  <c r="S116" i="42"/>
  <c r="M116" i="42"/>
  <c r="T115" i="42"/>
  <c r="S115" i="42" s="1"/>
  <c r="N115" i="42"/>
  <c r="M115" i="42" s="1"/>
  <c r="S114" i="42"/>
  <c r="M114" i="42"/>
  <c r="S113" i="42"/>
  <c r="N113" i="42"/>
  <c r="M113" i="42"/>
  <c r="S112" i="42"/>
  <c r="M112" i="42"/>
  <c r="T111" i="42"/>
  <c r="S111" i="42"/>
  <c r="N111" i="42"/>
  <c r="M111" i="42"/>
  <c r="S110" i="42"/>
  <c r="M110" i="42"/>
  <c r="S109" i="42"/>
  <c r="N109" i="42"/>
  <c r="M109" i="42" s="1"/>
  <c r="S108" i="42"/>
  <c r="M108" i="42"/>
  <c r="S106" i="42"/>
  <c r="M106" i="42"/>
  <c r="S105" i="42"/>
  <c r="M105" i="42"/>
  <c r="S104" i="42"/>
  <c r="M104" i="42"/>
  <c r="T103" i="42"/>
  <c r="S103" i="42" s="1"/>
  <c r="N103" i="42"/>
  <c r="M103" i="42" s="1"/>
  <c r="S102" i="42"/>
  <c r="M102" i="42"/>
  <c r="T101" i="42"/>
  <c r="S101" i="42" s="1"/>
  <c r="N101" i="42"/>
  <c r="S100" i="42"/>
  <c r="M100" i="42"/>
  <c r="S98" i="42"/>
  <c r="M98" i="42"/>
  <c r="S97" i="42"/>
  <c r="M97" i="42"/>
  <c r="S96" i="42"/>
  <c r="M96" i="42"/>
  <c r="S95" i="42"/>
  <c r="M95" i="42"/>
  <c r="S94" i="42"/>
  <c r="M94" i="42"/>
  <c r="S93" i="42"/>
  <c r="M93" i="42"/>
  <c r="S92" i="42"/>
  <c r="M92" i="42"/>
  <c r="S91" i="42"/>
  <c r="M91" i="42"/>
  <c r="S90" i="42"/>
  <c r="M90" i="42"/>
  <c r="S89" i="42"/>
  <c r="M89" i="42"/>
  <c r="S88" i="42"/>
  <c r="M88" i="42"/>
  <c r="S87" i="42"/>
  <c r="N87" i="42"/>
  <c r="M87" i="42" s="1"/>
  <c r="S86" i="42"/>
  <c r="M86" i="42"/>
  <c r="S85" i="42"/>
  <c r="M85" i="42"/>
  <c r="S84" i="42"/>
  <c r="M84" i="42"/>
  <c r="S83" i="42"/>
  <c r="M83" i="42"/>
  <c r="S82" i="42"/>
  <c r="M82" i="42"/>
  <c r="S80" i="42"/>
  <c r="M80" i="42"/>
  <c r="S79" i="42"/>
  <c r="M79" i="42"/>
  <c r="S78" i="42"/>
  <c r="M78" i="42"/>
  <c r="S77" i="42"/>
  <c r="M77" i="42"/>
  <c r="S76" i="42"/>
  <c r="M76" i="42"/>
  <c r="T75" i="42"/>
  <c r="S75" i="42" s="1"/>
  <c r="N75" i="42"/>
  <c r="M75" i="42" s="1"/>
  <c r="S74" i="42"/>
  <c r="M74" i="42"/>
  <c r="S73" i="42"/>
  <c r="M73" i="42"/>
  <c r="S72" i="42"/>
  <c r="M72" i="42"/>
  <c r="T71" i="42"/>
  <c r="S71" i="42" s="1"/>
  <c r="N71" i="42"/>
  <c r="M71" i="42" s="1"/>
  <c r="S70" i="42"/>
  <c r="M70" i="42"/>
  <c r="S69" i="42"/>
  <c r="N69" i="42"/>
  <c r="M69" i="42"/>
  <c r="S68" i="42"/>
  <c r="M68" i="42"/>
  <c r="S67" i="42"/>
  <c r="M67" i="42"/>
  <c r="S66" i="42"/>
  <c r="M66" i="42"/>
  <c r="S65" i="42"/>
  <c r="M65" i="42"/>
  <c r="S64" i="42"/>
  <c r="M64" i="42"/>
  <c r="T63" i="42"/>
  <c r="S63" i="42"/>
  <c r="N63" i="42"/>
  <c r="M63" i="42"/>
  <c r="S62" i="42"/>
  <c r="M62" i="42"/>
  <c r="S61" i="42"/>
  <c r="M61" i="42"/>
  <c r="S60" i="42"/>
  <c r="M60" i="42"/>
  <c r="T59" i="42"/>
  <c r="S59" i="42"/>
  <c r="N59" i="42"/>
  <c r="M59" i="42"/>
  <c r="S58" i="42"/>
  <c r="M58" i="42"/>
  <c r="S57" i="42"/>
  <c r="N57" i="42"/>
  <c r="M57" i="42" s="1"/>
  <c r="S56" i="42"/>
  <c r="M56" i="42"/>
  <c r="S55" i="42"/>
  <c r="M55" i="42"/>
  <c r="S54" i="42"/>
  <c r="M54" i="42"/>
  <c r="S53" i="42"/>
  <c r="M53" i="42"/>
  <c r="S52" i="42"/>
  <c r="M52" i="42"/>
  <c r="S51" i="42"/>
  <c r="M51" i="42"/>
  <c r="S50" i="42"/>
  <c r="M50" i="42"/>
  <c r="S49" i="42"/>
  <c r="M49" i="42"/>
  <c r="S48" i="42"/>
  <c r="N48" i="42"/>
  <c r="M48" i="42"/>
  <c r="S47" i="42"/>
  <c r="M47" i="42"/>
  <c r="S46" i="42"/>
  <c r="M46" i="42"/>
  <c r="S45" i="42"/>
  <c r="M45" i="42"/>
  <c r="S44" i="42"/>
  <c r="M44" i="42"/>
  <c r="S43" i="42"/>
  <c r="M43" i="42"/>
  <c r="S42" i="42"/>
  <c r="M42" i="42"/>
  <c r="S41" i="42"/>
  <c r="M41" i="42"/>
  <c r="S40" i="42"/>
  <c r="M40" i="42"/>
  <c r="S39" i="42"/>
  <c r="M39" i="42"/>
  <c r="T38" i="42"/>
  <c r="S38" i="42"/>
  <c r="N38" i="42"/>
  <c r="M38" i="42"/>
  <c r="S37" i="42"/>
  <c r="M37" i="42"/>
  <c r="S36" i="42"/>
  <c r="M36" i="42"/>
  <c r="S35" i="42"/>
  <c r="M35" i="42"/>
  <c r="S33" i="42"/>
  <c r="M33" i="42"/>
  <c r="S32" i="42"/>
  <c r="M32" i="42"/>
  <c r="S31" i="42"/>
  <c r="M31" i="42"/>
  <c r="T30" i="42"/>
  <c r="S30" i="42"/>
  <c r="N30" i="42"/>
  <c r="M30" i="42"/>
  <c r="S29" i="42"/>
  <c r="M29" i="42"/>
  <c r="T28" i="42"/>
  <c r="S28" i="42"/>
  <c r="N28" i="42"/>
  <c r="M28" i="42"/>
  <c r="S27" i="42"/>
  <c r="M27" i="42"/>
  <c r="T26" i="42"/>
  <c r="S26" i="42"/>
  <c r="M26" i="42"/>
  <c r="S25" i="42"/>
  <c r="M25" i="42"/>
  <c r="S24" i="42"/>
  <c r="M24" i="42"/>
  <c r="S23" i="42"/>
  <c r="M23" i="42"/>
  <c r="T22" i="42"/>
  <c r="S22" i="42" s="1"/>
  <c r="M22" i="42"/>
  <c r="S21" i="42"/>
  <c r="M21" i="42"/>
  <c r="S20" i="42"/>
  <c r="N20" i="42"/>
  <c r="M20" i="42" s="1"/>
  <c r="S19" i="42"/>
  <c r="M19" i="42"/>
  <c r="T18" i="42"/>
  <c r="S18" i="42" s="1"/>
  <c r="N18" i="42"/>
  <c r="M18" i="42" s="1"/>
  <c r="S17" i="42"/>
  <c r="M17" i="42"/>
  <c r="T16" i="42"/>
  <c r="S16" i="42"/>
  <c r="N16" i="42"/>
  <c r="M16" i="42"/>
  <c r="S15" i="42"/>
  <c r="M15" i="42"/>
  <c r="T14" i="42"/>
  <c r="S14" i="42"/>
  <c r="M14" i="42"/>
  <c r="S13" i="42"/>
  <c r="M13" i="42"/>
  <c r="S12" i="42"/>
  <c r="R302" i="42" s="1"/>
  <c r="M12" i="42"/>
  <c r="S11" i="42"/>
  <c r="M11" i="42"/>
  <c r="S10" i="42"/>
  <c r="R303" i="42" s="1"/>
  <c r="M10" i="42"/>
  <c r="S9" i="42"/>
  <c r="M9" i="42"/>
  <c r="T303" i="41"/>
  <c r="T304" i="41" s="1"/>
  <c r="S303" i="41"/>
  <c r="Q303" i="41"/>
  <c r="Q304" i="41" s="1"/>
  <c r="P303" i="41"/>
  <c r="P304" i="41" s="1"/>
  <c r="O303" i="41"/>
  <c r="O304" i="41" s="1"/>
  <c r="N303" i="41"/>
  <c r="N304" i="41" s="1"/>
  <c r="M303" i="41"/>
  <c r="K303" i="41"/>
  <c r="K304" i="41" s="1"/>
  <c r="J303" i="41"/>
  <c r="J304" i="41" s="1"/>
  <c r="I303" i="41"/>
  <c r="I304" i="41" s="1"/>
  <c r="H303" i="41"/>
  <c r="H304" i="41" s="1"/>
  <c r="G303" i="41"/>
  <c r="G304" i="41" s="1"/>
  <c r="T302" i="41"/>
  <c r="Q302" i="41"/>
  <c r="P302" i="41"/>
  <c r="O302" i="41"/>
  <c r="N302" i="41"/>
  <c r="K302" i="41"/>
  <c r="J302" i="41"/>
  <c r="I302" i="41"/>
  <c r="H302" i="41"/>
  <c r="G302" i="41"/>
  <c r="T301" i="41"/>
  <c r="S301" i="41"/>
  <c r="U301" i="41" s="1"/>
  <c r="Q301" i="41"/>
  <c r="P301" i="41"/>
  <c r="O301" i="41"/>
  <c r="N301" i="41"/>
  <c r="M301" i="41"/>
  <c r="K301" i="41"/>
  <c r="J301" i="41"/>
  <c r="V301" i="41" s="1"/>
  <c r="I301" i="41"/>
  <c r="H301" i="41"/>
  <c r="G301" i="41"/>
  <c r="U295" i="41"/>
  <c r="R295" i="41"/>
  <c r="Q295" i="41"/>
  <c r="P295" i="41"/>
  <c r="O295" i="41"/>
  <c r="L295" i="41"/>
  <c r="K295" i="41"/>
  <c r="J295" i="41"/>
  <c r="I295" i="41"/>
  <c r="H295" i="41"/>
  <c r="M294" i="41"/>
  <c r="S293" i="41"/>
  <c r="M293" i="41"/>
  <c r="S292" i="41"/>
  <c r="M292" i="41"/>
  <c r="S291" i="41"/>
  <c r="M291" i="41"/>
  <c r="T290" i="41"/>
  <c r="S290" i="41"/>
  <c r="N290" i="41"/>
  <c r="M290" i="41"/>
  <c r="S289" i="41"/>
  <c r="M289" i="41"/>
  <c r="S287" i="41"/>
  <c r="M287" i="41"/>
  <c r="S286" i="41"/>
  <c r="M286" i="41"/>
  <c r="S285" i="41"/>
  <c r="M285" i="41"/>
  <c r="S284" i="41"/>
  <c r="N284" i="41"/>
  <c r="M284" i="41" s="1"/>
  <c r="S283" i="41"/>
  <c r="M283" i="41"/>
  <c r="S282" i="41"/>
  <c r="M282" i="41"/>
  <c r="S281" i="41"/>
  <c r="M281" i="41"/>
  <c r="S280" i="41"/>
  <c r="N280" i="41"/>
  <c r="M280" i="41"/>
  <c r="S279" i="41"/>
  <c r="M279" i="41"/>
  <c r="T278" i="41"/>
  <c r="S278" i="41"/>
  <c r="N278" i="41"/>
  <c r="M278" i="41"/>
  <c r="S277" i="41"/>
  <c r="M277" i="41"/>
  <c r="T276" i="41"/>
  <c r="S276" i="41"/>
  <c r="M276" i="41"/>
  <c r="S275" i="41"/>
  <c r="M275" i="41"/>
  <c r="T274" i="41"/>
  <c r="S274" i="41" s="1"/>
  <c r="N274" i="41"/>
  <c r="M274" i="41" s="1"/>
  <c r="S273" i="41"/>
  <c r="M273" i="41"/>
  <c r="T272" i="41"/>
  <c r="S272" i="41" s="1"/>
  <c r="M272" i="41"/>
  <c r="S271" i="41"/>
  <c r="M271" i="41"/>
  <c r="S270" i="41"/>
  <c r="N270" i="41"/>
  <c r="M270" i="41" s="1"/>
  <c r="S269" i="41"/>
  <c r="M269" i="41"/>
  <c r="T268" i="41"/>
  <c r="S268" i="41" s="1"/>
  <c r="M268" i="41"/>
  <c r="S267" i="41"/>
  <c r="M267" i="41"/>
  <c r="S266" i="41"/>
  <c r="N266" i="41"/>
  <c r="M266" i="41" s="1"/>
  <c r="S265" i="41"/>
  <c r="M265" i="41"/>
  <c r="T264" i="41"/>
  <c r="S264" i="41" s="1"/>
  <c r="M264" i="41"/>
  <c r="S263" i="41"/>
  <c r="M263" i="41"/>
  <c r="S262" i="41"/>
  <c r="M262" i="41"/>
  <c r="S261" i="41"/>
  <c r="M261" i="41"/>
  <c r="S259" i="41"/>
  <c r="M259" i="41"/>
  <c r="S258" i="41"/>
  <c r="M258" i="41"/>
  <c r="S257" i="41"/>
  <c r="M257" i="41"/>
  <c r="T256" i="41"/>
  <c r="S256" i="41"/>
  <c r="M256" i="41"/>
  <c r="S255" i="41"/>
  <c r="M255" i="41"/>
  <c r="T254" i="41"/>
  <c r="S254" i="41" s="1"/>
  <c r="N254" i="41"/>
  <c r="M254" i="41" s="1"/>
  <c r="S253" i="41"/>
  <c r="M253" i="41"/>
  <c r="S252" i="41"/>
  <c r="M252" i="41"/>
  <c r="S251" i="41"/>
  <c r="M251" i="41"/>
  <c r="T250" i="41"/>
  <c r="S250" i="41" s="1"/>
  <c r="N250" i="41"/>
  <c r="M250" i="41" s="1"/>
  <c r="S249" i="41"/>
  <c r="M249" i="41"/>
  <c r="S248" i="41"/>
  <c r="M248" i="41"/>
  <c r="S247" i="41"/>
  <c r="M247" i="41"/>
  <c r="T246" i="41"/>
  <c r="S246" i="41" s="1"/>
  <c r="M246" i="41"/>
  <c r="S245" i="41"/>
  <c r="M245" i="41"/>
  <c r="T244" i="41"/>
  <c r="S244" i="41"/>
  <c r="M244" i="41"/>
  <c r="S243" i="41"/>
  <c r="M243" i="41"/>
  <c r="S242" i="41"/>
  <c r="N242" i="41"/>
  <c r="M242" i="41"/>
  <c r="S241" i="41"/>
  <c r="M241" i="41"/>
  <c r="S240" i="41"/>
  <c r="M240" i="41"/>
  <c r="S239" i="41"/>
  <c r="M239" i="41"/>
  <c r="S238" i="41"/>
  <c r="M238" i="41"/>
  <c r="S237" i="41"/>
  <c r="M237" i="41"/>
  <c r="S236" i="41"/>
  <c r="M236" i="41"/>
  <c r="S235" i="41"/>
  <c r="M235" i="41"/>
  <c r="S234" i="41"/>
  <c r="M234" i="41"/>
  <c r="S233" i="41"/>
  <c r="M233" i="41"/>
  <c r="S231" i="41"/>
  <c r="M231" i="41"/>
  <c r="S229" i="41"/>
  <c r="M229" i="41"/>
  <c r="S228" i="41"/>
  <c r="M228" i="41"/>
  <c r="S227" i="41"/>
  <c r="M227" i="41"/>
  <c r="S226" i="41"/>
  <c r="M226" i="41"/>
  <c r="S225" i="41"/>
  <c r="M225" i="41"/>
  <c r="T224" i="41"/>
  <c r="S224" i="41"/>
  <c r="N224" i="41"/>
  <c r="M224" i="41"/>
  <c r="S223" i="41"/>
  <c r="M223" i="41"/>
  <c r="S222" i="41"/>
  <c r="M222" i="41"/>
  <c r="S221" i="41"/>
  <c r="M221" i="41"/>
  <c r="T220" i="41"/>
  <c r="S220" i="41"/>
  <c r="M220" i="41"/>
  <c r="S219" i="41"/>
  <c r="M219" i="41"/>
  <c r="T218" i="41"/>
  <c r="S218" i="41" s="1"/>
  <c r="N218" i="41"/>
  <c r="M218" i="41" s="1"/>
  <c r="S217" i="41"/>
  <c r="M217" i="41"/>
  <c r="S216" i="41"/>
  <c r="M216" i="41"/>
  <c r="S215" i="41"/>
  <c r="M215" i="41"/>
  <c r="S214" i="41"/>
  <c r="N214" i="41"/>
  <c r="M214" i="41"/>
  <c r="S213" i="41"/>
  <c r="M213" i="41"/>
  <c r="M212" i="41"/>
  <c r="S211" i="41"/>
  <c r="M211" i="41"/>
  <c r="T210" i="41"/>
  <c r="S210" i="41" s="1"/>
  <c r="M210" i="41"/>
  <c r="S209" i="41"/>
  <c r="M209" i="41"/>
  <c r="S208" i="41"/>
  <c r="M208" i="41"/>
  <c r="S207" i="41"/>
  <c r="M207" i="41"/>
  <c r="S206" i="41"/>
  <c r="M206" i="41"/>
  <c r="S205" i="41"/>
  <c r="M205" i="41"/>
  <c r="S204" i="41"/>
  <c r="M204" i="41"/>
  <c r="T203" i="41"/>
  <c r="S203" i="41"/>
  <c r="N203" i="41"/>
  <c r="M203" i="41"/>
  <c r="S202" i="41"/>
  <c r="M202" i="41"/>
  <c r="S201" i="41"/>
  <c r="N201" i="41"/>
  <c r="M201" i="41" s="1"/>
  <c r="S200" i="41"/>
  <c r="M200" i="41"/>
  <c r="S199" i="41"/>
  <c r="M199" i="41"/>
  <c r="S198" i="41"/>
  <c r="M198" i="41"/>
  <c r="S197" i="41"/>
  <c r="M197" i="41"/>
  <c r="S196" i="41"/>
  <c r="M196" i="41"/>
  <c r="S195" i="41"/>
  <c r="M195" i="41"/>
  <c r="S194" i="41"/>
  <c r="M194" i="41"/>
  <c r="T193" i="41"/>
  <c r="S193" i="41" s="1"/>
  <c r="N193" i="41"/>
  <c r="M193" i="41" s="1"/>
  <c r="S192" i="41"/>
  <c r="M192" i="41"/>
  <c r="M191" i="41"/>
  <c r="S190" i="41"/>
  <c r="M190" i="41"/>
  <c r="S189" i="41"/>
  <c r="N189" i="41"/>
  <c r="M189" i="41" s="1"/>
  <c r="S188" i="41"/>
  <c r="M188" i="41"/>
  <c r="T187" i="41"/>
  <c r="S187" i="41" s="1"/>
  <c r="N187" i="41"/>
  <c r="M187" i="41" s="1"/>
  <c r="S186" i="41"/>
  <c r="M186" i="41"/>
  <c r="T185" i="41"/>
  <c r="S185" i="41" s="1"/>
  <c r="N185" i="41"/>
  <c r="M185" i="41" s="1"/>
  <c r="S184" i="41"/>
  <c r="M184" i="41"/>
  <c r="T183" i="41"/>
  <c r="S183" i="41" s="1"/>
  <c r="N183" i="41"/>
  <c r="M183" i="41" s="1"/>
  <c r="S182" i="41"/>
  <c r="M182" i="41"/>
  <c r="S181" i="41"/>
  <c r="M181" i="41"/>
  <c r="S180" i="41"/>
  <c r="M180" i="41"/>
  <c r="S179" i="41"/>
  <c r="M179" i="41"/>
  <c r="S178" i="41"/>
  <c r="M178" i="41"/>
  <c r="S177" i="41"/>
  <c r="M177" i="41"/>
  <c r="S176" i="41"/>
  <c r="M176" i="41"/>
  <c r="S175" i="41"/>
  <c r="M175" i="41"/>
  <c r="S174" i="41"/>
  <c r="M174" i="41"/>
  <c r="T173" i="41"/>
  <c r="S173" i="41" s="1"/>
  <c r="N173" i="41"/>
  <c r="M173" i="41" s="1"/>
  <c r="S172" i="41"/>
  <c r="M172" i="41"/>
  <c r="T171" i="41"/>
  <c r="S171" i="41" s="1"/>
  <c r="N171" i="41"/>
  <c r="M171" i="41" s="1"/>
  <c r="S170" i="41"/>
  <c r="M170" i="41"/>
  <c r="T169" i="41"/>
  <c r="S169" i="41" s="1"/>
  <c r="N169" i="41"/>
  <c r="M169" i="41" s="1"/>
  <c r="S168" i="41"/>
  <c r="M168" i="41"/>
  <c r="T167" i="41"/>
  <c r="S167" i="41" s="1"/>
  <c r="N167" i="41"/>
  <c r="M167" i="41" s="1"/>
  <c r="S166" i="41"/>
  <c r="M166" i="41"/>
  <c r="M165" i="41"/>
  <c r="T164" i="41"/>
  <c r="S164" i="41"/>
  <c r="N164" i="41"/>
  <c r="M164" i="41"/>
  <c r="S163" i="41"/>
  <c r="M163" i="41"/>
  <c r="S162" i="41"/>
  <c r="M162" i="41"/>
  <c r="S161" i="41"/>
  <c r="M161" i="41"/>
  <c r="S160" i="41"/>
  <c r="M160" i="41"/>
  <c r="T159" i="41"/>
  <c r="S159" i="41"/>
  <c r="N159" i="41"/>
  <c r="M159" i="41"/>
  <c r="S158" i="41"/>
  <c r="M158" i="41"/>
  <c r="S156" i="41"/>
  <c r="M156" i="41"/>
  <c r="S155" i="41"/>
  <c r="M155" i="41"/>
  <c r="S154" i="41"/>
  <c r="M154" i="41"/>
  <c r="T153" i="41"/>
  <c r="S153" i="41"/>
  <c r="N153" i="41"/>
  <c r="M153" i="41"/>
  <c r="S152" i="41"/>
  <c r="M152" i="41"/>
  <c r="T151" i="41"/>
  <c r="S151" i="41"/>
  <c r="N151" i="41"/>
  <c r="M151" i="41"/>
  <c r="S150" i="41"/>
  <c r="M150" i="41"/>
  <c r="T149" i="41"/>
  <c r="S149" i="41"/>
  <c r="M149" i="41"/>
  <c r="S148" i="41"/>
  <c r="M148" i="41"/>
  <c r="S147" i="41"/>
  <c r="M147" i="41"/>
  <c r="S146" i="41"/>
  <c r="M146" i="41"/>
  <c r="S145" i="41"/>
  <c r="M145" i="41"/>
  <c r="S144" i="41"/>
  <c r="M144" i="41"/>
  <c r="S143" i="41"/>
  <c r="M143" i="41"/>
  <c r="S142" i="41"/>
  <c r="M142" i="41"/>
  <c r="S141" i="41"/>
  <c r="M141" i="41"/>
  <c r="S139" i="41"/>
  <c r="M139" i="41"/>
  <c r="S138" i="41"/>
  <c r="M138" i="41"/>
  <c r="S137" i="41"/>
  <c r="M137" i="41"/>
  <c r="S136" i="41"/>
  <c r="M136" i="41"/>
  <c r="S135" i="41"/>
  <c r="M135" i="41"/>
  <c r="T134" i="41"/>
  <c r="S134" i="41" s="1"/>
  <c r="M134" i="41"/>
  <c r="S133" i="41"/>
  <c r="M133" i="41"/>
  <c r="S132" i="41"/>
  <c r="M132" i="41"/>
  <c r="S131" i="41"/>
  <c r="M131" i="41"/>
  <c r="T130" i="41"/>
  <c r="S130" i="41"/>
  <c r="N130" i="41"/>
  <c r="M130" i="41"/>
  <c r="S129" i="41"/>
  <c r="M129" i="41"/>
  <c r="S128" i="41"/>
  <c r="M128" i="41"/>
  <c r="S127" i="41"/>
  <c r="M127" i="41"/>
  <c r="S126" i="41"/>
  <c r="M126" i="41"/>
  <c r="S125" i="41"/>
  <c r="M125" i="41"/>
  <c r="S124" i="41"/>
  <c r="T123" i="41"/>
  <c r="S123" i="41" s="1"/>
  <c r="N123" i="41"/>
  <c r="M123" i="41" s="1"/>
  <c r="S122" i="41"/>
  <c r="M122" i="41"/>
  <c r="T121" i="41"/>
  <c r="S121" i="41" s="1"/>
  <c r="N121" i="41"/>
  <c r="M121" i="41" s="1"/>
  <c r="S120" i="41"/>
  <c r="M120" i="41"/>
  <c r="S119" i="41"/>
  <c r="M119" i="41"/>
  <c r="S118" i="41"/>
  <c r="M118" i="41"/>
  <c r="T117" i="41"/>
  <c r="S117" i="41" s="1"/>
  <c r="N117" i="41"/>
  <c r="M117" i="41" s="1"/>
  <c r="S116" i="41"/>
  <c r="M116" i="41"/>
  <c r="T115" i="41"/>
  <c r="S115" i="41" s="1"/>
  <c r="N115" i="41"/>
  <c r="M115" i="41" s="1"/>
  <c r="S114" i="41"/>
  <c r="M114" i="41"/>
  <c r="S113" i="41"/>
  <c r="N113" i="41"/>
  <c r="M113" i="41"/>
  <c r="S112" i="41"/>
  <c r="M112" i="41"/>
  <c r="T111" i="41"/>
  <c r="S111" i="41"/>
  <c r="N111" i="41"/>
  <c r="M111" i="41"/>
  <c r="S110" i="41"/>
  <c r="M110" i="41"/>
  <c r="S109" i="41"/>
  <c r="N109" i="41"/>
  <c r="M109" i="41" s="1"/>
  <c r="S108" i="41"/>
  <c r="M108" i="41"/>
  <c r="S106" i="41"/>
  <c r="M106" i="41"/>
  <c r="S105" i="41"/>
  <c r="M105" i="41"/>
  <c r="S104" i="41"/>
  <c r="M104" i="41"/>
  <c r="T103" i="41"/>
  <c r="S103" i="41" s="1"/>
  <c r="N103" i="41"/>
  <c r="M103" i="41" s="1"/>
  <c r="S102" i="41"/>
  <c r="M102" i="41"/>
  <c r="T101" i="41"/>
  <c r="S101" i="41" s="1"/>
  <c r="N101" i="41"/>
  <c r="S100" i="41"/>
  <c r="M100" i="41"/>
  <c r="S98" i="41"/>
  <c r="M98" i="41"/>
  <c r="S97" i="41"/>
  <c r="M97" i="41"/>
  <c r="S96" i="41"/>
  <c r="M96" i="41"/>
  <c r="S95" i="41"/>
  <c r="M95" i="41"/>
  <c r="S94" i="41"/>
  <c r="M94" i="41"/>
  <c r="S93" i="41"/>
  <c r="M93" i="41"/>
  <c r="S92" i="41"/>
  <c r="M92" i="41"/>
  <c r="S91" i="41"/>
  <c r="M91" i="41"/>
  <c r="S90" i="41"/>
  <c r="M90" i="41"/>
  <c r="S89" i="41"/>
  <c r="M89" i="41"/>
  <c r="S88" i="41"/>
  <c r="M88" i="41"/>
  <c r="S87" i="41"/>
  <c r="N87" i="41"/>
  <c r="M87" i="41" s="1"/>
  <c r="S86" i="41"/>
  <c r="M86" i="41"/>
  <c r="S85" i="41"/>
  <c r="M85" i="41"/>
  <c r="S84" i="41"/>
  <c r="M84" i="41"/>
  <c r="S83" i="41"/>
  <c r="M83" i="41"/>
  <c r="S82" i="41"/>
  <c r="M82" i="41"/>
  <c r="S80" i="41"/>
  <c r="M80" i="41"/>
  <c r="S79" i="41"/>
  <c r="M79" i="41"/>
  <c r="S78" i="41"/>
  <c r="M78" i="41"/>
  <c r="S77" i="41"/>
  <c r="M77" i="41"/>
  <c r="S76" i="41"/>
  <c r="M76" i="41"/>
  <c r="T75" i="41"/>
  <c r="S75" i="41" s="1"/>
  <c r="N75" i="41"/>
  <c r="M75" i="41" s="1"/>
  <c r="S74" i="41"/>
  <c r="M74" i="41"/>
  <c r="S73" i="41"/>
  <c r="M73" i="41"/>
  <c r="S72" i="41"/>
  <c r="M72" i="41"/>
  <c r="T71" i="41"/>
  <c r="S71" i="41" s="1"/>
  <c r="N71" i="41"/>
  <c r="M71" i="41" s="1"/>
  <c r="S70" i="41"/>
  <c r="M70" i="41"/>
  <c r="S69" i="41"/>
  <c r="N69" i="41"/>
  <c r="M69" i="41"/>
  <c r="S68" i="41"/>
  <c r="M68" i="41"/>
  <c r="S67" i="41"/>
  <c r="M67" i="41"/>
  <c r="S66" i="41"/>
  <c r="M66" i="41"/>
  <c r="S65" i="41"/>
  <c r="M65" i="41"/>
  <c r="S64" i="41"/>
  <c r="M64" i="41"/>
  <c r="T63" i="41"/>
  <c r="S63" i="41"/>
  <c r="N63" i="41"/>
  <c r="M63" i="41"/>
  <c r="S62" i="41"/>
  <c r="M62" i="41"/>
  <c r="S61" i="41"/>
  <c r="M61" i="41"/>
  <c r="S60" i="41"/>
  <c r="M60" i="41"/>
  <c r="T59" i="41"/>
  <c r="S59" i="41"/>
  <c r="N59" i="41"/>
  <c r="M59" i="41"/>
  <c r="S58" i="41"/>
  <c r="M58" i="41"/>
  <c r="S57" i="41"/>
  <c r="N57" i="41"/>
  <c r="M57" i="41" s="1"/>
  <c r="S56" i="41"/>
  <c r="M56" i="41"/>
  <c r="S55" i="41"/>
  <c r="M55" i="41"/>
  <c r="S54" i="41"/>
  <c r="M54" i="41"/>
  <c r="S53" i="41"/>
  <c r="M53" i="41"/>
  <c r="S52" i="41"/>
  <c r="M52" i="41"/>
  <c r="S51" i="41"/>
  <c r="M51" i="41"/>
  <c r="S50" i="41"/>
  <c r="M50" i="41"/>
  <c r="S49" i="41"/>
  <c r="M49" i="41"/>
  <c r="S48" i="41"/>
  <c r="N48" i="41"/>
  <c r="M48" i="41"/>
  <c r="S47" i="41"/>
  <c r="M47" i="41"/>
  <c r="S46" i="41"/>
  <c r="M46" i="41"/>
  <c r="S45" i="41"/>
  <c r="M45" i="41"/>
  <c r="S44" i="41"/>
  <c r="M44" i="41"/>
  <c r="S43" i="41"/>
  <c r="M43" i="41"/>
  <c r="S42" i="41"/>
  <c r="M42" i="41"/>
  <c r="S41" i="41"/>
  <c r="M41" i="41"/>
  <c r="S40" i="41"/>
  <c r="M40" i="41"/>
  <c r="S39" i="41"/>
  <c r="M39" i="41"/>
  <c r="T38" i="41"/>
  <c r="S38" i="41"/>
  <c r="N38" i="41"/>
  <c r="M38" i="41"/>
  <c r="S37" i="41"/>
  <c r="M37" i="41"/>
  <c r="S36" i="41"/>
  <c r="M36" i="41"/>
  <c r="S35" i="41"/>
  <c r="M35" i="41"/>
  <c r="S33" i="41"/>
  <c r="M33" i="41"/>
  <c r="S32" i="41"/>
  <c r="M32" i="41"/>
  <c r="S31" i="41"/>
  <c r="M31" i="41"/>
  <c r="T30" i="41"/>
  <c r="S30" i="41"/>
  <c r="N30" i="41"/>
  <c r="M30" i="41"/>
  <c r="S29" i="41"/>
  <c r="M29" i="41"/>
  <c r="T28" i="41"/>
  <c r="S28" i="41"/>
  <c r="N28" i="41"/>
  <c r="M28" i="41"/>
  <c r="S27" i="41"/>
  <c r="M27" i="41"/>
  <c r="T26" i="41"/>
  <c r="S26" i="41"/>
  <c r="M26" i="41"/>
  <c r="S25" i="41"/>
  <c r="M25" i="41"/>
  <c r="S24" i="41"/>
  <c r="M24" i="41"/>
  <c r="S23" i="41"/>
  <c r="M23" i="41"/>
  <c r="T22" i="41"/>
  <c r="S22" i="41" s="1"/>
  <c r="M22" i="41"/>
  <c r="S21" i="41"/>
  <c r="M21" i="41"/>
  <c r="S20" i="41"/>
  <c r="N20" i="41"/>
  <c r="M20" i="41" s="1"/>
  <c r="S19" i="41"/>
  <c r="M19" i="41"/>
  <c r="T18" i="41"/>
  <c r="S18" i="41" s="1"/>
  <c r="N18" i="41"/>
  <c r="M18" i="41" s="1"/>
  <c r="S17" i="41"/>
  <c r="M17" i="41"/>
  <c r="T16" i="41"/>
  <c r="S16" i="41" s="1"/>
  <c r="N16" i="41"/>
  <c r="M302" i="41" s="1"/>
  <c r="S15" i="41"/>
  <c r="M15" i="41"/>
  <c r="T14" i="41"/>
  <c r="S302" i="41" s="1"/>
  <c r="U302" i="41" s="1"/>
  <c r="M14" i="41"/>
  <c r="S13" i="41"/>
  <c r="M13" i="41"/>
  <c r="S12" i="41"/>
  <c r="M12" i="41"/>
  <c r="S11" i="41"/>
  <c r="M11" i="41"/>
  <c r="S10" i="41"/>
  <c r="R303" i="41" s="1"/>
  <c r="M10" i="41"/>
  <c r="L303" i="41" s="1"/>
  <c r="S9" i="41"/>
  <c r="R301" i="41" s="1"/>
  <c r="M9" i="41"/>
  <c r="L301" i="41" s="1"/>
  <c r="T303" i="40"/>
  <c r="T304" i="40" s="1"/>
  <c r="S303" i="40"/>
  <c r="Q303" i="40"/>
  <c r="Q304" i="40" s="1"/>
  <c r="P303" i="40"/>
  <c r="P304" i="40" s="1"/>
  <c r="O303" i="40"/>
  <c r="O304" i="40" s="1"/>
  <c r="N303" i="40"/>
  <c r="N304" i="40" s="1"/>
  <c r="M303" i="40"/>
  <c r="K303" i="40"/>
  <c r="K304" i="40" s="1"/>
  <c r="J303" i="40"/>
  <c r="J304" i="40" s="1"/>
  <c r="I303" i="40"/>
  <c r="I304" i="40" s="1"/>
  <c r="H303" i="40"/>
  <c r="H304" i="40" s="1"/>
  <c r="G303" i="40"/>
  <c r="G304" i="40" s="1"/>
  <c r="T302" i="40"/>
  <c r="Q302" i="40"/>
  <c r="P302" i="40"/>
  <c r="O302" i="40"/>
  <c r="N302" i="40"/>
  <c r="K302" i="40"/>
  <c r="J302" i="40"/>
  <c r="I302" i="40"/>
  <c r="H302" i="40"/>
  <c r="G302" i="40"/>
  <c r="T301" i="40"/>
  <c r="S301" i="40"/>
  <c r="U301" i="40" s="1"/>
  <c r="Q301" i="40"/>
  <c r="P301" i="40"/>
  <c r="O301" i="40"/>
  <c r="N301" i="40"/>
  <c r="M301" i="40"/>
  <c r="K301" i="40"/>
  <c r="J301" i="40"/>
  <c r="V301" i="40" s="1"/>
  <c r="I301" i="40"/>
  <c r="H301" i="40"/>
  <c r="G301" i="40"/>
  <c r="U295" i="40"/>
  <c r="R295" i="40"/>
  <c r="Q295" i="40"/>
  <c r="P295" i="40"/>
  <c r="O295" i="40"/>
  <c r="L295" i="40"/>
  <c r="K295" i="40"/>
  <c r="J295" i="40"/>
  <c r="I295" i="40"/>
  <c r="H295" i="40"/>
  <c r="M294" i="40"/>
  <c r="S293" i="40"/>
  <c r="M293" i="40"/>
  <c r="S292" i="40"/>
  <c r="M292" i="40"/>
  <c r="S291" i="40"/>
  <c r="M291" i="40"/>
  <c r="T290" i="40"/>
  <c r="S290" i="40" s="1"/>
  <c r="N290" i="40"/>
  <c r="M290" i="40" s="1"/>
  <c r="S289" i="40"/>
  <c r="M289" i="40"/>
  <c r="S287" i="40"/>
  <c r="M287" i="40"/>
  <c r="S286" i="40"/>
  <c r="M286" i="40"/>
  <c r="S285" i="40"/>
  <c r="M285" i="40"/>
  <c r="S284" i="40"/>
  <c r="N284" i="40"/>
  <c r="M284" i="40"/>
  <c r="S283" i="40"/>
  <c r="M283" i="40"/>
  <c r="S282" i="40"/>
  <c r="M282" i="40"/>
  <c r="S281" i="40"/>
  <c r="M281" i="40"/>
  <c r="S280" i="40"/>
  <c r="N280" i="40"/>
  <c r="M280" i="40" s="1"/>
  <c r="S279" i="40"/>
  <c r="M279" i="40"/>
  <c r="T278" i="40"/>
  <c r="S278" i="40" s="1"/>
  <c r="N278" i="40"/>
  <c r="M278" i="40" s="1"/>
  <c r="S277" i="40"/>
  <c r="M277" i="40"/>
  <c r="T276" i="40"/>
  <c r="S276" i="40" s="1"/>
  <c r="M276" i="40"/>
  <c r="S275" i="40"/>
  <c r="M275" i="40"/>
  <c r="T274" i="40"/>
  <c r="S274" i="40"/>
  <c r="N274" i="40"/>
  <c r="M274" i="40"/>
  <c r="S273" i="40"/>
  <c r="M273" i="40"/>
  <c r="T272" i="40"/>
  <c r="S272" i="40"/>
  <c r="M272" i="40"/>
  <c r="S271" i="40"/>
  <c r="M271" i="40"/>
  <c r="S270" i="40"/>
  <c r="N270" i="40"/>
  <c r="M270" i="40"/>
  <c r="S269" i="40"/>
  <c r="M269" i="40"/>
  <c r="T268" i="40"/>
  <c r="S268" i="40"/>
  <c r="M268" i="40"/>
  <c r="S267" i="40"/>
  <c r="M267" i="40"/>
  <c r="S266" i="40"/>
  <c r="N266" i="40"/>
  <c r="M266" i="40"/>
  <c r="S265" i="40"/>
  <c r="M265" i="40"/>
  <c r="T264" i="40"/>
  <c r="S264" i="40"/>
  <c r="M264" i="40"/>
  <c r="S263" i="40"/>
  <c r="M263" i="40"/>
  <c r="S262" i="40"/>
  <c r="M262" i="40"/>
  <c r="S261" i="40"/>
  <c r="M261" i="40"/>
  <c r="S259" i="40"/>
  <c r="M259" i="40"/>
  <c r="S258" i="40"/>
  <c r="M258" i="40"/>
  <c r="S257" i="40"/>
  <c r="M257" i="40"/>
  <c r="T256" i="40"/>
  <c r="S256" i="40" s="1"/>
  <c r="M256" i="40"/>
  <c r="S255" i="40"/>
  <c r="M255" i="40"/>
  <c r="T254" i="40"/>
  <c r="S254" i="40"/>
  <c r="N254" i="40"/>
  <c r="M254" i="40"/>
  <c r="S253" i="40"/>
  <c r="M253" i="40"/>
  <c r="S252" i="40"/>
  <c r="M252" i="40"/>
  <c r="S251" i="40"/>
  <c r="M251" i="40"/>
  <c r="T250" i="40"/>
  <c r="S250" i="40"/>
  <c r="N250" i="40"/>
  <c r="M250" i="40"/>
  <c r="S249" i="40"/>
  <c r="M249" i="40"/>
  <c r="S248" i="40"/>
  <c r="M248" i="40"/>
  <c r="S247" i="40"/>
  <c r="M247" i="40"/>
  <c r="T246" i="40"/>
  <c r="S246" i="40"/>
  <c r="M246" i="40"/>
  <c r="S245" i="40"/>
  <c r="M245" i="40"/>
  <c r="T244" i="40"/>
  <c r="S244" i="40" s="1"/>
  <c r="M244" i="40"/>
  <c r="S243" i="40"/>
  <c r="M243" i="40"/>
  <c r="S242" i="40"/>
  <c r="N242" i="40"/>
  <c r="M242" i="40" s="1"/>
  <c r="S241" i="40"/>
  <c r="M241" i="40"/>
  <c r="S240" i="40"/>
  <c r="M240" i="40"/>
  <c r="S239" i="40"/>
  <c r="M239" i="40"/>
  <c r="S238" i="40"/>
  <c r="M238" i="40"/>
  <c r="S237" i="40"/>
  <c r="M237" i="40"/>
  <c r="S236" i="40"/>
  <c r="M236" i="40"/>
  <c r="S235" i="40"/>
  <c r="M235" i="40"/>
  <c r="S234" i="40"/>
  <c r="M234" i="40"/>
  <c r="S233" i="40"/>
  <c r="M233" i="40"/>
  <c r="S231" i="40"/>
  <c r="M231" i="40"/>
  <c r="S229" i="40"/>
  <c r="M229" i="40"/>
  <c r="S228" i="40"/>
  <c r="M228" i="40"/>
  <c r="S227" i="40"/>
  <c r="M227" i="40"/>
  <c r="S226" i="40"/>
  <c r="M226" i="40"/>
  <c r="S225" i="40"/>
  <c r="M225" i="40"/>
  <c r="T224" i="40"/>
  <c r="S224" i="40" s="1"/>
  <c r="N224" i="40"/>
  <c r="M224" i="40" s="1"/>
  <c r="S223" i="40"/>
  <c r="M223" i="40"/>
  <c r="S222" i="40"/>
  <c r="M222" i="40"/>
  <c r="S221" i="40"/>
  <c r="M221" i="40"/>
  <c r="T220" i="40"/>
  <c r="S220" i="40" s="1"/>
  <c r="M220" i="40"/>
  <c r="S219" i="40"/>
  <c r="M219" i="40"/>
  <c r="T218" i="40"/>
  <c r="S218" i="40"/>
  <c r="N218" i="40"/>
  <c r="M218" i="40"/>
  <c r="S217" i="40"/>
  <c r="M217" i="40"/>
  <c r="S216" i="40"/>
  <c r="M216" i="40"/>
  <c r="S215" i="40"/>
  <c r="M215" i="40"/>
  <c r="S214" i="40"/>
  <c r="N214" i="40"/>
  <c r="M214" i="40" s="1"/>
  <c r="S213" i="40"/>
  <c r="M213" i="40"/>
  <c r="M212" i="40"/>
  <c r="S211" i="40"/>
  <c r="M211" i="40"/>
  <c r="T210" i="40"/>
  <c r="S210" i="40"/>
  <c r="M210" i="40"/>
  <c r="S209" i="40"/>
  <c r="M209" i="40"/>
  <c r="S208" i="40"/>
  <c r="M208" i="40"/>
  <c r="S207" i="40"/>
  <c r="M207" i="40"/>
  <c r="S206" i="40"/>
  <c r="M206" i="40"/>
  <c r="S205" i="40"/>
  <c r="M205" i="40"/>
  <c r="S204" i="40"/>
  <c r="M204" i="40"/>
  <c r="T203" i="40"/>
  <c r="S203" i="40" s="1"/>
  <c r="N203" i="40"/>
  <c r="M203" i="40" s="1"/>
  <c r="S202" i="40"/>
  <c r="M202" i="40"/>
  <c r="S201" i="40"/>
  <c r="N201" i="40"/>
  <c r="M201" i="40"/>
  <c r="S200" i="40"/>
  <c r="M200" i="40"/>
  <c r="S199" i="40"/>
  <c r="M199" i="40"/>
  <c r="S198" i="40"/>
  <c r="M198" i="40"/>
  <c r="S197" i="40"/>
  <c r="M197" i="40"/>
  <c r="S196" i="40"/>
  <c r="M196" i="40"/>
  <c r="S195" i="40"/>
  <c r="M195" i="40"/>
  <c r="S194" i="40"/>
  <c r="M194" i="40"/>
  <c r="T193" i="40"/>
  <c r="S193" i="40"/>
  <c r="N193" i="40"/>
  <c r="M193" i="40"/>
  <c r="S192" i="40"/>
  <c r="M192" i="40"/>
  <c r="M191" i="40"/>
  <c r="S190" i="40"/>
  <c r="M190" i="40"/>
  <c r="S189" i="40"/>
  <c r="N189" i="40"/>
  <c r="M189" i="40"/>
  <c r="S188" i="40"/>
  <c r="M188" i="40"/>
  <c r="T187" i="40"/>
  <c r="S187" i="40"/>
  <c r="N187" i="40"/>
  <c r="M187" i="40"/>
  <c r="S186" i="40"/>
  <c r="M186" i="40"/>
  <c r="T185" i="40"/>
  <c r="S185" i="40"/>
  <c r="N185" i="40"/>
  <c r="M185" i="40"/>
  <c r="S184" i="40"/>
  <c r="M184" i="40"/>
  <c r="T183" i="40"/>
  <c r="S183" i="40"/>
  <c r="N183" i="40"/>
  <c r="M183" i="40"/>
  <c r="S182" i="40"/>
  <c r="M182" i="40"/>
  <c r="S181" i="40"/>
  <c r="M181" i="40"/>
  <c r="S180" i="40"/>
  <c r="M180" i="40"/>
  <c r="S179" i="40"/>
  <c r="M179" i="40"/>
  <c r="S178" i="40"/>
  <c r="M178" i="40"/>
  <c r="S177" i="40"/>
  <c r="M177" i="40"/>
  <c r="S176" i="40"/>
  <c r="M176" i="40"/>
  <c r="S175" i="40"/>
  <c r="M175" i="40"/>
  <c r="S174" i="40"/>
  <c r="M174" i="40"/>
  <c r="T173" i="40"/>
  <c r="S173" i="40"/>
  <c r="N173" i="40"/>
  <c r="M173" i="40"/>
  <c r="S172" i="40"/>
  <c r="M172" i="40"/>
  <c r="T171" i="40"/>
  <c r="S171" i="40"/>
  <c r="N171" i="40"/>
  <c r="M171" i="40"/>
  <c r="S170" i="40"/>
  <c r="M170" i="40"/>
  <c r="T169" i="40"/>
  <c r="S169" i="40"/>
  <c r="N169" i="40"/>
  <c r="M169" i="40"/>
  <c r="S168" i="40"/>
  <c r="M168" i="40"/>
  <c r="T167" i="40"/>
  <c r="S167" i="40"/>
  <c r="N167" i="40"/>
  <c r="M167" i="40"/>
  <c r="S166" i="40"/>
  <c r="M166" i="40"/>
  <c r="M165" i="40"/>
  <c r="T164" i="40"/>
  <c r="S164" i="40" s="1"/>
  <c r="N164" i="40"/>
  <c r="M164" i="40" s="1"/>
  <c r="S163" i="40"/>
  <c r="M163" i="40"/>
  <c r="S162" i="40"/>
  <c r="M162" i="40"/>
  <c r="S161" i="40"/>
  <c r="M161" i="40"/>
  <c r="S160" i="40"/>
  <c r="M160" i="40"/>
  <c r="T159" i="40"/>
  <c r="S159" i="40" s="1"/>
  <c r="N159" i="40"/>
  <c r="M159" i="40" s="1"/>
  <c r="S158" i="40"/>
  <c r="M158" i="40"/>
  <c r="S156" i="40"/>
  <c r="M156" i="40"/>
  <c r="S155" i="40"/>
  <c r="M155" i="40"/>
  <c r="S154" i="40"/>
  <c r="M154" i="40"/>
  <c r="T153" i="40"/>
  <c r="S153" i="40" s="1"/>
  <c r="N153" i="40"/>
  <c r="M153" i="40" s="1"/>
  <c r="S152" i="40"/>
  <c r="M152" i="40"/>
  <c r="T151" i="40"/>
  <c r="S151" i="40" s="1"/>
  <c r="N151" i="40"/>
  <c r="M151" i="40" s="1"/>
  <c r="S150" i="40"/>
  <c r="M150" i="40"/>
  <c r="T149" i="40"/>
  <c r="S149" i="40" s="1"/>
  <c r="M149" i="40"/>
  <c r="S148" i="40"/>
  <c r="M148" i="40"/>
  <c r="S147" i="40"/>
  <c r="M147" i="40"/>
  <c r="S146" i="40"/>
  <c r="M146" i="40"/>
  <c r="S145" i="40"/>
  <c r="M145" i="40"/>
  <c r="S144" i="40"/>
  <c r="M144" i="40"/>
  <c r="S143" i="40"/>
  <c r="M143" i="40"/>
  <c r="S142" i="40"/>
  <c r="M142" i="40"/>
  <c r="S141" i="40"/>
  <c r="M141" i="40"/>
  <c r="S139" i="40"/>
  <c r="M139" i="40"/>
  <c r="S138" i="40"/>
  <c r="M138" i="40"/>
  <c r="S137" i="40"/>
  <c r="M137" i="40"/>
  <c r="S136" i="40"/>
  <c r="M136" i="40"/>
  <c r="S135" i="40"/>
  <c r="M135" i="40"/>
  <c r="T134" i="40"/>
  <c r="S134" i="40"/>
  <c r="M134" i="40"/>
  <c r="S133" i="40"/>
  <c r="M133" i="40"/>
  <c r="S132" i="40"/>
  <c r="M132" i="40"/>
  <c r="S131" i="40"/>
  <c r="M131" i="40"/>
  <c r="T130" i="40"/>
  <c r="S130" i="40" s="1"/>
  <c r="N130" i="40"/>
  <c r="M130" i="40" s="1"/>
  <c r="S129" i="40"/>
  <c r="M129" i="40"/>
  <c r="S128" i="40"/>
  <c r="M128" i="40"/>
  <c r="S127" i="40"/>
  <c r="M127" i="40"/>
  <c r="S126" i="40"/>
  <c r="M126" i="40"/>
  <c r="S125" i="40"/>
  <c r="M125" i="40"/>
  <c r="S124" i="40"/>
  <c r="T123" i="40"/>
  <c r="S123" i="40"/>
  <c r="N123" i="40"/>
  <c r="M123" i="40"/>
  <c r="S122" i="40"/>
  <c r="M122" i="40"/>
  <c r="T121" i="40"/>
  <c r="S121" i="40"/>
  <c r="N121" i="40"/>
  <c r="M121" i="40"/>
  <c r="S120" i="40"/>
  <c r="M120" i="40"/>
  <c r="S119" i="40"/>
  <c r="M119" i="40"/>
  <c r="S118" i="40"/>
  <c r="M118" i="40"/>
  <c r="T117" i="40"/>
  <c r="S117" i="40"/>
  <c r="N117" i="40"/>
  <c r="M117" i="40"/>
  <c r="S116" i="40"/>
  <c r="M116" i="40"/>
  <c r="T115" i="40"/>
  <c r="S115" i="40"/>
  <c r="N115" i="40"/>
  <c r="M115" i="40"/>
  <c r="S114" i="40"/>
  <c r="M114" i="40"/>
  <c r="S113" i="40"/>
  <c r="N113" i="40"/>
  <c r="M113" i="40" s="1"/>
  <c r="S112" i="40"/>
  <c r="M112" i="40"/>
  <c r="T111" i="40"/>
  <c r="S111" i="40" s="1"/>
  <c r="N111" i="40"/>
  <c r="M111" i="40" s="1"/>
  <c r="S110" i="40"/>
  <c r="M110" i="40"/>
  <c r="S109" i="40"/>
  <c r="N109" i="40"/>
  <c r="M109" i="40"/>
  <c r="S108" i="40"/>
  <c r="M108" i="40"/>
  <c r="S106" i="40"/>
  <c r="M106" i="40"/>
  <c r="S105" i="40"/>
  <c r="M105" i="40"/>
  <c r="S104" i="40"/>
  <c r="M104" i="40"/>
  <c r="T103" i="40"/>
  <c r="S103" i="40"/>
  <c r="N103" i="40"/>
  <c r="M103" i="40"/>
  <c r="S102" i="40"/>
  <c r="M102" i="40"/>
  <c r="T101" i="40"/>
  <c r="S101" i="40"/>
  <c r="N101" i="40"/>
  <c r="S100" i="40"/>
  <c r="M100" i="40"/>
  <c r="S98" i="40"/>
  <c r="M98" i="40"/>
  <c r="S97" i="40"/>
  <c r="M97" i="40"/>
  <c r="S96" i="40"/>
  <c r="M96" i="40"/>
  <c r="S95" i="40"/>
  <c r="M95" i="40"/>
  <c r="S94" i="40"/>
  <c r="M94" i="40"/>
  <c r="S93" i="40"/>
  <c r="M93" i="40"/>
  <c r="S92" i="40"/>
  <c r="M92" i="40"/>
  <c r="S91" i="40"/>
  <c r="M91" i="40"/>
  <c r="S90" i="40"/>
  <c r="M90" i="40"/>
  <c r="S89" i="40"/>
  <c r="M89" i="40"/>
  <c r="S88" i="40"/>
  <c r="M88" i="40"/>
  <c r="S87" i="40"/>
  <c r="N87" i="40"/>
  <c r="M87" i="40"/>
  <c r="S86" i="40"/>
  <c r="M86" i="40"/>
  <c r="S85" i="40"/>
  <c r="M85" i="40"/>
  <c r="S84" i="40"/>
  <c r="M84" i="40"/>
  <c r="S83" i="40"/>
  <c r="M83" i="40"/>
  <c r="S82" i="40"/>
  <c r="M82" i="40"/>
  <c r="S80" i="40"/>
  <c r="M80" i="40"/>
  <c r="S79" i="40"/>
  <c r="M79" i="40"/>
  <c r="S78" i="40"/>
  <c r="M78" i="40"/>
  <c r="S77" i="40"/>
  <c r="M77" i="40"/>
  <c r="S76" i="40"/>
  <c r="M76" i="40"/>
  <c r="T75" i="40"/>
  <c r="S75" i="40"/>
  <c r="N75" i="40"/>
  <c r="M75" i="40"/>
  <c r="S74" i="40"/>
  <c r="M74" i="40"/>
  <c r="S73" i="40"/>
  <c r="M73" i="40"/>
  <c r="S72" i="40"/>
  <c r="M72" i="40"/>
  <c r="T71" i="40"/>
  <c r="S71" i="40"/>
  <c r="N71" i="40"/>
  <c r="M71" i="40"/>
  <c r="S70" i="40"/>
  <c r="M70" i="40"/>
  <c r="S69" i="40"/>
  <c r="N69" i="40"/>
  <c r="M69" i="40" s="1"/>
  <c r="S68" i="40"/>
  <c r="M68" i="40"/>
  <c r="S67" i="40"/>
  <c r="M67" i="40"/>
  <c r="S66" i="40"/>
  <c r="M66" i="40"/>
  <c r="S65" i="40"/>
  <c r="M65" i="40"/>
  <c r="S64" i="40"/>
  <c r="M64" i="40"/>
  <c r="T63" i="40"/>
  <c r="S63" i="40" s="1"/>
  <c r="N63" i="40"/>
  <c r="M63" i="40" s="1"/>
  <c r="S62" i="40"/>
  <c r="M62" i="40"/>
  <c r="S61" i="40"/>
  <c r="M61" i="40"/>
  <c r="S60" i="40"/>
  <c r="M60" i="40"/>
  <c r="T59" i="40"/>
  <c r="S59" i="40" s="1"/>
  <c r="N59" i="40"/>
  <c r="M59" i="40" s="1"/>
  <c r="S58" i="40"/>
  <c r="M58" i="40"/>
  <c r="S57" i="40"/>
  <c r="N57" i="40"/>
  <c r="M57" i="40"/>
  <c r="S56" i="40"/>
  <c r="M56" i="40"/>
  <c r="S55" i="40"/>
  <c r="M55" i="40"/>
  <c r="S54" i="40"/>
  <c r="M54" i="40"/>
  <c r="S53" i="40"/>
  <c r="M53" i="40"/>
  <c r="S52" i="40"/>
  <c r="M52" i="40"/>
  <c r="S51" i="40"/>
  <c r="M51" i="40"/>
  <c r="S50" i="40"/>
  <c r="M50" i="40"/>
  <c r="S49" i="40"/>
  <c r="M49" i="40"/>
  <c r="S48" i="40"/>
  <c r="N48" i="40"/>
  <c r="M48" i="40" s="1"/>
  <c r="S47" i="40"/>
  <c r="M47" i="40"/>
  <c r="S46" i="40"/>
  <c r="M46" i="40"/>
  <c r="S45" i="40"/>
  <c r="M45" i="40"/>
  <c r="S44" i="40"/>
  <c r="M44" i="40"/>
  <c r="S43" i="40"/>
  <c r="M43" i="40"/>
  <c r="S42" i="40"/>
  <c r="M42" i="40"/>
  <c r="S41" i="40"/>
  <c r="M41" i="40"/>
  <c r="S40" i="40"/>
  <c r="M40" i="40"/>
  <c r="S39" i="40"/>
  <c r="M39" i="40"/>
  <c r="T38" i="40"/>
  <c r="S38" i="40" s="1"/>
  <c r="N38" i="40"/>
  <c r="M38" i="40" s="1"/>
  <c r="S37" i="40"/>
  <c r="M37" i="40"/>
  <c r="S36" i="40"/>
  <c r="M36" i="40"/>
  <c r="S35" i="40"/>
  <c r="M35" i="40"/>
  <c r="S33" i="40"/>
  <c r="M33" i="40"/>
  <c r="S32" i="40"/>
  <c r="M32" i="40"/>
  <c r="S31" i="40"/>
  <c r="M31" i="40"/>
  <c r="T30" i="40"/>
  <c r="S30" i="40" s="1"/>
  <c r="N30" i="40"/>
  <c r="M30" i="40" s="1"/>
  <c r="S29" i="40"/>
  <c r="M29" i="40"/>
  <c r="T28" i="40"/>
  <c r="S28" i="40" s="1"/>
  <c r="N28" i="40"/>
  <c r="N295" i="40" s="1"/>
  <c r="S27" i="40"/>
  <c r="M27" i="40"/>
  <c r="T26" i="40"/>
  <c r="T295" i="40" s="1"/>
  <c r="M26" i="40"/>
  <c r="S25" i="40"/>
  <c r="M25" i="40"/>
  <c r="S24" i="40"/>
  <c r="M24" i="40"/>
  <c r="S23" i="40"/>
  <c r="M23" i="40"/>
  <c r="T22" i="40"/>
  <c r="S22" i="40"/>
  <c r="M22" i="40"/>
  <c r="S21" i="40"/>
  <c r="M21" i="40"/>
  <c r="S20" i="40"/>
  <c r="N20" i="40"/>
  <c r="M20" i="40"/>
  <c r="S19" i="40"/>
  <c r="M19" i="40"/>
  <c r="T18" i="40"/>
  <c r="S18" i="40"/>
  <c r="N18" i="40"/>
  <c r="M18" i="40"/>
  <c r="S17" i="40"/>
  <c r="M17" i="40"/>
  <c r="T16" i="40"/>
  <c r="S16" i="40"/>
  <c r="N16" i="40"/>
  <c r="M302" i="40" s="1"/>
  <c r="M16" i="40"/>
  <c r="S15" i="40"/>
  <c r="M15" i="40"/>
  <c r="T14" i="40"/>
  <c r="S302" i="40" s="1"/>
  <c r="U302" i="40" s="1"/>
  <c r="S14" i="40"/>
  <c r="M14" i="40"/>
  <c r="S13" i="40"/>
  <c r="M13" i="40"/>
  <c r="S12" i="40"/>
  <c r="M12" i="40"/>
  <c r="S11" i="40"/>
  <c r="M11" i="40"/>
  <c r="S10" i="40"/>
  <c r="R303" i="40" s="1"/>
  <c r="M10" i="40"/>
  <c r="L303" i="40" s="1"/>
  <c r="S9" i="40"/>
  <c r="R301" i="40" s="1"/>
  <c r="M9" i="40"/>
  <c r="L301" i="40" s="1"/>
  <c r="T303" i="39"/>
  <c r="T304" i="39" s="1"/>
  <c r="S303" i="39"/>
  <c r="Q303" i="39"/>
  <c r="Q304" i="39" s="1"/>
  <c r="P303" i="39"/>
  <c r="P304" i="39" s="1"/>
  <c r="O303" i="39"/>
  <c r="O304" i="39" s="1"/>
  <c r="N303" i="39"/>
  <c r="N304" i="39" s="1"/>
  <c r="M303" i="39"/>
  <c r="K303" i="39"/>
  <c r="K304" i="39" s="1"/>
  <c r="J303" i="39"/>
  <c r="J304" i="39" s="1"/>
  <c r="I303" i="39"/>
  <c r="I304" i="39" s="1"/>
  <c r="H303" i="39"/>
  <c r="H304" i="39" s="1"/>
  <c r="G303" i="39"/>
  <c r="G304" i="39" s="1"/>
  <c r="T302" i="39"/>
  <c r="Q302" i="39"/>
  <c r="P302" i="39"/>
  <c r="O302" i="39"/>
  <c r="N302" i="39"/>
  <c r="K302" i="39"/>
  <c r="J302" i="39"/>
  <c r="I302" i="39"/>
  <c r="H302" i="39"/>
  <c r="G302" i="39"/>
  <c r="T301" i="39"/>
  <c r="S301" i="39"/>
  <c r="U301" i="39" s="1"/>
  <c r="Q301" i="39"/>
  <c r="P301" i="39"/>
  <c r="O301" i="39"/>
  <c r="N301" i="39"/>
  <c r="M301" i="39"/>
  <c r="K301" i="39"/>
  <c r="J301" i="39"/>
  <c r="V301" i="39" s="1"/>
  <c r="I301" i="39"/>
  <c r="H301" i="39"/>
  <c r="G301" i="39"/>
  <c r="U295" i="39"/>
  <c r="R295" i="39"/>
  <c r="Q295" i="39"/>
  <c r="P295" i="39"/>
  <c r="O295" i="39"/>
  <c r="L295" i="39"/>
  <c r="K295" i="39"/>
  <c r="J295" i="39"/>
  <c r="I295" i="39"/>
  <c r="H295" i="39"/>
  <c r="M294" i="39"/>
  <c r="S293" i="39"/>
  <c r="M293" i="39"/>
  <c r="S292" i="39"/>
  <c r="M292" i="39"/>
  <c r="S291" i="39"/>
  <c r="M291" i="39"/>
  <c r="T290" i="39"/>
  <c r="S290" i="39"/>
  <c r="N290" i="39"/>
  <c r="M290" i="39"/>
  <c r="S289" i="39"/>
  <c r="M289" i="39"/>
  <c r="S287" i="39"/>
  <c r="M287" i="39"/>
  <c r="S286" i="39"/>
  <c r="M286" i="39"/>
  <c r="S285" i="39"/>
  <c r="M285" i="39"/>
  <c r="S284" i="39"/>
  <c r="N284" i="39"/>
  <c r="M284" i="39" s="1"/>
  <c r="S283" i="39"/>
  <c r="M283" i="39"/>
  <c r="S282" i="39"/>
  <c r="M282" i="39"/>
  <c r="S281" i="39"/>
  <c r="M281" i="39"/>
  <c r="S280" i="39"/>
  <c r="N280" i="39"/>
  <c r="M280" i="39"/>
  <c r="S279" i="39"/>
  <c r="M279" i="39"/>
  <c r="T278" i="39"/>
  <c r="S278" i="39"/>
  <c r="N278" i="39"/>
  <c r="M278" i="39"/>
  <c r="S277" i="39"/>
  <c r="M277" i="39"/>
  <c r="T276" i="39"/>
  <c r="S276" i="39"/>
  <c r="M276" i="39"/>
  <c r="S275" i="39"/>
  <c r="M275" i="39"/>
  <c r="T274" i="39"/>
  <c r="S274" i="39" s="1"/>
  <c r="N274" i="39"/>
  <c r="M274" i="39" s="1"/>
  <c r="S273" i="39"/>
  <c r="M273" i="39"/>
  <c r="T272" i="39"/>
  <c r="S272" i="39" s="1"/>
  <c r="M272" i="39"/>
  <c r="S271" i="39"/>
  <c r="M271" i="39"/>
  <c r="S270" i="39"/>
  <c r="N270" i="39"/>
  <c r="M270" i="39" s="1"/>
  <c r="S269" i="39"/>
  <c r="M269" i="39"/>
  <c r="T268" i="39"/>
  <c r="S268" i="39" s="1"/>
  <c r="M268" i="39"/>
  <c r="S267" i="39"/>
  <c r="M267" i="39"/>
  <c r="S266" i="39"/>
  <c r="N266" i="39"/>
  <c r="M266" i="39" s="1"/>
  <c r="S265" i="39"/>
  <c r="M265" i="39"/>
  <c r="T264" i="39"/>
  <c r="S264" i="39" s="1"/>
  <c r="M264" i="39"/>
  <c r="S263" i="39"/>
  <c r="M263" i="39"/>
  <c r="S262" i="39"/>
  <c r="M262" i="39"/>
  <c r="S261" i="39"/>
  <c r="M261" i="39"/>
  <c r="S259" i="39"/>
  <c r="M259" i="39"/>
  <c r="S258" i="39"/>
  <c r="M258" i="39"/>
  <c r="S257" i="39"/>
  <c r="M257" i="39"/>
  <c r="T256" i="39"/>
  <c r="S256" i="39"/>
  <c r="M256" i="39"/>
  <c r="S255" i="39"/>
  <c r="M255" i="39"/>
  <c r="T254" i="39"/>
  <c r="S254" i="39" s="1"/>
  <c r="N254" i="39"/>
  <c r="M254" i="39" s="1"/>
  <c r="S253" i="39"/>
  <c r="M253" i="39"/>
  <c r="S252" i="39"/>
  <c r="M252" i="39"/>
  <c r="S251" i="39"/>
  <c r="M251" i="39"/>
  <c r="T250" i="39"/>
  <c r="S250" i="39" s="1"/>
  <c r="N250" i="39"/>
  <c r="M250" i="39" s="1"/>
  <c r="S249" i="39"/>
  <c r="M249" i="39"/>
  <c r="S248" i="39"/>
  <c r="M248" i="39"/>
  <c r="S247" i="39"/>
  <c r="M247" i="39"/>
  <c r="T246" i="39"/>
  <c r="S246" i="39" s="1"/>
  <c r="M246" i="39"/>
  <c r="S245" i="39"/>
  <c r="M245" i="39"/>
  <c r="T244" i="39"/>
  <c r="S244" i="39"/>
  <c r="M244" i="39"/>
  <c r="S243" i="39"/>
  <c r="M243" i="39"/>
  <c r="S242" i="39"/>
  <c r="N242" i="39"/>
  <c r="M242" i="39"/>
  <c r="S241" i="39"/>
  <c r="M241" i="39"/>
  <c r="S240" i="39"/>
  <c r="M240" i="39"/>
  <c r="S239" i="39"/>
  <c r="M239" i="39"/>
  <c r="S238" i="39"/>
  <c r="M238" i="39"/>
  <c r="S237" i="39"/>
  <c r="M237" i="39"/>
  <c r="S236" i="39"/>
  <c r="M236" i="39"/>
  <c r="S235" i="39"/>
  <c r="M235" i="39"/>
  <c r="S234" i="39"/>
  <c r="M234" i="39"/>
  <c r="S233" i="39"/>
  <c r="M233" i="39"/>
  <c r="S231" i="39"/>
  <c r="M231" i="39"/>
  <c r="S229" i="39"/>
  <c r="M229" i="39"/>
  <c r="S228" i="39"/>
  <c r="M228" i="39"/>
  <c r="S227" i="39"/>
  <c r="M227" i="39"/>
  <c r="S226" i="39"/>
  <c r="M226" i="39"/>
  <c r="S225" i="39"/>
  <c r="M225" i="39"/>
  <c r="T224" i="39"/>
  <c r="S224" i="39"/>
  <c r="N224" i="39"/>
  <c r="M224" i="39"/>
  <c r="S223" i="39"/>
  <c r="M223" i="39"/>
  <c r="S222" i="39"/>
  <c r="M222" i="39"/>
  <c r="S221" i="39"/>
  <c r="M221" i="39"/>
  <c r="T220" i="39"/>
  <c r="S220" i="39"/>
  <c r="M220" i="39"/>
  <c r="S219" i="39"/>
  <c r="M219" i="39"/>
  <c r="T218" i="39"/>
  <c r="S218" i="39" s="1"/>
  <c r="N218" i="39"/>
  <c r="M218" i="39" s="1"/>
  <c r="S217" i="39"/>
  <c r="M217" i="39"/>
  <c r="S216" i="39"/>
  <c r="M216" i="39"/>
  <c r="S215" i="39"/>
  <c r="M215" i="39"/>
  <c r="S214" i="39"/>
  <c r="N214" i="39"/>
  <c r="M214" i="39"/>
  <c r="S213" i="39"/>
  <c r="M213" i="39"/>
  <c r="M212" i="39"/>
  <c r="S211" i="39"/>
  <c r="M211" i="39"/>
  <c r="T210" i="39"/>
  <c r="S210" i="39" s="1"/>
  <c r="M210" i="39"/>
  <c r="S209" i="39"/>
  <c r="M209" i="39"/>
  <c r="S208" i="39"/>
  <c r="M208" i="39"/>
  <c r="S207" i="39"/>
  <c r="M207" i="39"/>
  <c r="S206" i="39"/>
  <c r="M206" i="39"/>
  <c r="S205" i="39"/>
  <c r="M205" i="39"/>
  <c r="S204" i="39"/>
  <c r="M204" i="39"/>
  <c r="T203" i="39"/>
  <c r="S203" i="39"/>
  <c r="N203" i="39"/>
  <c r="M203" i="39"/>
  <c r="S202" i="39"/>
  <c r="M202" i="39"/>
  <c r="S201" i="39"/>
  <c r="N201" i="39"/>
  <c r="M201" i="39" s="1"/>
  <c r="S200" i="39"/>
  <c r="M200" i="39"/>
  <c r="S199" i="39"/>
  <c r="M199" i="39"/>
  <c r="S198" i="39"/>
  <c r="M198" i="39"/>
  <c r="S197" i="39"/>
  <c r="M197" i="39"/>
  <c r="S196" i="39"/>
  <c r="M196" i="39"/>
  <c r="S195" i="39"/>
  <c r="M195" i="39"/>
  <c r="S194" i="39"/>
  <c r="M194" i="39"/>
  <c r="T193" i="39"/>
  <c r="S193" i="39" s="1"/>
  <c r="N193" i="39"/>
  <c r="M193" i="39" s="1"/>
  <c r="S192" i="39"/>
  <c r="M192" i="39"/>
  <c r="M191" i="39"/>
  <c r="S190" i="39"/>
  <c r="M190" i="39"/>
  <c r="S189" i="39"/>
  <c r="N189" i="39"/>
  <c r="M189" i="39" s="1"/>
  <c r="S188" i="39"/>
  <c r="M188" i="39"/>
  <c r="T187" i="39"/>
  <c r="S187" i="39" s="1"/>
  <c r="N187" i="39"/>
  <c r="M187" i="39" s="1"/>
  <c r="S186" i="39"/>
  <c r="M186" i="39"/>
  <c r="T185" i="39"/>
  <c r="S185" i="39" s="1"/>
  <c r="N185" i="39"/>
  <c r="M185" i="39" s="1"/>
  <c r="S184" i="39"/>
  <c r="M184" i="39"/>
  <c r="T183" i="39"/>
  <c r="S183" i="39" s="1"/>
  <c r="N183" i="39"/>
  <c r="M183" i="39" s="1"/>
  <c r="S182" i="39"/>
  <c r="M182" i="39"/>
  <c r="S181" i="39"/>
  <c r="M181" i="39"/>
  <c r="S180" i="39"/>
  <c r="M180" i="39"/>
  <c r="S179" i="39"/>
  <c r="M179" i="39"/>
  <c r="S178" i="39"/>
  <c r="M178" i="39"/>
  <c r="S177" i="39"/>
  <c r="M177" i="39"/>
  <c r="S176" i="39"/>
  <c r="M176" i="39"/>
  <c r="S175" i="39"/>
  <c r="M175" i="39"/>
  <c r="S174" i="39"/>
  <c r="M174" i="39"/>
  <c r="T173" i="39"/>
  <c r="S173" i="39" s="1"/>
  <c r="N173" i="39"/>
  <c r="M173" i="39" s="1"/>
  <c r="S172" i="39"/>
  <c r="M172" i="39"/>
  <c r="T171" i="39"/>
  <c r="S171" i="39" s="1"/>
  <c r="N171" i="39"/>
  <c r="M171" i="39" s="1"/>
  <c r="S170" i="39"/>
  <c r="M170" i="39"/>
  <c r="T169" i="39"/>
  <c r="S169" i="39" s="1"/>
  <c r="N169" i="39"/>
  <c r="M169" i="39" s="1"/>
  <c r="S168" i="39"/>
  <c r="M168" i="39"/>
  <c r="T167" i="39"/>
  <c r="S167" i="39" s="1"/>
  <c r="N167" i="39"/>
  <c r="M167" i="39" s="1"/>
  <c r="S166" i="39"/>
  <c r="M166" i="39"/>
  <c r="M165" i="39"/>
  <c r="T164" i="39"/>
  <c r="S164" i="39"/>
  <c r="N164" i="39"/>
  <c r="M164" i="39"/>
  <c r="S163" i="39"/>
  <c r="M163" i="39"/>
  <c r="S162" i="39"/>
  <c r="M162" i="39"/>
  <c r="S161" i="39"/>
  <c r="M161" i="39"/>
  <c r="S160" i="39"/>
  <c r="M160" i="39"/>
  <c r="T159" i="39"/>
  <c r="S159" i="39"/>
  <c r="N159" i="39"/>
  <c r="M159" i="39"/>
  <c r="S158" i="39"/>
  <c r="M158" i="39"/>
  <c r="S156" i="39"/>
  <c r="M156" i="39"/>
  <c r="S155" i="39"/>
  <c r="M155" i="39"/>
  <c r="S154" i="39"/>
  <c r="M154" i="39"/>
  <c r="T153" i="39"/>
  <c r="S153" i="39"/>
  <c r="N153" i="39"/>
  <c r="M153" i="39"/>
  <c r="S152" i="39"/>
  <c r="M152" i="39"/>
  <c r="T151" i="39"/>
  <c r="S151" i="39"/>
  <c r="N151" i="39"/>
  <c r="M151" i="39"/>
  <c r="S150" i="39"/>
  <c r="M150" i="39"/>
  <c r="T149" i="39"/>
  <c r="S149" i="39"/>
  <c r="M149" i="39"/>
  <c r="S148" i="39"/>
  <c r="M148" i="39"/>
  <c r="S147" i="39"/>
  <c r="M147" i="39"/>
  <c r="S146" i="39"/>
  <c r="M146" i="39"/>
  <c r="S145" i="39"/>
  <c r="M145" i="39"/>
  <c r="S144" i="39"/>
  <c r="M144" i="39"/>
  <c r="S143" i="39"/>
  <c r="M143" i="39"/>
  <c r="S142" i="39"/>
  <c r="M142" i="39"/>
  <c r="S141" i="39"/>
  <c r="M141" i="39"/>
  <c r="S139" i="39"/>
  <c r="M139" i="39"/>
  <c r="S138" i="39"/>
  <c r="M138" i="39"/>
  <c r="S137" i="39"/>
  <c r="M137" i="39"/>
  <c r="S136" i="39"/>
  <c r="M136" i="39"/>
  <c r="S135" i="39"/>
  <c r="M135" i="39"/>
  <c r="T134" i="39"/>
  <c r="S134" i="39" s="1"/>
  <c r="M134" i="39"/>
  <c r="S133" i="39"/>
  <c r="M133" i="39"/>
  <c r="S132" i="39"/>
  <c r="M132" i="39"/>
  <c r="S131" i="39"/>
  <c r="M131" i="39"/>
  <c r="T130" i="39"/>
  <c r="S130" i="39"/>
  <c r="N130" i="39"/>
  <c r="M130" i="39"/>
  <c r="S129" i="39"/>
  <c r="M129" i="39"/>
  <c r="S128" i="39"/>
  <c r="M128" i="39"/>
  <c r="S127" i="39"/>
  <c r="M127" i="39"/>
  <c r="S126" i="39"/>
  <c r="M126" i="39"/>
  <c r="S125" i="39"/>
  <c r="M125" i="39"/>
  <c r="S124" i="39"/>
  <c r="T123" i="39"/>
  <c r="S123" i="39" s="1"/>
  <c r="N123" i="39"/>
  <c r="M123" i="39" s="1"/>
  <c r="S122" i="39"/>
  <c r="M122" i="39"/>
  <c r="T121" i="39"/>
  <c r="S121" i="39" s="1"/>
  <c r="N121" i="39"/>
  <c r="M121" i="39" s="1"/>
  <c r="S120" i="39"/>
  <c r="M120" i="39"/>
  <c r="S119" i="39"/>
  <c r="M119" i="39"/>
  <c r="S118" i="39"/>
  <c r="M118" i="39"/>
  <c r="T117" i="39"/>
  <c r="S117" i="39" s="1"/>
  <c r="N117" i="39"/>
  <c r="M117" i="39" s="1"/>
  <c r="S116" i="39"/>
  <c r="M116" i="39"/>
  <c r="T115" i="39"/>
  <c r="S115" i="39" s="1"/>
  <c r="N115" i="39"/>
  <c r="M115" i="39" s="1"/>
  <c r="S114" i="39"/>
  <c r="M114" i="39"/>
  <c r="S113" i="39"/>
  <c r="N113" i="39"/>
  <c r="M113" i="39"/>
  <c r="S112" i="39"/>
  <c r="M112" i="39"/>
  <c r="T111" i="39"/>
  <c r="S111" i="39"/>
  <c r="N111" i="39"/>
  <c r="M111" i="39"/>
  <c r="S110" i="39"/>
  <c r="M110" i="39"/>
  <c r="S109" i="39"/>
  <c r="N109" i="39"/>
  <c r="M109" i="39" s="1"/>
  <c r="S108" i="39"/>
  <c r="M108" i="39"/>
  <c r="S106" i="39"/>
  <c r="M106" i="39"/>
  <c r="S105" i="39"/>
  <c r="M105" i="39"/>
  <c r="S104" i="39"/>
  <c r="M104" i="39"/>
  <c r="T103" i="39"/>
  <c r="S103" i="39" s="1"/>
  <c r="N103" i="39"/>
  <c r="M103" i="39" s="1"/>
  <c r="S102" i="39"/>
  <c r="M102" i="39"/>
  <c r="T101" i="39"/>
  <c r="S101" i="39" s="1"/>
  <c r="N101" i="39"/>
  <c r="S100" i="39"/>
  <c r="M100" i="39"/>
  <c r="S98" i="39"/>
  <c r="M98" i="39"/>
  <c r="S97" i="39"/>
  <c r="M97" i="39"/>
  <c r="S96" i="39"/>
  <c r="M96" i="39"/>
  <c r="S95" i="39"/>
  <c r="M95" i="39"/>
  <c r="S94" i="39"/>
  <c r="M94" i="39"/>
  <c r="S93" i="39"/>
  <c r="M93" i="39"/>
  <c r="S92" i="39"/>
  <c r="M92" i="39"/>
  <c r="S91" i="39"/>
  <c r="M91" i="39"/>
  <c r="S90" i="39"/>
  <c r="M90" i="39"/>
  <c r="S89" i="39"/>
  <c r="M89" i="39"/>
  <c r="S88" i="39"/>
  <c r="M88" i="39"/>
  <c r="S87" i="39"/>
  <c r="N87" i="39"/>
  <c r="M87" i="39" s="1"/>
  <c r="S86" i="39"/>
  <c r="M86" i="39"/>
  <c r="S85" i="39"/>
  <c r="M85" i="39"/>
  <c r="S84" i="39"/>
  <c r="M84" i="39"/>
  <c r="S83" i="39"/>
  <c r="M83" i="39"/>
  <c r="S82" i="39"/>
  <c r="M82" i="39"/>
  <c r="S80" i="39"/>
  <c r="M80" i="39"/>
  <c r="S79" i="39"/>
  <c r="M79" i="39"/>
  <c r="S78" i="39"/>
  <c r="M78" i="39"/>
  <c r="S77" i="39"/>
  <c r="M77" i="39"/>
  <c r="S76" i="39"/>
  <c r="M76" i="39"/>
  <c r="T75" i="39"/>
  <c r="S75" i="39" s="1"/>
  <c r="N75" i="39"/>
  <c r="M75" i="39" s="1"/>
  <c r="S74" i="39"/>
  <c r="M74" i="39"/>
  <c r="S73" i="39"/>
  <c r="M73" i="39"/>
  <c r="S72" i="39"/>
  <c r="M72" i="39"/>
  <c r="T71" i="39"/>
  <c r="S71" i="39" s="1"/>
  <c r="N71" i="39"/>
  <c r="M71" i="39" s="1"/>
  <c r="S70" i="39"/>
  <c r="M70" i="39"/>
  <c r="S69" i="39"/>
  <c r="N69" i="39"/>
  <c r="M69" i="39"/>
  <c r="S68" i="39"/>
  <c r="M68" i="39"/>
  <c r="S67" i="39"/>
  <c r="M67" i="39"/>
  <c r="S66" i="39"/>
  <c r="M66" i="39"/>
  <c r="S65" i="39"/>
  <c r="M65" i="39"/>
  <c r="S64" i="39"/>
  <c r="M64" i="39"/>
  <c r="T63" i="39"/>
  <c r="S63" i="39"/>
  <c r="N63" i="39"/>
  <c r="M63" i="39"/>
  <c r="S62" i="39"/>
  <c r="M62" i="39"/>
  <c r="S61" i="39"/>
  <c r="M61" i="39"/>
  <c r="S60" i="39"/>
  <c r="M60" i="39"/>
  <c r="T59" i="39"/>
  <c r="S59" i="39"/>
  <c r="N59" i="39"/>
  <c r="M59" i="39"/>
  <c r="S58" i="39"/>
  <c r="M58" i="39"/>
  <c r="S57" i="39"/>
  <c r="N57" i="39"/>
  <c r="M57" i="39" s="1"/>
  <c r="S56" i="39"/>
  <c r="M56" i="39"/>
  <c r="S55" i="39"/>
  <c r="M55" i="39"/>
  <c r="S54" i="39"/>
  <c r="M54" i="39"/>
  <c r="S53" i="39"/>
  <c r="M53" i="39"/>
  <c r="S52" i="39"/>
  <c r="M52" i="39"/>
  <c r="S51" i="39"/>
  <c r="M51" i="39"/>
  <c r="S50" i="39"/>
  <c r="M50" i="39"/>
  <c r="S49" i="39"/>
  <c r="M49" i="39"/>
  <c r="S48" i="39"/>
  <c r="N48" i="39"/>
  <c r="M48" i="39"/>
  <c r="S47" i="39"/>
  <c r="M47" i="39"/>
  <c r="S46" i="39"/>
  <c r="M46" i="39"/>
  <c r="S45" i="39"/>
  <c r="M45" i="39"/>
  <c r="S44" i="39"/>
  <c r="M44" i="39"/>
  <c r="S43" i="39"/>
  <c r="M43" i="39"/>
  <c r="S42" i="39"/>
  <c r="M42" i="39"/>
  <c r="S41" i="39"/>
  <c r="M41" i="39"/>
  <c r="S40" i="39"/>
  <c r="M40" i="39"/>
  <c r="S39" i="39"/>
  <c r="M39" i="39"/>
  <c r="T38" i="39"/>
  <c r="S38" i="39"/>
  <c r="N38" i="39"/>
  <c r="M38" i="39"/>
  <c r="S37" i="39"/>
  <c r="M37" i="39"/>
  <c r="S36" i="39"/>
  <c r="M36" i="39"/>
  <c r="S35" i="39"/>
  <c r="M35" i="39"/>
  <c r="S33" i="39"/>
  <c r="M33" i="39"/>
  <c r="S32" i="39"/>
  <c r="M32" i="39"/>
  <c r="S31" i="39"/>
  <c r="M31" i="39"/>
  <c r="T30" i="39"/>
  <c r="S30" i="39"/>
  <c r="N30" i="39"/>
  <c r="M30" i="39"/>
  <c r="S29" i="39"/>
  <c r="M29" i="39"/>
  <c r="T28" i="39"/>
  <c r="S28" i="39"/>
  <c r="N28" i="39"/>
  <c r="M28" i="39"/>
  <c r="S27" i="39"/>
  <c r="M27" i="39"/>
  <c r="T26" i="39"/>
  <c r="S26" i="39"/>
  <c r="M26" i="39"/>
  <c r="S25" i="39"/>
  <c r="M25" i="39"/>
  <c r="S24" i="39"/>
  <c r="M24" i="39"/>
  <c r="S23" i="39"/>
  <c r="M23" i="39"/>
  <c r="T22" i="39"/>
  <c r="S22" i="39" s="1"/>
  <c r="M22" i="39"/>
  <c r="S21" i="39"/>
  <c r="M21" i="39"/>
  <c r="S20" i="39"/>
  <c r="N20" i="39"/>
  <c r="M20" i="39" s="1"/>
  <c r="S19" i="39"/>
  <c r="M19" i="39"/>
  <c r="T18" i="39"/>
  <c r="S18" i="39" s="1"/>
  <c r="N18" i="39"/>
  <c r="M18" i="39" s="1"/>
  <c r="S17" i="39"/>
  <c r="M17" i="39"/>
  <c r="T16" i="39"/>
  <c r="S16" i="39" s="1"/>
  <c r="N16" i="39"/>
  <c r="M302" i="39" s="1"/>
  <c r="S15" i="39"/>
  <c r="R301" i="39" s="1"/>
  <c r="M15" i="39"/>
  <c r="T14" i="39"/>
  <c r="S302" i="39" s="1"/>
  <c r="U302" i="39" s="1"/>
  <c r="M14" i="39"/>
  <c r="S13" i="39"/>
  <c r="M13" i="39"/>
  <c r="S12" i="39"/>
  <c r="M12" i="39"/>
  <c r="S11" i="39"/>
  <c r="M11" i="39"/>
  <c r="S10" i="39"/>
  <c r="R303" i="39" s="1"/>
  <c r="M10" i="39"/>
  <c r="L303" i="39" s="1"/>
  <c r="S9" i="39"/>
  <c r="M9" i="39"/>
  <c r="L301" i="39" s="1"/>
  <c r="T303" i="38"/>
  <c r="T304" i="38" s="1"/>
  <c r="S303" i="38"/>
  <c r="Q303" i="38"/>
  <c r="Q304" i="38" s="1"/>
  <c r="P303" i="38"/>
  <c r="P304" i="38" s="1"/>
  <c r="O303" i="38"/>
  <c r="O304" i="38" s="1"/>
  <c r="N303" i="38"/>
  <c r="N304" i="38" s="1"/>
  <c r="M303" i="38"/>
  <c r="K303" i="38"/>
  <c r="K304" i="38" s="1"/>
  <c r="J303" i="38"/>
  <c r="J304" i="38" s="1"/>
  <c r="I303" i="38"/>
  <c r="I304" i="38" s="1"/>
  <c r="H303" i="38"/>
  <c r="H304" i="38" s="1"/>
  <c r="G303" i="38"/>
  <c r="G304" i="38" s="1"/>
  <c r="T302" i="38"/>
  <c r="Q302" i="38"/>
  <c r="P302" i="38"/>
  <c r="O302" i="38"/>
  <c r="N302" i="38"/>
  <c r="K302" i="38"/>
  <c r="J302" i="38"/>
  <c r="I302" i="38"/>
  <c r="H302" i="38"/>
  <c r="G302" i="38"/>
  <c r="T301" i="38"/>
  <c r="S301" i="38"/>
  <c r="U301" i="38" s="1"/>
  <c r="Q301" i="38"/>
  <c r="P301" i="38"/>
  <c r="O301" i="38"/>
  <c r="N301" i="38"/>
  <c r="M301" i="38"/>
  <c r="K301" i="38"/>
  <c r="J301" i="38"/>
  <c r="V301" i="38" s="1"/>
  <c r="I301" i="38"/>
  <c r="H301" i="38"/>
  <c r="G301" i="38"/>
  <c r="U295" i="38"/>
  <c r="R295" i="38"/>
  <c r="Q295" i="38"/>
  <c r="P295" i="38"/>
  <c r="O295" i="38"/>
  <c r="L295" i="38"/>
  <c r="K295" i="38"/>
  <c r="J295" i="38"/>
  <c r="I295" i="38"/>
  <c r="H295" i="38"/>
  <c r="M294" i="38"/>
  <c r="S293" i="38"/>
  <c r="M293" i="38"/>
  <c r="S292" i="38"/>
  <c r="M292" i="38"/>
  <c r="S291" i="38"/>
  <c r="M291" i="38"/>
  <c r="T290" i="38"/>
  <c r="S290" i="38" s="1"/>
  <c r="N290" i="38"/>
  <c r="M290" i="38" s="1"/>
  <c r="S289" i="38"/>
  <c r="M289" i="38"/>
  <c r="S287" i="38"/>
  <c r="M287" i="38"/>
  <c r="S286" i="38"/>
  <c r="M286" i="38"/>
  <c r="S285" i="38"/>
  <c r="M285" i="38"/>
  <c r="S284" i="38"/>
  <c r="N284" i="38"/>
  <c r="M284" i="38"/>
  <c r="S283" i="38"/>
  <c r="M283" i="38"/>
  <c r="S282" i="38"/>
  <c r="M282" i="38"/>
  <c r="S281" i="38"/>
  <c r="M281" i="38"/>
  <c r="S280" i="38"/>
  <c r="N280" i="38"/>
  <c r="M280" i="38" s="1"/>
  <c r="S279" i="38"/>
  <c r="M279" i="38"/>
  <c r="T278" i="38"/>
  <c r="S278" i="38" s="1"/>
  <c r="N278" i="38"/>
  <c r="M278" i="38" s="1"/>
  <c r="S277" i="38"/>
  <c r="M277" i="38"/>
  <c r="T276" i="38"/>
  <c r="S276" i="38" s="1"/>
  <c r="M276" i="38"/>
  <c r="S275" i="38"/>
  <c r="M275" i="38"/>
  <c r="T274" i="38"/>
  <c r="S274" i="38"/>
  <c r="N274" i="38"/>
  <c r="M274" i="38"/>
  <c r="S273" i="38"/>
  <c r="M273" i="38"/>
  <c r="T272" i="38"/>
  <c r="S272" i="38"/>
  <c r="M272" i="38"/>
  <c r="S271" i="38"/>
  <c r="M271" i="38"/>
  <c r="S270" i="38"/>
  <c r="N270" i="38"/>
  <c r="M270" i="38"/>
  <c r="S269" i="38"/>
  <c r="M269" i="38"/>
  <c r="T268" i="38"/>
  <c r="S268" i="38"/>
  <c r="M268" i="38"/>
  <c r="S267" i="38"/>
  <c r="M267" i="38"/>
  <c r="S266" i="38"/>
  <c r="N266" i="38"/>
  <c r="M266" i="38"/>
  <c r="S265" i="38"/>
  <c r="M265" i="38"/>
  <c r="T264" i="38"/>
  <c r="S264" i="38"/>
  <c r="M264" i="38"/>
  <c r="S263" i="38"/>
  <c r="M263" i="38"/>
  <c r="S262" i="38"/>
  <c r="M262" i="38"/>
  <c r="S261" i="38"/>
  <c r="M261" i="38"/>
  <c r="S259" i="38"/>
  <c r="M259" i="38"/>
  <c r="S258" i="38"/>
  <c r="M258" i="38"/>
  <c r="S257" i="38"/>
  <c r="M257" i="38"/>
  <c r="T256" i="38"/>
  <c r="S256" i="38" s="1"/>
  <c r="M256" i="38"/>
  <c r="S255" i="38"/>
  <c r="M255" i="38"/>
  <c r="T254" i="38"/>
  <c r="S254" i="38"/>
  <c r="N254" i="38"/>
  <c r="M254" i="38"/>
  <c r="S253" i="38"/>
  <c r="M253" i="38"/>
  <c r="S252" i="38"/>
  <c r="M252" i="38"/>
  <c r="S251" i="38"/>
  <c r="M251" i="38"/>
  <c r="T250" i="38"/>
  <c r="S250" i="38"/>
  <c r="N250" i="38"/>
  <c r="M250" i="38"/>
  <c r="S249" i="38"/>
  <c r="M249" i="38"/>
  <c r="S248" i="38"/>
  <c r="M248" i="38"/>
  <c r="S247" i="38"/>
  <c r="M247" i="38"/>
  <c r="T246" i="38"/>
  <c r="S246" i="38"/>
  <c r="M246" i="38"/>
  <c r="S245" i="38"/>
  <c r="M245" i="38"/>
  <c r="T244" i="38"/>
  <c r="S244" i="38" s="1"/>
  <c r="M244" i="38"/>
  <c r="S243" i="38"/>
  <c r="M243" i="38"/>
  <c r="S242" i="38"/>
  <c r="N242" i="38"/>
  <c r="M242" i="38" s="1"/>
  <c r="S241" i="38"/>
  <c r="M241" i="38"/>
  <c r="S240" i="38"/>
  <c r="M240" i="38"/>
  <c r="S239" i="38"/>
  <c r="M239" i="38"/>
  <c r="S238" i="38"/>
  <c r="M238" i="38"/>
  <c r="S237" i="38"/>
  <c r="M237" i="38"/>
  <c r="S236" i="38"/>
  <c r="M236" i="38"/>
  <c r="S235" i="38"/>
  <c r="M235" i="38"/>
  <c r="S234" i="38"/>
  <c r="M234" i="38"/>
  <c r="S233" i="38"/>
  <c r="M233" i="38"/>
  <c r="S231" i="38"/>
  <c r="M231" i="38"/>
  <c r="S229" i="38"/>
  <c r="M229" i="38"/>
  <c r="S228" i="38"/>
  <c r="M228" i="38"/>
  <c r="S227" i="38"/>
  <c r="M227" i="38"/>
  <c r="S226" i="38"/>
  <c r="M226" i="38"/>
  <c r="S225" i="38"/>
  <c r="M225" i="38"/>
  <c r="T224" i="38"/>
  <c r="S224" i="38" s="1"/>
  <c r="N224" i="38"/>
  <c r="M224" i="38" s="1"/>
  <c r="S223" i="38"/>
  <c r="M223" i="38"/>
  <c r="S222" i="38"/>
  <c r="M222" i="38"/>
  <c r="S221" i="38"/>
  <c r="M221" i="38"/>
  <c r="T220" i="38"/>
  <c r="S220" i="38" s="1"/>
  <c r="M220" i="38"/>
  <c r="S219" i="38"/>
  <c r="M219" i="38"/>
  <c r="T218" i="38"/>
  <c r="S218" i="38"/>
  <c r="N218" i="38"/>
  <c r="M218" i="38"/>
  <c r="S217" i="38"/>
  <c r="M217" i="38"/>
  <c r="S216" i="38"/>
  <c r="M216" i="38"/>
  <c r="S215" i="38"/>
  <c r="M215" i="38"/>
  <c r="S214" i="38"/>
  <c r="N214" i="38"/>
  <c r="M214" i="38" s="1"/>
  <c r="S213" i="38"/>
  <c r="M213" i="38"/>
  <c r="M212" i="38"/>
  <c r="S211" i="38"/>
  <c r="M211" i="38"/>
  <c r="T210" i="38"/>
  <c r="S210" i="38"/>
  <c r="M210" i="38"/>
  <c r="S209" i="38"/>
  <c r="M209" i="38"/>
  <c r="S208" i="38"/>
  <c r="M208" i="38"/>
  <c r="S207" i="38"/>
  <c r="M207" i="38"/>
  <c r="S206" i="38"/>
  <c r="M206" i="38"/>
  <c r="S205" i="38"/>
  <c r="M205" i="38"/>
  <c r="S204" i="38"/>
  <c r="M204" i="38"/>
  <c r="T203" i="38"/>
  <c r="S203" i="38" s="1"/>
  <c r="N203" i="38"/>
  <c r="M203" i="38" s="1"/>
  <c r="S202" i="38"/>
  <c r="M202" i="38"/>
  <c r="S201" i="38"/>
  <c r="N201" i="38"/>
  <c r="M201" i="38"/>
  <c r="S200" i="38"/>
  <c r="M200" i="38"/>
  <c r="S199" i="38"/>
  <c r="M199" i="38"/>
  <c r="S198" i="38"/>
  <c r="M198" i="38"/>
  <c r="S197" i="38"/>
  <c r="M197" i="38"/>
  <c r="S196" i="38"/>
  <c r="M196" i="38"/>
  <c r="S195" i="38"/>
  <c r="M195" i="38"/>
  <c r="S194" i="38"/>
  <c r="M194" i="38"/>
  <c r="T193" i="38"/>
  <c r="S193" i="38"/>
  <c r="N193" i="38"/>
  <c r="M193" i="38"/>
  <c r="S192" i="38"/>
  <c r="M192" i="38"/>
  <c r="M191" i="38"/>
  <c r="S190" i="38"/>
  <c r="M190" i="38"/>
  <c r="S189" i="38"/>
  <c r="N189" i="38"/>
  <c r="M189" i="38"/>
  <c r="S188" i="38"/>
  <c r="M188" i="38"/>
  <c r="T187" i="38"/>
  <c r="S187" i="38"/>
  <c r="N187" i="38"/>
  <c r="M187" i="38"/>
  <c r="S186" i="38"/>
  <c r="M186" i="38"/>
  <c r="T185" i="38"/>
  <c r="S185" i="38"/>
  <c r="N185" i="38"/>
  <c r="M185" i="38"/>
  <c r="S184" i="38"/>
  <c r="M184" i="38"/>
  <c r="T183" i="38"/>
  <c r="S183" i="38"/>
  <c r="N183" i="38"/>
  <c r="M183" i="38"/>
  <c r="S182" i="38"/>
  <c r="M182" i="38"/>
  <c r="S181" i="38"/>
  <c r="M181" i="38"/>
  <c r="S180" i="38"/>
  <c r="M180" i="38"/>
  <c r="S179" i="38"/>
  <c r="M179" i="38"/>
  <c r="S178" i="38"/>
  <c r="M178" i="38"/>
  <c r="S177" i="38"/>
  <c r="M177" i="38"/>
  <c r="S176" i="38"/>
  <c r="M176" i="38"/>
  <c r="S175" i="38"/>
  <c r="M175" i="38"/>
  <c r="S174" i="38"/>
  <c r="M174" i="38"/>
  <c r="T173" i="38"/>
  <c r="S173" i="38"/>
  <c r="N173" i="38"/>
  <c r="M173" i="38"/>
  <c r="S172" i="38"/>
  <c r="M172" i="38"/>
  <c r="T171" i="38"/>
  <c r="S171" i="38"/>
  <c r="N171" i="38"/>
  <c r="M171" i="38"/>
  <c r="S170" i="38"/>
  <c r="M170" i="38"/>
  <c r="T169" i="38"/>
  <c r="S169" i="38"/>
  <c r="N169" i="38"/>
  <c r="M169" i="38"/>
  <c r="S168" i="38"/>
  <c r="M168" i="38"/>
  <c r="T167" i="38"/>
  <c r="S167" i="38"/>
  <c r="N167" i="38"/>
  <c r="M167" i="38"/>
  <c r="S166" i="38"/>
  <c r="M166" i="38"/>
  <c r="M165" i="38"/>
  <c r="T164" i="38"/>
  <c r="S164" i="38" s="1"/>
  <c r="N164" i="38"/>
  <c r="M164" i="38" s="1"/>
  <c r="S163" i="38"/>
  <c r="M163" i="38"/>
  <c r="S162" i="38"/>
  <c r="M162" i="38"/>
  <c r="S161" i="38"/>
  <c r="M161" i="38"/>
  <c r="S160" i="38"/>
  <c r="M160" i="38"/>
  <c r="T159" i="38"/>
  <c r="S159" i="38" s="1"/>
  <c r="N159" i="38"/>
  <c r="M159" i="38" s="1"/>
  <c r="S158" i="38"/>
  <c r="M158" i="38"/>
  <c r="S156" i="38"/>
  <c r="M156" i="38"/>
  <c r="S155" i="38"/>
  <c r="M155" i="38"/>
  <c r="S154" i="38"/>
  <c r="M154" i="38"/>
  <c r="T153" i="38"/>
  <c r="S153" i="38" s="1"/>
  <c r="N153" i="38"/>
  <c r="M153" i="38" s="1"/>
  <c r="S152" i="38"/>
  <c r="M152" i="38"/>
  <c r="T151" i="38"/>
  <c r="S151" i="38" s="1"/>
  <c r="N151" i="38"/>
  <c r="M151" i="38" s="1"/>
  <c r="S150" i="38"/>
  <c r="M150" i="38"/>
  <c r="T149" i="38"/>
  <c r="S149" i="38" s="1"/>
  <c r="M149" i="38"/>
  <c r="S148" i="38"/>
  <c r="M148" i="38"/>
  <c r="S147" i="38"/>
  <c r="M147" i="38"/>
  <c r="S146" i="38"/>
  <c r="M146" i="38"/>
  <c r="S145" i="38"/>
  <c r="M145" i="38"/>
  <c r="S144" i="38"/>
  <c r="M144" i="38"/>
  <c r="S143" i="38"/>
  <c r="M143" i="38"/>
  <c r="S142" i="38"/>
  <c r="M142" i="38"/>
  <c r="S141" i="38"/>
  <c r="M141" i="38"/>
  <c r="S139" i="38"/>
  <c r="M139" i="38"/>
  <c r="S138" i="38"/>
  <c r="M138" i="38"/>
  <c r="S137" i="38"/>
  <c r="M137" i="38"/>
  <c r="S136" i="38"/>
  <c r="M136" i="38"/>
  <c r="S135" i="38"/>
  <c r="M135" i="38"/>
  <c r="T134" i="38"/>
  <c r="S134" i="38"/>
  <c r="M134" i="38"/>
  <c r="S133" i="38"/>
  <c r="M133" i="38"/>
  <c r="S132" i="38"/>
  <c r="M132" i="38"/>
  <c r="S131" i="38"/>
  <c r="M131" i="38"/>
  <c r="T130" i="38"/>
  <c r="S130" i="38" s="1"/>
  <c r="N130" i="38"/>
  <c r="M130" i="38" s="1"/>
  <c r="S129" i="38"/>
  <c r="M129" i="38"/>
  <c r="S128" i="38"/>
  <c r="M128" i="38"/>
  <c r="S127" i="38"/>
  <c r="M127" i="38"/>
  <c r="S126" i="38"/>
  <c r="M126" i="38"/>
  <c r="S125" i="38"/>
  <c r="M125" i="38"/>
  <c r="S124" i="38"/>
  <c r="T123" i="38"/>
  <c r="S123" i="38"/>
  <c r="N123" i="38"/>
  <c r="M123" i="38"/>
  <c r="S122" i="38"/>
  <c r="M122" i="38"/>
  <c r="T121" i="38"/>
  <c r="S121" i="38"/>
  <c r="N121" i="38"/>
  <c r="M121" i="38"/>
  <c r="S120" i="38"/>
  <c r="M120" i="38"/>
  <c r="S119" i="38"/>
  <c r="M119" i="38"/>
  <c r="S118" i="38"/>
  <c r="M118" i="38"/>
  <c r="T117" i="38"/>
  <c r="S117" i="38"/>
  <c r="N117" i="38"/>
  <c r="M117" i="38"/>
  <c r="S116" i="38"/>
  <c r="M116" i="38"/>
  <c r="T115" i="38"/>
  <c r="S115" i="38"/>
  <c r="N115" i="38"/>
  <c r="M115" i="38"/>
  <c r="S114" i="38"/>
  <c r="M114" i="38"/>
  <c r="S113" i="38"/>
  <c r="N113" i="38"/>
  <c r="M113" i="38" s="1"/>
  <c r="S112" i="38"/>
  <c r="M112" i="38"/>
  <c r="T111" i="38"/>
  <c r="S111" i="38" s="1"/>
  <c r="N111" i="38"/>
  <c r="M111" i="38" s="1"/>
  <c r="S110" i="38"/>
  <c r="M110" i="38"/>
  <c r="S109" i="38"/>
  <c r="N109" i="38"/>
  <c r="M109" i="38"/>
  <c r="S108" i="38"/>
  <c r="M108" i="38"/>
  <c r="S106" i="38"/>
  <c r="M106" i="38"/>
  <c r="S105" i="38"/>
  <c r="M105" i="38"/>
  <c r="S104" i="38"/>
  <c r="M104" i="38"/>
  <c r="T103" i="38"/>
  <c r="S103" i="38"/>
  <c r="N103" i="38"/>
  <c r="M103" i="38"/>
  <c r="S102" i="38"/>
  <c r="M102" i="38"/>
  <c r="T101" i="38"/>
  <c r="S101" i="38"/>
  <c r="N101" i="38"/>
  <c r="S100" i="38"/>
  <c r="M100" i="38"/>
  <c r="S98" i="38"/>
  <c r="M98" i="38"/>
  <c r="S97" i="38"/>
  <c r="M97" i="38"/>
  <c r="S96" i="38"/>
  <c r="M96" i="38"/>
  <c r="S95" i="38"/>
  <c r="M95" i="38"/>
  <c r="S94" i="38"/>
  <c r="M94" i="38"/>
  <c r="S93" i="38"/>
  <c r="M93" i="38"/>
  <c r="S92" i="38"/>
  <c r="M92" i="38"/>
  <c r="S91" i="38"/>
  <c r="M91" i="38"/>
  <c r="S90" i="38"/>
  <c r="M90" i="38"/>
  <c r="S89" i="38"/>
  <c r="M89" i="38"/>
  <c r="S88" i="38"/>
  <c r="M88" i="38"/>
  <c r="S87" i="38"/>
  <c r="N87" i="38"/>
  <c r="M87" i="38"/>
  <c r="S86" i="38"/>
  <c r="M86" i="38"/>
  <c r="S85" i="38"/>
  <c r="M85" i="38"/>
  <c r="S84" i="38"/>
  <c r="M84" i="38"/>
  <c r="S83" i="38"/>
  <c r="M83" i="38"/>
  <c r="S82" i="38"/>
  <c r="M82" i="38"/>
  <c r="S80" i="38"/>
  <c r="M80" i="38"/>
  <c r="S79" i="38"/>
  <c r="M79" i="38"/>
  <c r="S78" i="38"/>
  <c r="M78" i="38"/>
  <c r="S77" i="38"/>
  <c r="M77" i="38"/>
  <c r="S76" i="38"/>
  <c r="M76" i="38"/>
  <c r="T75" i="38"/>
  <c r="S75" i="38"/>
  <c r="N75" i="38"/>
  <c r="M75" i="38"/>
  <c r="S74" i="38"/>
  <c r="M74" i="38"/>
  <c r="S73" i="38"/>
  <c r="M73" i="38"/>
  <c r="S72" i="38"/>
  <c r="M72" i="38"/>
  <c r="T71" i="38"/>
  <c r="S71" i="38"/>
  <c r="N71" i="38"/>
  <c r="M71" i="38"/>
  <c r="S70" i="38"/>
  <c r="M70" i="38"/>
  <c r="S69" i="38"/>
  <c r="N69" i="38"/>
  <c r="M69" i="38" s="1"/>
  <c r="S68" i="38"/>
  <c r="M68" i="38"/>
  <c r="S67" i="38"/>
  <c r="M67" i="38"/>
  <c r="S66" i="38"/>
  <c r="M66" i="38"/>
  <c r="S65" i="38"/>
  <c r="M65" i="38"/>
  <c r="S64" i="38"/>
  <c r="M64" i="38"/>
  <c r="T63" i="38"/>
  <c r="S63" i="38" s="1"/>
  <c r="N63" i="38"/>
  <c r="M63" i="38" s="1"/>
  <c r="S62" i="38"/>
  <c r="M62" i="38"/>
  <c r="S61" i="38"/>
  <c r="M61" i="38"/>
  <c r="S60" i="38"/>
  <c r="M60" i="38"/>
  <c r="T59" i="38"/>
  <c r="S59" i="38" s="1"/>
  <c r="N59" i="38"/>
  <c r="M59" i="38" s="1"/>
  <c r="S58" i="38"/>
  <c r="M58" i="38"/>
  <c r="S57" i="38"/>
  <c r="N57" i="38"/>
  <c r="M57" i="38"/>
  <c r="S56" i="38"/>
  <c r="M56" i="38"/>
  <c r="S55" i="38"/>
  <c r="M55" i="38"/>
  <c r="S54" i="38"/>
  <c r="M54" i="38"/>
  <c r="S53" i="38"/>
  <c r="M53" i="38"/>
  <c r="S52" i="38"/>
  <c r="M52" i="38"/>
  <c r="S51" i="38"/>
  <c r="M51" i="38"/>
  <c r="S50" i="38"/>
  <c r="M50" i="38"/>
  <c r="S49" i="38"/>
  <c r="M49" i="38"/>
  <c r="S48" i="38"/>
  <c r="N48" i="38"/>
  <c r="M48" i="38" s="1"/>
  <c r="S47" i="38"/>
  <c r="M47" i="38"/>
  <c r="S46" i="38"/>
  <c r="M46" i="38"/>
  <c r="S45" i="38"/>
  <c r="M45" i="38"/>
  <c r="S44" i="38"/>
  <c r="M44" i="38"/>
  <c r="S43" i="38"/>
  <c r="M43" i="38"/>
  <c r="S42" i="38"/>
  <c r="M42" i="38"/>
  <c r="S41" i="38"/>
  <c r="M41" i="38"/>
  <c r="S40" i="38"/>
  <c r="M40" i="38"/>
  <c r="S39" i="38"/>
  <c r="M39" i="38"/>
  <c r="T38" i="38"/>
  <c r="S38" i="38" s="1"/>
  <c r="N38" i="38"/>
  <c r="M38" i="38" s="1"/>
  <c r="S37" i="38"/>
  <c r="M37" i="38"/>
  <c r="S36" i="38"/>
  <c r="M36" i="38"/>
  <c r="S35" i="38"/>
  <c r="M35" i="38"/>
  <c r="S33" i="38"/>
  <c r="M33" i="38"/>
  <c r="S32" i="38"/>
  <c r="M32" i="38"/>
  <c r="S31" i="38"/>
  <c r="M31" i="38"/>
  <c r="T30" i="38"/>
  <c r="S30" i="38" s="1"/>
  <c r="N30" i="38"/>
  <c r="M30" i="38" s="1"/>
  <c r="S29" i="38"/>
  <c r="M29" i="38"/>
  <c r="T28" i="38"/>
  <c r="S28" i="38" s="1"/>
  <c r="N28" i="38"/>
  <c r="N295" i="38" s="1"/>
  <c r="S27" i="38"/>
  <c r="M27" i="38"/>
  <c r="T26" i="38"/>
  <c r="T295" i="38" s="1"/>
  <c r="M26" i="38"/>
  <c r="S25" i="38"/>
  <c r="M25" i="38"/>
  <c r="S24" i="38"/>
  <c r="M24" i="38"/>
  <c r="S23" i="38"/>
  <c r="M23" i="38"/>
  <c r="T22" i="38"/>
  <c r="S22" i="38"/>
  <c r="M22" i="38"/>
  <c r="S21" i="38"/>
  <c r="M21" i="38"/>
  <c r="S20" i="38"/>
  <c r="N20" i="38"/>
  <c r="M20" i="38"/>
  <c r="S19" i="38"/>
  <c r="M19" i="38"/>
  <c r="T18" i="38"/>
  <c r="S18" i="38"/>
  <c r="N18" i="38"/>
  <c r="M18" i="38"/>
  <c r="S17" i="38"/>
  <c r="M17" i="38"/>
  <c r="T16" i="38"/>
  <c r="S16" i="38"/>
  <c r="N16" i="38"/>
  <c r="M302" i="38" s="1"/>
  <c r="M16" i="38"/>
  <c r="S15" i="38"/>
  <c r="M15" i="38"/>
  <c r="T14" i="38"/>
  <c r="S302" i="38" s="1"/>
  <c r="U302" i="38" s="1"/>
  <c r="S14" i="38"/>
  <c r="M14" i="38"/>
  <c r="S13" i="38"/>
  <c r="M13" i="38"/>
  <c r="S12" i="38"/>
  <c r="M12" i="38"/>
  <c r="S11" i="38"/>
  <c r="M11" i="38"/>
  <c r="S10" i="38"/>
  <c r="R303" i="38" s="1"/>
  <c r="M10" i="38"/>
  <c r="L303" i="38" s="1"/>
  <c r="S9" i="38"/>
  <c r="R301" i="38" s="1"/>
  <c r="M9" i="38"/>
  <c r="L301" i="38" s="1"/>
  <c r="T301" i="37"/>
  <c r="S301" i="37"/>
  <c r="Q301" i="37"/>
  <c r="Q302" i="37" s="1"/>
  <c r="P301" i="37"/>
  <c r="O301" i="37"/>
  <c r="O302" i="37" s="1"/>
  <c r="N301" i="37"/>
  <c r="M301" i="37"/>
  <c r="K301" i="37"/>
  <c r="K302" i="37" s="1"/>
  <c r="J301" i="37"/>
  <c r="I301" i="37"/>
  <c r="I302" i="37" s="1"/>
  <c r="H301" i="37"/>
  <c r="G301" i="37"/>
  <c r="G302" i="37" s="1"/>
  <c r="T300" i="37"/>
  <c r="Q300" i="37"/>
  <c r="P300" i="37"/>
  <c r="O300" i="37"/>
  <c r="N300" i="37"/>
  <c r="K300" i="37"/>
  <c r="J300" i="37"/>
  <c r="I300" i="37"/>
  <c r="H300" i="37"/>
  <c r="G300" i="37"/>
  <c r="T299" i="37"/>
  <c r="S299" i="37"/>
  <c r="U299" i="37" s="1"/>
  <c r="Q299" i="37"/>
  <c r="P299" i="37"/>
  <c r="O299" i="37"/>
  <c r="N299" i="37"/>
  <c r="M299" i="37"/>
  <c r="K299" i="37"/>
  <c r="J299" i="37"/>
  <c r="V299" i="37" s="1"/>
  <c r="I299" i="37"/>
  <c r="H299" i="37"/>
  <c r="G299" i="37"/>
  <c r="U293" i="37"/>
  <c r="R293" i="37"/>
  <c r="Q293" i="37"/>
  <c r="P293" i="37"/>
  <c r="O293" i="37"/>
  <c r="L293" i="37"/>
  <c r="K293" i="37"/>
  <c r="J293" i="37"/>
  <c r="I293" i="37"/>
  <c r="H293" i="37"/>
  <c r="M292" i="37"/>
  <c r="S291" i="37"/>
  <c r="M291" i="37"/>
  <c r="S290" i="37"/>
  <c r="M290" i="37"/>
  <c r="S289" i="37"/>
  <c r="M289" i="37"/>
  <c r="T288" i="37"/>
  <c r="S288" i="37"/>
  <c r="N288" i="37"/>
  <c r="M288" i="37"/>
  <c r="S287" i="37"/>
  <c r="M287" i="37"/>
  <c r="M286" i="37"/>
  <c r="S285" i="37"/>
  <c r="M285" i="37"/>
  <c r="S284" i="37"/>
  <c r="M284" i="37"/>
  <c r="S283" i="37"/>
  <c r="M283" i="37"/>
  <c r="S282" i="37"/>
  <c r="N282" i="37"/>
  <c r="M282" i="37"/>
  <c r="S281" i="37"/>
  <c r="M281" i="37"/>
  <c r="S280" i="37"/>
  <c r="M280" i="37"/>
  <c r="S279" i="37"/>
  <c r="M279" i="37"/>
  <c r="S278" i="37"/>
  <c r="N278" i="37"/>
  <c r="M278" i="37" s="1"/>
  <c r="S277" i="37"/>
  <c r="M277" i="37"/>
  <c r="T276" i="37"/>
  <c r="S276" i="37" s="1"/>
  <c r="N276" i="37"/>
  <c r="M276" i="37" s="1"/>
  <c r="S275" i="37"/>
  <c r="M275" i="37"/>
  <c r="T274" i="37"/>
  <c r="S274" i="37" s="1"/>
  <c r="M274" i="37"/>
  <c r="S273" i="37"/>
  <c r="M273" i="37"/>
  <c r="T272" i="37"/>
  <c r="S272" i="37"/>
  <c r="N272" i="37"/>
  <c r="M272" i="37"/>
  <c r="S271" i="37"/>
  <c r="M271" i="37"/>
  <c r="T270" i="37"/>
  <c r="S270" i="37"/>
  <c r="M270" i="37"/>
  <c r="S269" i="37"/>
  <c r="M269" i="37"/>
  <c r="S268" i="37"/>
  <c r="N268" i="37"/>
  <c r="M268" i="37"/>
  <c r="S267" i="37"/>
  <c r="M267" i="37"/>
  <c r="T266" i="37"/>
  <c r="S266" i="37"/>
  <c r="M266" i="37"/>
  <c r="S265" i="37"/>
  <c r="M265" i="37"/>
  <c r="S264" i="37"/>
  <c r="N264" i="37"/>
  <c r="M264" i="37"/>
  <c r="S263" i="37"/>
  <c r="M263" i="37"/>
  <c r="S262" i="37"/>
  <c r="M262" i="37"/>
  <c r="S261" i="37"/>
  <c r="M261" i="37"/>
  <c r="S260" i="37"/>
  <c r="M260" i="37"/>
  <c r="S259" i="37"/>
  <c r="M259" i="37"/>
  <c r="S257" i="37"/>
  <c r="M257" i="37"/>
  <c r="S256" i="37"/>
  <c r="M256" i="37"/>
  <c r="S255" i="37"/>
  <c r="M255" i="37"/>
  <c r="T254" i="37"/>
  <c r="S254" i="37"/>
  <c r="M254" i="37"/>
  <c r="S253" i="37"/>
  <c r="M253" i="37"/>
  <c r="T252" i="37"/>
  <c r="S252" i="37" s="1"/>
  <c r="N252" i="37"/>
  <c r="M252" i="37" s="1"/>
  <c r="S251" i="37"/>
  <c r="M251" i="37"/>
  <c r="S250" i="37"/>
  <c r="M250" i="37"/>
  <c r="S249" i="37"/>
  <c r="M249" i="37"/>
  <c r="T248" i="37"/>
  <c r="S248" i="37" s="1"/>
  <c r="N248" i="37"/>
  <c r="M248" i="37" s="1"/>
  <c r="S247" i="37"/>
  <c r="M247" i="37"/>
  <c r="S246" i="37"/>
  <c r="M246" i="37"/>
  <c r="S245" i="37"/>
  <c r="M245" i="37"/>
  <c r="T244" i="37"/>
  <c r="S244" i="37" s="1"/>
  <c r="M244" i="37"/>
  <c r="S243" i="37"/>
  <c r="M243" i="37"/>
  <c r="T242" i="37"/>
  <c r="S242" i="37"/>
  <c r="M242" i="37"/>
  <c r="S241" i="37"/>
  <c r="M241" i="37"/>
  <c r="S240" i="37"/>
  <c r="N240" i="37"/>
  <c r="M240" i="37"/>
  <c r="S239" i="37"/>
  <c r="M239" i="37"/>
  <c r="S238" i="37"/>
  <c r="M238" i="37"/>
  <c r="S237" i="37"/>
  <c r="M237" i="37"/>
  <c r="S236" i="37"/>
  <c r="M236" i="37"/>
  <c r="S235" i="37"/>
  <c r="M235" i="37"/>
  <c r="S234" i="37"/>
  <c r="M234" i="37"/>
  <c r="S233" i="37"/>
  <c r="M233" i="37"/>
  <c r="S232" i="37"/>
  <c r="M232" i="37"/>
  <c r="S231" i="37"/>
  <c r="M231" i="37"/>
  <c r="S229" i="37"/>
  <c r="M229" i="37"/>
  <c r="S227" i="37"/>
  <c r="M227" i="37"/>
  <c r="S226" i="37"/>
  <c r="M226" i="37"/>
  <c r="S225" i="37"/>
  <c r="M225" i="37"/>
  <c r="S224" i="37"/>
  <c r="M224" i="37"/>
  <c r="S223" i="37"/>
  <c r="M223" i="37"/>
  <c r="T222" i="37"/>
  <c r="S222" i="37"/>
  <c r="N222" i="37"/>
  <c r="M222" i="37"/>
  <c r="S221" i="37"/>
  <c r="M221" i="37"/>
  <c r="S220" i="37"/>
  <c r="M220" i="37"/>
  <c r="S219" i="37"/>
  <c r="M219" i="37"/>
  <c r="T218" i="37"/>
  <c r="S218" i="37"/>
  <c r="M218" i="37"/>
  <c r="S217" i="37"/>
  <c r="M217" i="37"/>
  <c r="T216" i="37"/>
  <c r="S216" i="37" s="1"/>
  <c r="N216" i="37"/>
  <c r="M216" i="37" s="1"/>
  <c r="S215" i="37"/>
  <c r="M215" i="37"/>
  <c r="S214" i="37"/>
  <c r="M214" i="37"/>
  <c r="S213" i="37"/>
  <c r="M213" i="37"/>
  <c r="S212" i="37"/>
  <c r="M212" i="37"/>
  <c r="S211" i="37"/>
  <c r="M211" i="37"/>
  <c r="M210" i="37"/>
  <c r="S209" i="37"/>
  <c r="M209" i="37"/>
  <c r="T208" i="37"/>
  <c r="S208" i="37"/>
  <c r="M208" i="37"/>
  <c r="S207" i="37"/>
  <c r="M207" i="37"/>
  <c r="S206" i="37"/>
  <c r="M206" i="37"/>
  <c r="S205" i="37"/>
  <c r="M205" i="37"/>
  <c r="S204" i="37"/>
  <c r="M204" i="37"/>
  <c r="S203" i="37"/>
  <c r="M203" i="37"/>
  <c r="S202" i="37"/>
  <c r="M202" i="37"/>
  <c r="T201" i="37"/>
  <c r="S201" i="37" s="1"/>
  <c r="N201" i="37"/>
  <c r="M201" i="37" s="1"/>
  <c r="S200" i="37"/>
  <c r="M200" i="37"/>
  <c r="S199" i="37"/>
  <c r="N199" i="37"/>
  <c r="M199" i="37"/>
  <c r="S198" i="37"/>
  <c r="M198" i="37"/>
  <c r="S197" i="37"/>
  <c r="M197" i="37"/>
  <c r="S196" i="37"/>
  <c r="M196" i="37"/>
  <c r="S195" i="37"/>
  <c r="M195" i="37"/>
  <c r="S194" i="37"/>
  <c r="M194" i="37"/>
  <c r="S193" i="37"/>
  <c r="M193" i="37"/>
  <c r="S192" i="37"/>
  <c r="M192" i="37"/>
  <c r="T191" i="37"/>
  <c r="S191" i="37"/>
  <c r="N191" i="37"/>
  <c r="M191" i="37"/>
  <c r="S190" i="37"/>
  <c r="M190" i="37"/>
  <c r="M189" i="37"/>
  <c r="S188" i="37"/>
  <c r="M188" i="37"/>
  <c r="S187" i="37"/>
  <c r="N187" i="37"/>
  <c r="M187" i="37"/>
  <c r="S186" i="37"/>
  <c r="M186" i="37"/>
  <c r="T185" i="37"/>
  <c r="S185" i="37"/>
  <c r="N185" i="37"/>
  <c r="M185" i="37"/>
  <c r="S184" i="37"/>
  <c r="M184" i="37"/>
  <c r="T183" i="37"/>
  <c r="S183" i="37"/>
  <c r="M183" i="37"/>
  <c r="S182" i="37"/>
  <c r="M182" i="37"/>
  <c r="T181" i="37"/>
  <c r="S181" i="37" s="1"/>
  <c r="N181" i="37"/>
  <c r="M181" i="37" s="1"/>
  <c r="S180" i="37"/>
  <c r="M180" i="37"/>
  <c r="S179" i="37"/>
  <c r="M179" i="37"/>
  <c r="S178" i="37"/>
  <c r="M178" i="37"/>
  <c r="S177" i="37"/>
  <c r="M177" i="37"/>
  <c r="S176" i="37"/>
  <c r="M176" i="37"/>
  <c r="S175" i="37"/>
  <c r="M175" i="37"/>
  <c r="S174" i="37"/>
  <c r="M174" i="37"/>
  <c r="S173" i="37"/>
  <c r="M173" i="37"/>
  <c r="S172" i="37"/>
  <c r="M172" i="37"/>
  <c r="T171" i="37"/>
  <c r="S171" i="37" s="1"/>
  <c r="N171" i="37"/>
  <c r="M171" i="37" s="1"/>
  <c r="S170" i="37"/>
  <c r="M170" i="37"/>
  <c r="T169" i="37"/>
  <c r="S169" i="37" s="1"/>
  <c r="N169" i="37"/>
  <c r="M169" i="37" s="1"/>
  <c r="S168" i="37"/>
  <c r="M168" i="37"/>
  <c r="T167" i="37"/>
  <c r="S167" i="37" s="1"/>
  <c r="N167" i="37"/>
  <c r="M167" i="37" s="1"/>
  <c r="S166" i="37"/>
  <c r="M166" i="37"/>
  <c r="T165" i="37"/>
  <c r="S165" i="37" s="1"/>
  <c r="N165" i="37"/>
  <c r="M165" i="37" s="1"/>
  <c r="S164" i="37"/>
  <c r="M164" i="37"/>
  <c r="S163" i="37"/>
  <c r="M163" i="37"/>
  <c r="T162" i="37"/>
  <c r="S162" i="37" s="1"/>
  <c r="N162" i="37"/>
  <c r="M162" i="37" s="1"/>
  <c r="S161" i="37"/>
  <c r="M161" i="37"/>
  <c r="S160" i="37"/>
  <c r="M160" i="37"/>
  <c r="S159" i="37"/>
  <c r="M159" i="37"/>
  <c r="S158" i="37"/>
  <c r="M158" i="37"/>
  <c r="T157" i="37"/>
  <c r="S157" i="37" s="1"/>
  <c r="N157" i="37"/>
  <c r="M157" i="37" s="1"/>
  <c r="S156" i="37"/>
  <c r="M156" i="37"/>
  <c r="S154" i="37"/>
  <c r="M154" i="37"/>
  <c r="S153" i="37"/>
  <c r="M153" i="37"/>
  <c r="S152" i="37"/>
  <c r="M152" i="37"/>
  <c r="T151" i="37"/>
  <c r="S151" i="37" s="1"/>
  <c r="N151" i="37"/>
  <c r="M151" i="37" s="1"/>
  <c r="S150" i="37"/>
  <c r="M150" i="37"/>
  <c r="T149" i="37"/>
  <c r="S149" i="37" s="1"/>
  <c r="N149" i="37"/>
  <c r="M149" i="37" s="1"/>
  <c r="S148" i="37"/>
  <c r="M148" i="37"/>
  <c r="T147" i="37"/>
  <c r="S147" i="37" s="1"/>
  <c r="M147" i="37"/>
  <c r="S146" i="37"/>
  <c r="M146" i="37"/>
  <c r="S145" i="37"/>
  <c r="M145" i="37"/>
  <c r="S144" i="37"/>
  <c r="M144" i="37"/>
  <c r="S143" i="37"/>
  <c r="M143" i="37"/>
  <c r="S142" i="37"/>
  <c r="M142" i="37"/>
  <c r="S141" i="37"/>
  <c r="M141" i="37"/>
  <c r="S140" i="37"/>
  <c r="M140" i="37"/>
  <c r="S139" i="37"/>
  <c r="M139" i="37"/>
  <c r="S137" i="37"/>
  <c r="M137" i="37"/>
  <c r="S136" i="37"/>
  <c r="M136" i="37"/>
  <c r="S135" i="37"/>
  <c r="M135" i="37"/>
  <c r="S134" i="37"/>
  <c r="M134" i="37"/>
  <c r="S133" i="37"/>
  <c r="M133" i="37"/>
  <c r="T132" i="37"/>
  <c r="S132" i="37"/>
  <c r="M132" i="37"/>
  <c r="S131" i="37"/>
  <c r="M131" i="37"/>
  <c r="S130" i="37"/>
  <c r="M130" i="37"/>
  <c r="S129" i="37"/>
  <c r="M129" i="37"/>
  <c r="T128" i="37"/>
  <c r="S128" i="37" s="1"/>
  <c r="N128" i="37"/>
  <c r="M128" i="37" s="1"/>
  <c r="S127" i="37"/>
  <c r="M127" i="37"/>
  <c r="S126" i="37"/>
  <c r="M126" i="37"/>
  <c r="S125" i="37"/>
  <c r="M125" i="37"/>
  <c r="S124" i="37"/>
  <c r="M124" i="37"/>
  <c r="S123" i="37"/>
  <c r="M123" i="37"/>
  <c r="S122" i="37"/>
  <c r="T121" i="37"/>
  <c r="S121" i="37"/>
  <c r="N121" i="37"/>
  <c r="M121" i="37"/>
  <c r="S120" i="37"/>
  <c r="M120" i="37"/>
  <c r="T119" i="37"/>
  <c r="S119" i="37"/>
  <c r="N119" i="37"/>
  <c r="M119" i="37"/>
  <c r="S118" i="37"/>
  <c r="M118" i="37"/>
  <c r="S117" i="37"/>
  <c r="M117" i="37"/>
  <c r="S116" i="37"/>
  <c r="M116" i="37"/>
  <c r="T115" i="37"/>
  <c r="S115" i="37"/>
  <c r="N115" i="37"/>
  <c r="M115" i="37"/>
  <c r="S114" i="37"/>
  <c r="M114" i="37"/>
  <c r="T113" i="37"/>
  <c r="S113" i="37"/>
  <c r="N113" i="37"/>
  <c r="M113" i="37"/>
  <c r="S112" i="37"/>
  <c r="M112" i="37"/>
  <c r="S111" i="37"/>
  <c r="N111" i="37"/>
  <c r="M111" i="37" s="1"/>
  <c r="S110" i="37"/>
  <c r="M110" i="37"/>
  <c r="T109" i="37"/>
  <c r="S109" i="37"/>
  <c r="N109" i="37"/>
  <c r="M109" i="37"/>
  <c r="S108" i="37"/>
  <c r="M108" i="37"/>
  <c r="S107" i="37"/>
  <c r="N107" i="37"/>
  <c r="M107" i="37" s="1"/>
  <c r="S106" i="37"/>
  <c r="M106" i="37"/>
  <c r="S104" i="37"/>
  <c r="M104" i="37"/>
  <c r="S103" i="37"/>
  <c r="M103" i="37"/>
  <c r="S102" i="37"/>
  <c r="M102" i="37"/>
  <c r="T101" i="37"/>
  <c r="S101" i="37" s="1"/>
  <c r="N101" i="37"/>
  <c r="M101" i="37" s="1"/>
  <c r="S100" i="37"/>
  <c r="M100" i="37"/>
  <c r="T99" i="37"/>
  <c r="S99" i="37" s="1"/>
  <c r="S98" i="37"/>
  <c r="M98" i="37"/>
  <c r="S96" i="37"/>
  <c r="M96" i="37"/>
  <c r="S95" i="37"/>
  <c r="M95" i="37"/>
  <c r="S94" i="37"/>
  <c r="M94" i="37"/>
  <c r="S93" i="37"/>
  <c r="M93" i="37"/>
  <c r="S92" i="37"/>
  <c r="M92" i="37"/>
  <c r="S91" i="37"/>
  <c r="M91" i="37"/>
  <c r="S90" i="37"/>
  <c r="M90" i="37"/>
  <c r="S89" i="37"/>
  <c r="M89" i="37"/>
  <c r="S88" i="37"/>
  <c r="M88" i="37"/>
  <c r="S87" i="37"/>
  <c r="M87" i="37"/>
  <c r="S86" i="37"/>
  <c r="M86" i="37"/>
  <c r="S85" i="37"/>
  <c r="N85" i="37"/>
  <c r="M85" i="37"/>
  <c r="S84" i="37"/>
  <c r="M84" i="37"/>
  <c r="S83" i="37"/>
  <c r="M83" i="37"/>
  <c r="S82" i="37"/>
  <c r="M82" i="37"/>
  <c r="S81" i="37"/>
  <c r="M81" i="37"/>
  <c r="S80" i="37"/>
  <c r="M80" i="37"/>
  <c r="S78" i="37"/>
  <c r="M78" i="37"/>
  <c r="S77" i="37"/>
  <c r="M77" i="37"/>
  <c r="S76" i="37"/>
  <c r="M76" i="37"/>
  <c r="S75" i="37"/>
  <c r="M75" i="37"/>
  <c r="S74" i="37"/>
  <c r="M74" i="37"/>
  <c r="S73" i="37"/>
  <c r="N73" i="37"/>
  <c r="M73" i="37" s="1"/>
  <c r="S72" i="37"/>
  <c r="M72" i="37"/>
  <c r="S71" i="37"/>
  <c r="M71" i="37"/>
  <c r="S70" i="37"/>
  <c r="M70" i="37"/>
  <c r="S69" i="37"/>
  <c r="N69" i="37"/>
  <c r="M69" i="37"/>
  <c r="S68" i="37"/>
  <c r="M68" i="37"/>
  <c r="S67" i="37"/>
  <c r="N67" i="37"/>
  <c r="M67" i="37" s="1"/>
  <c r="S66" i="37"/>
  <c r="M66" i="37"/>
  <c r="S65" i="37"/>
  <c r="M65" i="37"/>
  <c r="S64" i="37"/>
  <c r="M64" i="37"/>
  <c r="S63" i="37"/>
  <c r="M63" i="37"/>
  <c r="S62" i="37"/>
  <c r="M62" i="37"/>
  <c r="T61" i="37"/>
  <c r="S61" i="37" s="1"/>
  <c r="N61" i="37"/>
  <c r="M61" i="37" s="1"/>
  <c r="S60" i="37"/>
  <c r="M60" i="37"/>
  <c r="S59" i="37"/>
  <c r="M59" i="37"/>
  <c r="S58" i="37"/>
  <c r="M58" i="37"/>
  <c r="T57" i="37"/>
  <c r="S57" i="37" s="1"/>
  <c r="N57" i="37"/>
  <c r="M57" i="37" s="1"/>
  <c r="S56" i="37"/>
  <c r="M56" i="37"/>
  <c r="S55" i="37"/>
  <c r="N55" i="37"/>
  <c r="M55" i="37"/>
  <c r="S54" i="37"/>
  <c r="M54" i="37"/>
  <c r="S53" i="37"/>
  <c r="M53" i="37"/>
  <c r="S52" i="37"/>
  <c r="M52" i="37"/>
  <c r="S51" i="37"/>
  <c r="M51" i="37"/>
  <c r="S50" i="37"/>
  <c r="M50" i="37"/>
  <c r="S49" i="37"/>
  <c r="M49" i="37"/>
  <c r="S48" i="37"/>
  <c r="N48" i="37"/>
  <c r="M48" i="37" s="1"/>
  <c r="S47" i="37"/>
  <c r="M47" i="37"/>
  <c r="S46" i="37"/>
  <c r="M46" i="37"/>
  <c r="S45" i="37"/>
  <c r="M45" i="37"/>
  <c r="S44" i="37"/>
  <c r="M44" i="37"/>
  <c r="S43" i="37"/>
  <c r="M43" i="37"/>
  <c r="S42" i="37"/>
  <c r="M42" i="37"/>
  <c r="S41" i="37"/>
  <c r="M41" i="37"/>
  <c r="S40" i="37"/>
  <c r="M40" i="37"/>
  <c r="S39" i="37"/>
  <c r="M39" i="37"/>
  <c r="T38" i="37"/>
  <c r="S38" i="37" s="1"/>
  <c r="N38" i="37"/>
  <c r="M38" i="37" s="1"/>
  <c r="S37" i="37"/>
  <c r="M37" i="37"/>
  <c r="S36" i="37"/>
  <c r="M36" i="37"/>
  <c r="S35" i="37"/>
  <c r="M35" i="37"/>
  <c r="S33" i="37"/>
  <c r="M33" i="37"/>
  <c r="S32" i="37"/>
  <c r="M32" i="37"/>
  <c r="S31" i="37"/>
  <c r="M31" i="37"/>
  <c r="T30" i="37"/>
  <c r="S30" i="37" s="1"/>
  <c r="N30" i="37"/>
  <c r="M30" i="37" s="1"/>
  <c r="S29" i="37"/>
  <c r="M29" i="37"/>
  <c r="T28" i="37"/>
  <c r="S28" i="37" s="1"/>
  <c r="N28" i="37"/>
  <c r="M28" i="37" s="1"/>
  <c r="S27" i="37"/>
  <c r="M27" i="37"/>
  <c r="T26" i="37"/>
  <c r="S26" i="37" s="1"/>
  <c r="M26" i="37"/>
  <c r="S25" i="37"/>
  <c r="M25" i="37"/>
  <c r="S24" i="37"/>
  <c r="M24" i="37"/>
  <c r="S23" i="37"/>
  <c r="M23" i="37"/>
  <c r="T22" i="37"/>
  <c r="S22" i="37"/>
  <c r="M22" i="37"/>
  <c r="S21" i="37"/>
  <c r="M21" i="37"/>
  <c r="S20" i="37"/>
  <c r="M20" i="37"/>
  <c r="S19" i="37"/>
  <c r="M19" i="37"/>
  <c r="T18" i="37"/>
  <c r="S18" i="37" s="1"/>
  <c r="N18" i="37"/>
  <c r="S17" i="37"/>
  <c r="M17" i="37"/>
  <c r="T16" i="37"/>
  <c r="S16" i="37" s="1"/>
  <c r="M16" i="37"/>
  <c r="S15" i="37"/>
  <c r="M15" i="37"/>
  <c r="L299" i="37" s="1"/>
  <c r="T14" i="37"/>
  <c r="S14" i="37"/>
  <c r="M14" i="37"/>
  <c r="S13" i="37"/>
  <c r="M13" i="37"/>
  <c r="S12" i="37"/>
  <c r="M12" i="37"/>
  <c r="S11" i="37"/>
  <c r="M11" i="37"/>
  <c r="S10" i="37"/>
  <c r="R301" i="37" s="1"/>
  <c r="M10" i="37"/>
  <c r="S9" i="37"/>
  <c r="S293" i="37" s="1"/>
  <c r="M9" i="37"/>
  <c r="T303" i="36"/>
  <c r="T304" i="36" s="1"/>
  <c r="S303" i="36"/>
  <c r="Q303" i="36"/>
  <c r="Q304" i="36" s="1"/>
  <c r="P303" i="36"/>
  <c r="P304" i="36" s="1"/>
  <c r="O303" i="36"/>
  <c r="O304" i="36" s="1"/>
  <c r="N303" i="36"/>
  <c r="N304" i="36" s="1"/>
  <c r="M303" i="36"/>
  <c r="K303" i="36"/>
  <c r="K304" i="36" s="1"/>
  <c r="J303" i="36"/>
  <c r="J304" i="36" s="1"/>
  <c r="I303" i="36"/>
  <c r="I304" i="36" s="1"/>
  <c r="H303" i="36"/>
  <c r="H304" i="36" s="1"/>
  <c r="G303" i="36"/>
  <c r="G304" i="36" s="1"/>
  <c r="T302" i="36"/>
  <c r="Q302" i="36"/>
  <c r="P302" i="36"/>
  <c r="O302" i="36"/>
  <c r="N302" i="36"/>
  <c r="K302" i="36"/>
  <c r="J302" i="36"/>
  <c r="I302" i="36"/>
  <c r="H302" i="36"/>
  <c r="G302" i="36"/>
  <c r="T301" i="36"/>
  <c r="S301" i="36"/>
  <c r="U301" i="36" s="1"/>
  <c r="Q301" i="36"/>
  <c r="P301" i="36"/>
  <c r="O301" i="36"/>
  <c r="N301" i="36"/>
  <c r="M301" i="36"/>
  <c r="K301" i="36"/>
  <c r="J301" i="36"/>
  <c r="V301" i="36" s="1"/>
  <c r="I301" i="36"/>
  <c r="H301" i="36"/>
  <c r="G301" i="36"/>
  <c r="U295" i="36"/>
  <c r="R295" i="36"/>
  <c r="Q295" i="36"/>
  <c r="P295" i="36"/>
  <c r="O295" i="36"/>
  <c r="L295" i="36"/>
  <c r="K295" i="36"/>
  <c r="J295" i="36"/>
  <c r="I295" i="36"/>
  <c r="H295" i="36"/>
  <c r="M294" i="36"/>
  <c r="S293" i="36"/>
  <c r="M293" i="36"/>
  <c r="S292" i="36"/>
  <c r="M292" i="36"/>
  <c r="S291" i="36"/>
  <c r="M291" i="36"/>
  <c r="T290" i="36"/>
  <c r="S290" i="36"/>
  <c r="N290" i="36"/>
  <c r="M290" i="36"/>
  <c r="S289" i="36"/>
  <c r="M289" i="36"/>
  <c r="M288" i="36"/>
  <c r="S287" i="36"/>
  <c r="M287" i="36"/>
  <c r="S286" i="36"/>
  <c r="M286" i="36"/>
  <c r="S285" i="36"/>
  <c r="M285" i="36"/>
  <c r="S284" i="36"/>
  <c r="N284" i="36"/>
  <c r="M284" i="36"/>
  <c r="S283" i="36"/>
  <c r="M283" i="36"/>
  <c r="S282" i="36"/>
  <c r="M282" i="36"/>
  <c r="S281" i="36"/>
  <c r="M281" i="36"/>
  <c r="S280" i="36"/>
  <c r="N280" i="36"/>
  <c r="M280" i="36" s="1"/>
  <c r="S279" i="36"/>
  <c r="M279" i="36"/>
  <c r="T278" i="36"/>
  <c r="S278" i="36" s="1"/>
  <c r="N278" i="36"/>
  <c r="M278" i="36" s="1"/>
  <c r="S277" i="36"/>
  <c r="M277" i="36"/>
  <c r="T276" i="36"/>
  <c r="S276" i="36" s="1"/>
  <c r="M276" i="36"/>
  <c r="S275" i="36"/>
  <c r="M275" i="36"/>
  <c r="T274" i="36"/>
  <c r="S274" i="36"/>
  <c r="N274" i="36"/>
  <c r="M274" i="36"/>
  <c r="S273" i="36"/>
  <c r="M273" i="36"/>
  <c r="T272" i="36"/>
  <c r="S272" i="36"/>
  <c r="M272" i="36"/>
  <c r="S271" i="36"/>
  <c r="M271" i="36"/>
  <c r="S270" i="36"/>
  <c r="N270" i="36"/>
  <c r="M270" i="36"/>
  <c r="S269" i="36"/>
  <c r="M269" i="36"/>
  <c r="T268" i="36"/>
  <c r="S268" i="36"/>
  <c r="M268" i="36"/>
  <c r="S267" i="36"/>
  <c r="M267" i="36"/>
  <c r="S266" i="36"/>
  <c r="N266" i="36"/>
  <c r="M266" i="36"/>
  <c r="S265" i="36"/>
  <c r="M265" i="36"/>
  <c r="S264" i="36"/>
  <c r="M264" i="36"/>
  <c r="S263" i="36"/>
  <c r="M263" i="36"/>
  <c r="S262" i="36"/>
  <c r="M262" i="36"/>
  <c r="S261" i="36"/>
  <c r="M261" i="36"/>
  <c r="S259" i="36"/>
  <c r="M259" i="36"/>
  <c r="S258" i="36"/>
  <c r="M258" i="36"/>
  <c r="S257" i="36"/>
  <c r="M257" i="36"/>
  <c r="T256" i="36"/>
  <c r="S256" i="36"/>
  <c r="M256" i="36"/>
  <c r="S255" i="36"/>
  <c r="M255" i="36"/>
  <c r="T254" i="36"/>
  <c r="S254" i="36" s="1"/>
  <c r="N254" i="36"/>
  <c r="M254" i="36" s="1"/>
  <c r="S253" i="36"/>
  <c r="M253" i="36"/>
  <c r="S252" i="36"/>
  <c r="M252" i="36"/>
  <c r="S251" i="36"/>
  <c r="M251" i="36"/>
  <c r="T250" i="36"/>
  <c r="S250" i="36" s="1"/>
  <c r="N250" i="36"/>
  <c r="M250" i="36" s="1"/>
  <c r="S249" i="36"/>
  <c r="M249" i="36"/>
  <c r="S248" i="36"/>
  <c r="M248" i="36"/>
  <c r="S247" i="36"/>
  <c r="M247" i="36"/>
  <c r="T246" i="36"/>
  <c r="S246" i="36" s="1"/>
  <c r="M246" i="36"/>
  <c r="S245" i="36"/>
  <c r="M245" i="36"/>
  <c r="T244" i="36"/>
  <c r="S244" i="36"/>
  <c r="M244" i="36"/>
  <c r="S243" i="36"/>
  <c r="M243" i="36"/>
  <c r="S242" i="36"/>
  <c r="N242" i="36"/>
  <c r="M242" i="36"/>
  <c r="S241" i="36"/>
  <c r="M241" i="36"/>
  <c r="S240" i="36"/>
  <c r="M240" i="36"/>
  <c r="S239" i="36"/>
  <c r="M239" i="36"/>
  <c r="S238" i="36"/>
  <c r="M238" i="36"/>
  <c r="S237" i="36"/>
  <c r="M237" i="36"/>
  <c r="S236" i="36"/>
  <c r="M236" i="36"/>
  <c r="S235" i="36"/>
  <c r="M235" i="36"/>
  <c r="S234" i="36"/>
  <c r="M234" i="36"/>
  <c r="S233" i="36"/>
  <c r="M233" i="36"/>
  <c r="S231" i="36"/>
  <c r="M231" i="36"/>
  <c r="S229" i="36"/>
  <c r="M229" i="36"/>
  <c r="S228" i="36"/>
  <c r="M228" i="36"/>
  <c r="S227" i="36"/>
  <c r="M227" i="36"/>
  <c r="S226" i="36"/>
  <c r="M226" i="36"/>
  <c r="S225" i="36"/>
  <c r="M225" i="36"/>
  <c r="T224" i="36"/>
  <c r="S224" i="36"/>
  <c r="N224" i="36"/>
  <c r="M224" i="36"/>
  <c r="S223" i="36"/>
  <c r="M223" i="36"/>
  <c r="S222" i="36"/>
  <c r="M222" i="36"/>
  <c r="S221" i="36"/>
  <c r="M221" i="36"/>
  <c r="T220" i="36"/>
  <c r="S220" i="36"/>
  <c r="M220" i="36"/>
  <c r="S219" i="36"/>
  <c r="M219" i="36"/>
  <c r="T218" i="36"/>
  <c r="S218" i="36" s="1"/>
  <c r="N218" i="36"/>
  <c r="M218" i="36" s="1"/>
  <c r="S217" i="36"/>
  <c r="M217" i="36"/>
  <c r="S216" i="36"/>
  <c r="M216" i="36"/>
  <c r="S215" i="36"/>
  <c r="M215" i="36"/>
  <c r="S214" i="36"/>
  <c r="M214" i="36"/>
  <c r="S213" i="36"/>
  <c r="M213" i="36"/>
  <c r="M212" i="36"/>
  <c r="S211" i="36"/>
  <c r="M211" i="36"/>
  <c r="T210" i="36"/>
  <c r="S210" i="36"/>
  <c r="M210" i="36"/>
  <c r="S209" i="36"/>
  <c r="M209" i="36"/>
  <c r="S208" i="36"/>
  <c r="M208" i="36"/>
  <c r="S207" i="36"/>
  <c r="M207" i="36"/>
  <c r="S206" i="36"/>
  <c r="M206" i="36"/>
  <c r="S205" i="36"/>
  <c r="M205" i="36"/>
  <c r="S204" i="36"/>
  <c r="M204" i="36"/>
  <c r="T203" i="36"/>
  <c r="S203" i="36" s="1"/>
  <c r="N203" i="36"/>
  <c r="M203" i="36" s="1"/>
  <c r="S202" i="36"/>
  <c r="M202" i="36"/>
  <c r="S201" i="36"/>
  <c r="N201" i="36"/>
  <c r="M201" i="36"/>
  <c r="S200" i="36"/>
  <c r="M200" i="36"/>
  <c r="S199" i="36"/>
  <c r="M199" i="36"/>
  <c r="S198" i="36"/>
  <c r="M198" i="36"/>
  <c r="S197" i="36"/>
  <c r="M197" i="36"/>
  <c r="S196" i="36"/>
  <c r="M196" i="36"/>
  <c r="S195" i="36"/>
  <c r="M195" i="36"/>
  <c r="S194" i="36"/>
  <c r="M194" i="36"/>
  <c r="T193" i="36"/>
  <c r="S193" i="36"/>
  <c r="N193" i="36"/>
  <c r="M193" i="36"/>
  <c r="S192" i="36"/>
  <c r="M192" i="36"/>
  <c r="M191" i="36"/>
  <c r="S190" i="36"/>
  <c r="M190" i="36"/>
  <c r="S189" i="36"/>
  <c r="N189" i="36"/>
  <c r="M189" i="36"/>
  <c r="S188" i="36"/>
  <c r="M188" i="36"/>
  <c r="T187" i="36"/>
  <c r="S187" i="36"/>
  <c r="N187" i="36"/>
  <c r="M187" i="36"/>
  <c r="S186" i="36"/>
  <c r="M186" i="36"/>
  <c r="T185" i="36"/>
  <c r="S185" i="36"/>
  <c r="M185" i="36"/>
  <c r="S184" i="36"/>
  <c r="M184" i="36"/>
  <c r="T183" i="36"/>
  <c r="S183" i="36" s="1"/>
  <c r="N183" i="36"/>
  <c r="M183" i="36" s="1"/>
  <c r="S182" i="36"/>
  <c r="M182" i="36"/>
  <c r="S181" i="36"/>
  <c r="M181" i="36"/>
  <c r="S180" i="36"/>
  <c r="M180" i="36"/>
  <c r="S179" i="36"/>
  <c r="M179" i="36"/>
  <c r="S178" i="36"/>
  <c r="M178" i="36"/>
  <c r="S177" i="36"/>
  <c r="M177" i="36"/>
  <c r="S176" i="36"/>
  <c r="M176" i="36"/>
  <c r="S175" i="36"/>
  <c r="M175" i="36"/>
  <c r="S174" i="36"/>
  <c r="M174" i="36"/>
  <c r="T173" i="36"/>
  <c r="S173" i="36" s="1"/>
  <c r="N173" i="36"/>
  <c r="M173" i="36" s="1"/>
  <c r="S172" i="36"/>
  <c r="M172" i="36"/>
  <c r="T171" i="36"/>
  <c r="S171" i="36" s="1"/>
  <c r="N171" i="36"/>
  <c r="M171" i="36" s="1"/>
  <c r="S170" i="36"/>
  <c r="M170" i="36"/>
  <c r="T169" i="36"/>
  <c r="S169" i="36" s="1"/>
  <c r="N169" i="36"/>
  <c r="M169" i="36" s="1"/>
  <c r="S168" i="36"/>
  <c r="M168" i="36"/>
  <c r="T167" i="36"/>
  <c r="S167" i="36" s="1"/>
  <c r="N167" i="36"/>
  <c r="M167" i="36" s="1"/>
  <c r="S166" i="36"/>
  <c r="M166" i="36"/>
  <c r="S165" i="36"/>
  <c r="M165" i="36"/>
  <c r="T164" i="36"/>
  <c r="S164" i="36" s="1"/>
  <c r="N164" i="36"/>
  <c r="M164" i="36" s="1"/>
  <c r="S163" i="36"/>
  <c r="M163" i="36"/>
  <c r="S162" i="36"/>
  <c r="M162" i="36"/>
  <c r="S161" i="36"/>
  <c r="M161" i="36"/>
  <c r="S160" i="36"/>
  <c r="M160" i="36"/>
  <c r="T159" i="36"/>
  <c r="S159" i="36" s="1"/>
  <c r="N159" i="36"/>
  <c r="M159" i="36" s="1"/>
  <c r="S158" i="36"/>
  <c r="M158" i="36"/>
  <c r="S156" i="36"/>
  <c r="M156" i="36"/>
  <c r="S155" i="36"/>
  <c r="M155" i="36"/>
  <c r="S154" i="36"/>
  <c r="M154" i="36"/>
  <c r="T153" i="36"/>
  <c r="S153" i="36" s="1"/>
  <c r="N153" i="36"/>
  <c r="M153" i="36" s="1"/>
  <c r="S152" i="36"/>
  <c r="M152" i="36"/>
  <c r="T151" i="36"/>
  <c r="S151" i="36" s="1"/>
  <c r="N151" i="36"/>
  <c r="M151" i="36" s="1"/>
  <c r="S150" i="36"/>
  <c r="M150" i="36"/>
  <c r="T149" i="36"/>
  <c r="S149" i="36" s="1"/>
  <c r="M149" i="36"/>
  <c r="S148" i="36"/>
  <c r="M148" i="36"/>
  <c r="S147" i="36"/>
  <c r="M147" i="36"/>
  <c r="S146" i="36"/>
  <c r="M146" i="36"/>
  <c r="S145" i="36"/>
  <c r="M145" i="36"/>
  <c r="S144" i="36"/>
  <c r="M144" i="36"/>
  <c r="S143" i="36"/>
  <c r="M143" i="36"/>
  <c r="S142" i="36"/>
  <c r="M142" i="36"/>
  <c r="S141" i="36"/>
  <c r="M141" i="36"/>
  <c r="S139" i="36"/>
  <c r="M139" i="36"/>
  <c r="S138" i="36"/>
  <c r="M138" i="36"/>
  <c r="S137" i="36"/>
  <c r="M137" i="36"/>
  <c r="S136" i="36"/>
  <c r="M136" i="36"/>
  <c r="S135" i="36"/>
  <c r="M135" i="36"/>
  <c r="T134" i="36"/>
  <c r="S134" i="36"/>
  <c r="M134" i="36"/>
  <c r="S133" i="36"/>
  <c r="M133" i="36"/>
  <c r="S132" i="36"/>
  <c r="M132" i="36"/>
  <c r="S131" i="36"/>
  <c r="M131" i="36"/>
  <c r="T130" i="36"/>
  <c r="S130" i="36" s="1"/>
  <c r="N130" i="36"/>
  <c r="M130" i="36" s="1"/>
  <c r="S129" i="36"/>
  <c r="M129" i="36"/>
  <c r="S128" i="36"/>
  <c r="M128" i="36"/>
  <c r="S127" i="36"/>
  <c r="M127" i="36"/>
  <c r="S126" i="36"/>
  <c r="M126" i="36"/>
  <c r="S125" i="36"/>
  <c r="M125" i="36"/>
  <c r="S124" i="36"/>
  <c r="T123" i="36"/>
  <c r="S123" i="36"/>
  <c r="N123" i="36"/>
  <c r="M123" i="36"/>
  <c r="S122" i="36"/>
  <c r="M122" i="36"/>
  <c r="T121" i="36"/>
  <c r="S121" i="36"/>
  <c r="N121" i="36"/>
  <c r="M121" i="36"/>
  <c r="S120" i="36"/>
  <c r="M120" i="36"/>
  <c r="S119" i="36"/>
  <c r="M119" i="36"/>
  <c r="S118" i="36"/>
  <c r="M118" i="36"/>
  <c r="T117" i="36"/>
  <c r="S117" i="36"/>
  <c r="N117" i="36"/>
  <c r="M117" i="36"/>
  <c r="S116" i="36"/>
  <c r="M116" i="36"/>
  <c r="T115" i="36"/>
  <c r="S115" i="36"/>
  <c r="N115" i="36"/>
  <c r="M115" i="36"/>
  <c r="S114" i="36"/>
  <c r="M114" i="36"/>
  <c r="S113" i="36"/>
  <c r="N113" i="36"/>
  <c r="M113" i="36" s="1"/>
  <c r="S112" i="36"/>
  <c r="M112" i="36"/>
  <c r="T111" i="36"/>
  <c r="S111" i="36" s="1"/>
  <c r="N111" i="36"/>
  <c r="M111" i="36" s="1"/>
  <c r="S110" i="36"/>
  <c r="M110" i="36"/>
  <c r="S109" i="36"/>
  <c r="N109" i="36"/>
  <c r="M109" i="36"/>
  <c r="S108" i="36"/>
  <c r="M108" i="36"/>
  <c r="S106" i="36"/>
  <c r="M106" i="36"/>
  <c r="S105" i="36"/>
  <c r="M105" i="36"/>
  <c r="S104" i="36"/>
  <c r="M104" i="36"/>
  <c r="T103" i="36"/>
  <c r="S103" i="36"/>
  <c r="N103" i="36"/>
  <c r="M103" i="36"/>
  <c r="S102" i="36"/>
  <c r="M102" i="36"/>
  <c r="T101" i="36"/>
  <c r="S101" i="36"/>
  <c r="S100" i="36"/>
  <c r="M100" i="36"/>
  <c r="S98" i="36"/>
  <c r="M98" i="36"/>
  <c r="S97" i="36"/>
  <c r="M97" i="36"/>
  <c r="S96" i="36"/>
  <c r="M96" i="36"/>
  <c r="S95" i="36"/>
  <c r="M95" i="36"/>
  <c r="S94" i="36"/>
  <c r="M94" i="36"/>
  <c r="S93" i="36"/>
  <c r="M93" i="36"/>
  <c r="S92" i="36"/>
  <c r="M92" i="36"/>
  <c r="S91" i="36"/>
  <c r="M91" i="36"/>
  <c r="S90" i="36"/>
  <c r="M90" i="36"/>
  <c r="S89" i="36"/>
  <c r="M89" i="36"/>
  <c r="S88" i="36"/>
  <c r="M88" i="36"/>
  <c r="S87" i="36"/>
  <c r="N87" i="36"/>
  <c r="M87" i="36" s="1"/>
  <c r="S86" i="36"/>
  <c r="M86" i="36"/>
  <c r="S85" i="36"/>
  <c r="M85" i="36"/>
  <c r="S84" i="36"/>
  <c r="M84" i="36"/>
  <c r="S83" i="36"/>
  <c r="M83" i="36"/>
  <c r="S82" i="36"/>
  <c r="M82" i="36"/>
  <c r="S80" i="36"/>
  <c r="M80" i="36"/>
  <c r="S79" i="36"/>
  <c r="M79" i="36"/>
  <c r="S78" i="36"/>
  <c r="M78" i="36"/>
  <c r="S77" i="36"/>
  <c r="M77" i="36"/>
  <c r="S76" i="36"/>
  <c r="M76" i="36"/>
  <c r="S75" i="36"/>
  <c r="N75" i="36"/>
  <c r="M75" i="36"/>
  <c r="S74" i="36"/>
  <c r="M74" i="36"/>
  <c r="S73" i="36"/>
  <c r="M73" i="36"/>
  <c r="S72" i="36"/>
  <c r="M72" i="36"/>
  <c r="S71" i="36"/>
  <c r="N71" i="36"/>
  <c r="M71" i="36" s="1"/>
  <c r="S70" i="36"/>
  <c r="M70" i="36"/>
  <c r="S69" i="36"/>
  <c r="N69" i="36"/>
  <c r="M69" i="36"/>
  <c r="S68" i="36"/>
  <c r="M68" i="36"/>
  <c r="S67" i="36"/>
  <c r="M67" i="36"/>
  <c r="S66" i="36"/>
  <c r="M66" i="36"/>
  <c r="S65" i="36"/>
  <c r="M65" i="36"/>
  <c r="S64" i="36"/>
  <c r="M64" i="36"/>
  <c r="T63" i="36"/>
  <c r="S63" i="36"/>
  <c r="N63" i="36"/>
  <c r="M63" i="36"/>
  <c r="S62" i="36"/>
  <c r="M62" i="36"/>
  <c r="S61" i="36"/>
  <c r="M61" i="36"/>
  <c r="S60" i="36"/>
  <c r="M60" i="36"/>
  <c r="T59" i="36"/>
  <c r="S59" i="36"/>
  <c r="N59" i="36"/>
  <c r="M59" i="36"/>
  <c r="S58" i="36"/>
  <c r="M58" i="36"/>
  <c r="S57" i="36"/>
  <c r="N57" i="36"/>
  <c r="M57" i="36" s="1"/>
  <c r="S56" i="36"/>
  <c r="M56" i="36"/>
  <c r="S55" i="36"/>
  <c r="M55" i="36"/>
  <c r="S54" i="36"/>
  <c r="M54" i="36"/>
  <c r="S53" i="36"/>
  <c r="M53" i="36"/>
  <c r="S52" i="36"/>
  <c r="M52" i="36"/>
  <c r="S51" i="36"/>
  <c r="M51" i="36"/>
  <c r="S50" i="36"/>
  <c r="M50" i="36"/>
  <c r="S49" i="36"/>
  <c r="M49" i="36"/>
  <c r="S48" i="36"/>
  <c r="N48" i="36"/>
  <c r="M48" i="36"/>
  <c r="S47" i="36"/>
  <c r="M47" i="36"/>
  <c r="S46" i="36"/>
  <c r="M46" i="36"/>
  <c r="S45" i="36"/>
  <c r="M45" i="36"/>
  <c r="S44" i="36"/>
  <c r="M44" i="36"/>
  <c r="S43" i="36"/>
  <c r="M43" i="36"/>
  <c r="S42" i="36"/>
  <c r="M42" i="36"/>
  <c r="S41" i="36"/>
  <c r="M41" i="36"/>
  <c r="S40" i="36"/>
  <c r="M40" i="36"/>
  <c r="S39" i="36"/>
  <c r="M39" i="36"/>
  <c r="T38" i="36"/>
  <c r="S38" i="36"/>
  <c r="N38" i="36"/>
  <c r="M38" i="36"/>
  <c r="S37" i="36"/>
  <c r="M37" i="36"/>
  <c r="S36" i="36"/>
  <c r="M36" i="36"/>
  <c r="S35" i="36"/>
  <c r="M35" i="36"/>
  <c r="S33" i="36"/>
  <c r="M33" i="36"/>
  <c r="S32" i="36"/>
  <c r="M32" i="36"/>
  <c r="S31" i="36"/>
  <c r="M31" i="36"/>
  <c r="T30" i="36"/>
  <c r="S30" i="36"/>
  <c r="N30" i="36"/>
  <c r="M30" i="36"/>
  <c r="S29" i="36"/>
  <c r="M29" i="36"/>
  <c r="T28" i="36"/>
  <c r="S28" i="36"/>
  <c r="N28" i="36"/>
  <c r="M28" i="36"/>
  <c r="S27" i="36"/>
  <c r="M27" i="36"/>
  <c r="T26" i="36"/>
  <c r="S26" i="36"/>
  <c r="M26" i="36"/>
  <c r="S25" i="36"/>
  <c r="M25" i="36"/>
  <c r="S24" i="36"/>
  <c r="M24" i="36"/>
  <c r="S23" i="36"/>
  <c r="M23" i="36"/>
  <c r="T22" i="36"/>
  <c r="S22" i="36" s="1"/>
  <c r="M22" i="36"/>
  <c r="S21" i="36"/>
  <c r="M21" i="36"/>
  <c r="S20" i="36"/>
  <c r="M20" i="36"/>
  <c r="S19" i="36"/>
  <c r="M19" i="36"/>
  <c r="T18" i="36"/>
  <c r="S18" i="36"/>
  <c r="N18" i="36"/>
  <c r="M302" i="36" s="1"/>
  <c r="M18" i="36"/>
  <c r="S17" i="36"/>
  <c r="M17" i="36"/>
  <c r="T16" i="36"/>
  <c r="S16" i="36"/>
  <c r="M16" i="36"/>
  <c r="S15" i="36"/>
  <c r="R301" i="36" s="1"/>
  <c r="M15" i="36"/>
  <c r="T14" i="36"/>
  <c r="S302" i="36" s="1"/>
  <c r="M14" i="36"/>
  <c r="S13" i="36"/>
  <c r="M13" i="36"/>
  <c r="S12" i="36"/>
  <c r="M12" i="36"/>
  <c r="L302" i="36" s="1"/>
  <c r="S11" i="36"/>
  <c r="M11" i="36"/>
  <c r="S10" i="36"/>
  <c r="R303" i="36" s="1"/>
  <c r="M10" i="36"/>
  <c r="L303" i="36" s="1"/>
  <c r="S9" i="36"/>
  <c r="M9" i="36"/>
  <c r="L301" i="36" s="1"/>
  <c r="T301" i="35"/>
  <c r="T302" i="35" s="1"/>
  <c r="S301" i="35"/>
  <c r="Q301" i="35"/>
  <c r="Q302" i="35" s="1"/>
  <c r="P301" i="35"/>
  <c r="P302" i="35" s="1"/>
  <c r="O301" i="35"/>
  <c r="O302" i="35" s="1"/>
  <c r="N301" i="35"/>
  <c r="N302" i="35" s="1"/>
  <c r="M301" i="35"/>
  <c r="K301" i="35"/>
  <c r="K302" i="35" s="1"/>
  <c r="J301" i="35"/>
  <c r="J302" i="35" s="1"/>
  <c r="I301" i="35"/>
  <c r="I302" i="35" s="1"/>
  <c r="H301" i="35"/>
  <c r="H302" i="35" s="1"/>
  <c r="G301" i="35"/>
  <c r="G302" i="35" s="1"/>
  <c r="T300" i="35"/>
  <c r="Q300" i="35"/>
  <c r="P300" i="35"/>
  <c r="O300" i="35"/>
  <c r="N300" i="35"/>
  <c r="K300" i="35"/>
  <c r="J300" i="35"/>
  <c r="I300" i="35"/>
  <c r="H300" i="35"/>
  <c r="G300" i="35"/>
  <c r="T299" i="35"/>
  <c r="S299" i="35"/>
  <c r="U299" i="35" s="1"/>
  <c r="Q299" i="35"/>
  <c r="P299" i="35"/>
  <c r="O299" i="35"/>
  <c r="N299" i="35"/>
  <c r="M299" i="35"/>
  <c r="K299" i="35"/>
  <c r="J299" i="35"/>
  <c r="V299" i="35" s="1"/>
  <c r="I299" i="35"/>
  <c r="H299" i="35"/>
  <c r="G299" i="35"/>
  <c r="U293" i="35"/>
  <c r="R293" i="35"/>
  <c r="Q293" i="35"/>
  <c r="P293" i="35"/>
  <c r="O293" i="35"/>
  <c r="L293" i="35"/>
  <c r="K293" i="35"/>
  <c r="J293" i="35"/>
  <c r="I293" i="35"/>
  <c r="H293" i="35"/>
  <c r="M292" i="35"/>
  <c r="S291" i="35"/>
  <c r="M291" i="35"/>
  <c r="S290" i="35"/>
  <c r="M290" i="35"/>
  <c r="S289" i="35"/>
  <c r="M289" i="35"/>
  <c r="T288" i="35"/>
  <c r="S288" i="35" s="1"/>
  <c r="N288" i="35"/>
  <c r="M288" i="35" s="1"/>
  <c r="S287" i="35"/>
  <c r="M287" i="35"/>
  <c r="M286" i="35"/>
  <c r="S285" i="35"/>
  <c r="M285" i="35"/>
  <c r="S284" i="35"/>
  <c r="M284" i="35"/>
  <c r="S283" i="35"/>
  <c r="M283" i="35"/>
  <c r="S282" i="35"/>
  <c r="N282" i="35"/>
  <c r="M282" i="35" s="1"/>
  <c r="S281" i="35"/>
  <c r="M281" i="35"/>
  <c r="S280" i="35"/>
  <c r="M280" i="35"/>
  <c r="S279" i="35"/>
  <c r="M279" i="35"/>
  <c r="S278" i="35"/>
  <c r="N278" i="35"/>
  <c r="M278" i="35"/>
  <c r="S277" i="35"/>
  <c r="M277" i="35"/>
  <c r="T276" i="35"/>
  <c r="S276" i="35"/>
  <c r="N276" i="35"/>
  <c r="M276" i="35"/>
  <c r="S275" i="35"/>
  <c r="M275" i="35"/>
  <c r="T274" i="35"/>
  <c r="S274" i="35"/>
  <c r="M274" i="35"/>
  <c r="S273" i="35"/>
  <c r="M273" i="35"/>
  <c r="T272" i="35"/>
  <c r="S272" i="35" s="1"/>
  <c r="N272" i="35"/>
  <c r="M272" i="35" s="1"/>
  <c r="S271" i="35"/>
  <c r="M271" i="35"/>
  <c r="T270" i="35"/>
  <c r="S270" i="35" s="1"/>
  <c r="M270" i="35"/>
  <c r="S269" i="35"/>
  <c r="M269" i="35"/>
  <c r="S268" i="35"/>
  <c r="N268" i="35"/>
  <c r="M268" i="35" s="1"/>
  <c r="S267" i="35"/>
  <c r="M267" i="35"/>
  <c r="T266" i="35"/>
  <c r="S266" i="35" s="1"/>
  <c r="M266" i="35"/>
  <c r="S265" i="35"/>
  <c r="M265" i="35"/>
  <c r="S264" i="35"/>
  <c r="N264" i="35"/>
  <c r="M264" i="35" s="1"/>
  <c r="S263" i="35"/>
  <c r="M263" i="35"/>
  <c r="S262" i="35"/>
  <c r="M262" i="35"/>
  <c r="S261" i="35"/>
  <c r="M261" i="35"/>
  <c r="S260" i="35"/>
  <c r="M260" i="35"/>
  <c r="S259" i="35"/>
  <c r="M259" i="35"/>
  <c r="S257" i="35"/>
  <c r="M257" i="35"/>
  <c r="S256" i="35"/>
  <c r="M256" i="35"/>
  <c r="S255" i="35"/>
  <c r="M255" i="35"/>
  <c r="T254" i="35"/>
  <c r="S254" i="35" s="1"/>
  <c r="M254" i="35"/>
  <c r="S253" i="35"/>
  <c r="M253" i="35"/>
  <c r="T252" i="35"/>
  <c r="S252" i="35"/>
  <c r="N252" i="35"/>
  <c r="M252" i="35"/>
  <c r="S251" i="35"/>
  <c r="M251" i="35"/>
  <c r="S250" i="35"/>
  <c r="M250" i="35"/>
  <c r="S249" i="35"/>
  <c r="M249" i="35"/>
  <c r="T248" i="35"/>
  <c r="S248" i="35"/>
  <c r="N248" i="35"/>
  <c r="M248" i="35"/>
  <c r="S247" i="35"/>
  <c r="M247" i="35"/>
  <c r="S246" i="35"/>
  <c r="M246" i="35"/>
  <c r="S245" i="35"/>
  <c r="M245" i="35"/>
  <c r="T244" i="35"/>
  <c r="S244" i="35"/>
  <c r="M244" i="35"/>
  <c r="S243" i="35"/>
  <c r="M243" i="35"/>
  <c r="T242" i="35"/>
  <c r="S242" i="35" s="1"/>
  <c r="M242" i="35"/>
  <c r="S241" i="35"/>
  <c r="M241" i="35"/>
  <c r="S240" i="35"/>
  <c r="N240" i="35"/>
  <c r="M240" i="35" s="1"/>
  <c r="S239" i="35"/>
  <c r="M239" i="35"/>
  <c r="S238" i="35"/>
  <c r="M238" i="35"/>
  <c r="S237" i="35"/>
  <c r="M237" i="35"/>
  <c r="S236" i="35"/>
  <c r="M236" i="35"/>
  <c r="S235" i="35"/>
  <c r="M235" i="35"/>
  <c r="S234" i="35"/>
  <c r="M234" i="35"/>
  <c r="S233" i="35"/>
  <c r="M233" i="35"/>
  <c r="S232" i="35"/>
  <c r="M232" i="35"/>
  <c r="S231" i="35"/>
  <c r="M231" i="35"/>
  <c r="S229" i="35"/>
  <c r="M229" i="35"/>
  <c r="S227" i="35"/>
  <c r="M227" i="35"/>
  <c r="S226" i="35"/>
  <c r="M226" i="35"/>
  <c r="S225" i="35"/>
  <c r="M225" i="35"/>
  <c r="S224" i="35"/>
  <c r="M224" i="35"/>
  <c r="S223" i="35"/>
  <c r="M223" i="35"/>
  <c r="T222" i="35"/>
  <c r="S222" i="35" s="1"/>
  <c r="N222" i="35"/>
  <c r="M222" i="35" s="1"/>
  <c r="S221" i="35"/>
  <c r="M221" i="35"/>
  <c r="S220" i="35"/>
  <c r="M220" i="35"/>
  <c r="S219" i="35"/>
  <c r="M219" i="35"/>
  <c r="T218" i="35"/>
  <c r="S218" i="35" s="1"/>
  <c r="M218" i="35"/>
  <c r="S217" i="35"/>
  <c r="M217" i="35"/>
  <c r="T216" i="35"/>
  <c r="S216" i="35"/>
  <c r="N216" i="35"/>
  <c r="M216" i="35"/>
  <c r="S215" i="35"/>
  <c r="M215" i="35"/>
  <c r="S214" i="35"/>
  <c r="M214" i="35"/>
  <c r="S213" i="35"/>
  <c r="M213" i="35"/>
  <c r="S212" i="35"/>
  <c r="M212" i="35"/>
  <c r="S211" i="35"/>
  <c r="M211" i="35"/>
  <c r="M210" i="35"/>
  <c r="S209" i="35"/>
  <c r="M209" i="35"/>
  <c r="T208" i="35"/>
  <c r="S208" i="35" s="1"/>
  <c r="M208" i="35"/>
  <c r="S207" i="35"/>
  <c r="M207" i="35"/>
  <c r="S206" i="35"/>
  <c r="M206" i="35"/>
  <c r="S205" i="35"/>
  <c r="M205" i="35"/>
  <c r="S204" i="35"/>
  <c r="M204" i="35"/>
  <c r="S203" i="35"/>
  <c r="M203" i="35"/>
  <c r="S202" i="35"/>
  <c r="M202" i="35"/>
  <c r="T201" i="35"/>
  <c r="S201" i="35"/>
  <c r="N201" i="35"/>
  <c r="M201" i="35"/>
  <c r="S200" i="35"/>
  <c r="M200" i="35"/>
  <c r="S199" i="35"/>
  <c r="N199" i="35"/>
  <c r="M199" i="35" s="1"/>
  <c r="S198" i="35"/>
  <c r="M198" i="35"/>
  <c r="S197" i="35"/>
  <c r="M197" i="35"/>
  <c r="S196" i="35"/>
  <c r="M196" i="35"/>
  <c r="S195" i="35"/>
  <c r="M195" i="35"/>
  <c r="S194" i="35"/>
  <c r="M194" i="35"/>
  <c r="S193" i="35"/>
  <c r="M193" i="35"/>
  <c r="S192" i="35"/>
  <c r="M192" i="35"/>
  <c r="T191" i="35"/>
  <c r="S191" i="35" s="1"/>
  <c r="N191" i="35"/>
  <c r="M191" i="35" s="1"/>
  <c r="S190" i="35"/>
  <c r="M190" i="35"/>
  <c r="M189" i="35"/>
  <c r="S188" i="35"/>
  <c r="M188" i="35"/>
  <c r="S187" i="35"/>
  <c r="N187" i="35"/>
  <c r="M187" i="35" s="1"/>
  <c r="S186" i="35"/>
  <c r="M186" i="35"/>
  <c r="T185" i="35"/>
  <c r="S185" i="35" s="1"/>
  <c r="N185" i="35"/>
  <c r="M185" i="35" s="1"/>
  <c r="S184" i="35"/>
  <c r="M184" i="35"/>
  <c r="T183" i="35"/>
  <c r="S183" i="35" s="1"/>
  <c r="M183" i="35"/>
  <c r="S182" i="35"/>
  <c r="M182" i="35"/>
  <c r="T181" i="35"/>
  <c r="S181" i="35"/>
  <c r="N181" i="35"/>
  <c r="M181" i="35"/>
  <c r="S180" i="35"/>
  <c r="M180" i="35"/>
  <c r="S179" i="35"/>
  <c r="M179" i="35"/>
  <c r="S178" i="35"/>
  <c r="M178" i="35"/>
  <c r="S177" i="35"/>
  <c r="M177" i="35"/>
  <c r="S176" i="35"/>
  <c r="M176" i="35"/>
  <c r="S175" i="35"/>
  <c r="M175" i="35"/>
  <c r="S174" i="35"/>
  <c r="M174" i="35"/>
  <c r="S173" i="35"/>
  <c r="M173" i="35"/>
  <c r="S172" i="35"/>
  <c r="M172" i="35"/>
  <c r="T171" i="35"/>
  <c r="S171" i="35"/>
  <c r="N171" i="35"/>
  <c r="M171" i="35"/>
  <c r="S170" i="35"/>
  <c r="M170" i="35"/>
  <c r="T169" i="35"/>
  <c r="S169" i="35"/>
  <c r="N169" i="35"/>
  <c r="M169" i="35"/>
  <c r="S168" i="35"/>
  <c r="M168" i="35"/>
  <c r="T167" i="35"/>
  <c r="S167" i="35"/>
  <c r="N167" i="35"/>
  <c r="M167" i="35"/>
  <c r="S166" i="35"/>
  <c r="M166" i="35"/>
  <c r="T165" i="35"/>
  <c r="S165" i="35"/>
  <c r="N165" i="35"/>
  <c r="M165" i="35"/>
  <c r="S164" i="35"/>
  <c r="M164" i="35"/>
  <c r="S163" i="35"/>
  <c r="M163" i="35"/>
  <c r="T162" i="35"/>
  <c r="S162" i="35"/>
  <c r="N162" i="35"/>
  <c r="M162" i="35"/>
  <c r="S161" i="35"/>
  <c r="M161" i="35"/>
  <c r="S160" i="35"/>
  <c r="M160" i="35"/>
  <c r="S159" i="35"/>
  <c r="M159" i="35"/>
  <c r="S158" i="35"/>
  <c r="M158" i="35"/>
  <c r="T157" i="35"/>
  <c r="S157" i="35"/>
  <c r="N157" i="35"/>
  <c r="M157" i="35"/>
  <c r="S156" i="35"/>
  <c r="M156" i="35"/>
  <c r="S154" i="35"/>
  <c r="M154" i="35"/>
  <c r="S153" i="35"/>
  <c r="M153" i="35"/>
  <c r="S152" i="35"/>
  <c r="M152" i="35"/>
  <c r="T151" i="35"/>
  <c r="S151" i="35"/>
  <c r="N151" i="35"/>
  <c r="M151" i="35"/>
  <c r="S150" i="35"/>
  <c r="M150" i="35"/>
  <c r="T149" i="35"/>
  <c r="S149" i="35"/>
  <c r="N149" i="35"/>
  <c r="M149" i="35"/>
  <c r="S148" i="35"/>
  <c r="M148" i="35"/>
  <c r="T147" i="35"/>
  <c r="S147" i="35"/>
  <c r="M147" i="35"/>
  <c r="S146" i="35"/>
  <c r="M146" i="35"/>
  <c r="S145" i="35"/>
  <c r="M145" i="35"/>
  <c r="S144" i="35"/>
  <c r="M144" i="35"/>
  <c r="S143" i="35"/>
  <c r="M143" i="35"/>
  <c r="S142" i="35"/>
  <c r="M142" i="35"/>
  <c r="S141" i="35"/>
  <c r="M141" i="35"/>
  <c r="S140" i="35"/>
  <c r="M140" i="35"/>
  <c r="S139" i="35"/>
  <c r="M139" i="35"/>
  <c r="S137" i="35"/>
  <c r="M137" i="35"/>
  <c r="S136" i="35"/>
  <c r="M136" i="35"/>
  <c r="S135" i="35"/>
  <c r="M135" i="35"/>
  <c r="S134" i="35"/>
  <c r="M134" i="35"/>
  <c r="S133" i="35"/>
  <c r="M133" i="35"/>
  <c r="T132" i="35"/>
  <c r="S132" i="35" s="1"/>
  <c r="M132" i="35"/>
  <c r="S131" i="35"/>
  <c r="M131" i="35"/>
  <c r="S130" i="35"/>
  <c r="M130" i="35"/>
  <c r="S129" i="35"/>
  <c r="M129" i="35"/>
  <c r="T128" i="35"/>
  <c r="S128" i="35"/>
  <c r="N128" i="35"/>
  <c r="M128" i="35"/>
  <c r="S127" i="35"/>
  <c r="M127" i="35"/>
  <c r="S126" i="35"/>
  <c r="M126" i="35"/>
  <c r="S125" i="35"/>
  <c r="M125" i="35"/>
  <c r="S124" i="35"/>
  <c r="M124" i="35"/>
  <c r="S123" i="35"/>
  <c r="M123" i="35"/>
  <c r="S122" i="35"/>
  <c r="T121" i="35"/>
  <c r="S121" i="35" s="1"/>
  <c r="N121" i="35"/>
  <c r="M121" i="35" s="1"/>
  <c r="S120" i="35"/>
  <c r="M120" i="35"/>
  <c r="T119" i="35"/>
  <c r="S119" i="35" s="1"/>
  <c r="N119" i="35"/>
  <c r="M119" i="35" s="1"/>
  <c r="S118" i="35"/>
  <c r="M118" i="35"/>
  <c r="S117" i="35"/>
  <c r="M117" i="35"/>
  <c r="S116" i="35"/>
  <c r="M116" i="35"/>
  <c r="T115" i="35"/>
  <c r="S115" i="35" s="1"/>
  <c r="N115" i="35"/>
  <c r="M115" i="35" s="1"/>
  <c r="S114" i="35"/>
  <c r="M114" i="35"/>
  <c r="T113" i="35"/>
  <c r="S113" i="35" s="1"/>
  <c r="N113" i="35"/>
  <c r="M113" i="35" s="1"/>
  <c r="S112" i="35"/>
  <c r="M112" i="35"/>
  <c r="S111" i="35"/>
  <c r="N111" i="35"/>
  <c r="M111" i="35"/>
  <c r="S110" i="35"/>
  <c r="M110" i="35"/>
  <c r="T109" i="35"/>
  <c r="S109" i="35"/>
  <c r="N109" i="35"/>
  <c r="M109" i="35"/>
  <c r="S108" i="35"/>
  <c r="M108" i="35"/>
  <c r="S107" i="35"/>
  <c r="N107" i="35"/>
  <c r="M107" i="35" s="1"/>
  <c r="S106" i="35"/>
  <c r="M106" i="35"/>
  <c r="S104" i="35"/>
  <c r="M104" i="35"/>
  <c r="S103" i="35"/>
  <c r="M103" i="35"/>
  <c r="S102" i="35"/>
  <c r="M102" i="35"/>
  <c r="T101" i="35"/>
  <c r="S101" i="35" s="1"/>
  <c r="N101" i="35"/>
  <c r="M101" i="35" s="1"/>
  <c r="S100" i="35"/>
  <c r="M100" i="35"/>
  <c r="T99" i="35"/>
  <c r="S99" i="35" s="1"/>
  <c r="S98" i="35"/>
  <c r="M98" i="35"/>
  <c r="S96" i="35"/>
  <c r="M96" i="35"/>
  <c r="S95" i="35"/>
  <c r="M95" i="35"/>
  <c r="S94" i="35"/>
  <c r="M94" i="35"/>
  <c r="S93" i="35"/>
  <c r="M93" i="35"/>
  <c r="S92" i="35"/>
  <c r="M92" i="35"/>
  <c r="S91" i="35"/>
  <c r="M91" i="35"/>
  <c r="S90" i="35"/>
  <c r="M90" i="35"/>
  <c r="S89" i="35"/>
  <c r="M89" i="35"/>
  <c r="S88" i="35"/>
  <c r="M88" i="35"/>
  <c r="S87" i="35"/>
  <c r="M87" i="35"/>
  <c r="S86" i="35"/>
  <c r="M86" i="35"/>
  <c r="S85" i="35"/>
  <c r="N85" i="35"/>
  <c r="M85" i="35"/>
  <c r="S84" i="35"/>
  <c r="M84" i="35"/>
  <c r="S83" i="35"/>
  <c r="M83" i="35"/>
  <c r="S82" i="35"/>
  <c r="M82" i="35"/>
  <c r="S81" i="35"/>
  <c r="M81" i="35"/>
  <c r="S80" i="35"/>
  <c r="M80" i="35"/>
  <c r="S78" i="35"/>
  <c r="M78" i="35"/>
  <c r="S77" i="35"/>
  <c r="M77" i="35"/>
  <c r="S76" i="35"/>
  <c r="M76" i="35"/>
  <c r="S75" i="35"/>
  <c r="M75" i="35"/>
  <c r="S74" i="35"/>
  <c r="M74" i="35"/>
  <c r="S73" i="35"/>
  <c r="N73" i="35"/>
  <c r="M73" i="35" s="1"/>
  <c r="S72" i="35"/>
  <c r="M72" i="35"/>
  <c r="S71" i="35"/>
  <c r="M71" i="35"/>
  <c r="S70" i="35"/>
  <c r="M70" i="35"/>
  <c r="S69" i="35"/>
  <c r="N69" i="35"/>
  <c r="M69" i="35"/>
  <c r="S68" i="35"/>
  <c r="M68" i="35"/>
  <c r="S67" i="35"/>
  <c r="N67" i="35"/>
  <c r="M67" i="35" s="1"/>
  <c r="S66" i="35"/>
  <c r="M66" i="35"/>
  <c r="S65" i="35"/>
  <c r="M65" i="35"/>
  <c r="S64" i="35"/>
  <c r="M64" i="35"/>
  <c r="S63" i="35"/>
  <c r="M63" i="35"/>
  <c r="S62" i="35"/>
  <c r="M62" i="35"/>
  <c r="T61" i="35"/>
  <c r="S61" i="35" s="1"/>
  <c r="N61" i="35"/>
  <c r="M61" i="35" s="1"/>
  <c r="S60" i="35"/>
  <c r="M60" i="35"/>
  <c r="S59" i="35"/>
  <c r="M59" i="35"/>
  <c r="S58" i="35"/>
  <c r="M58" i="35"/>
  <c r="T57" i="35"/>
  <c r="S57" i="35" s="1"/>
  <c r="N57" i="35"/>
  <c r="M57" i="35" s="1"/>
  <c r="S56" i="35"/>
  <c r="M56" i="35"/>
  <c r="S55" i="35"/>
  <c r="N55" i="35"/>
  <c r="M55" i="35"/>
  <c r="S54" i="35"/>
  <c r="M54" i="35"/>
  <c r="S53" i="35"/>
  <c r="M53" i="35"/>
  <c r="S52" i="35"/>
  <c r="M52" i="35"/>
  <c r="S51" i="35"/>
  <c r="M51" i="35"/>
  <c r="S50" i="35"/>
  <c r="M50" i="35"/>
  <c r="S49" i="35"/>
  <c r="M49" i="35"/>
  <c r="S48" i="35"/>
  <c r="N48" i="35"/>
  <c r="M48" i="35" s="1"/>
  <c r="S47" i="35"/>
  <c r="M47" i="35"/>
  <c r="S46" i="35"/>
  <c r="M46" i="35"/>
  <c r="S45" i="35"/>
  <c r="M45" i="35"/>
  <c r="S44" i="35"/>
  <c r="M44" i="35"/>
  <c r="S43" i="35"/>
  <c r="M43" i="35"/>
  <c r="S42" i="35"/>
  <c r="M42" i="35"/>
  <c r="S41" i="35"/>
  <c r="M41" i="35"/>
  <c r="S40" i="35"/>
  <c r="M40" i="35"/>
  <c r="S39" i="35"/>
  <c r="M39" i="35"/>
  <c r="T38" i="35"/>
  <c r="S38" i="35" s="1"/>
  <c r="N38" i="35"/>
  <c r="M38" i="35" s="1"/>
  <c r="S37" i="35"/>
  <c r="M37" i="35"/>
  <c r="S36" i="35"/>
  <c r="M36" i="35"/>
  <c r="S35" i="35"/>
  <c r="M35" i="35"/>
  <c r="S33" i="35"/>
  <c r="M33" i="35"/>
  <c r="S32" i="35"/>
  <c r="M32" i="35"/>
  <c r="S31" i="35"/>
  <c r="M31" i="35"/>
  <c r="T30" i="35"/>
  <c r="S30" i="35" s="1"/>
  <c r="N30" i="35"/>
  <c r="M30" i="35" s="1"/>
  <c r="S29" i="35"/>
  <c r="M29" i="35"/>
  <c r="T28" i="35"/>
  <c r="S28" i="35" s="1"/>
  <c r="N28" i="35"/>
  <c r="M28" i="35" s="1"/>
  <c r="S27" i="35"/>
  <c r="M27" i="35"/>
  <c r="T26" i="35"/>
  <c r="S26" i="35" s="1"/>
  <c r="M26" i="35"/>
  <c r="S25" i="35"/>
  <c r="M25" i="35"/>
  <c r="S24" i="35"/>
  <c r="M24" i="35"/>
  <c r="S23" i="35"/>
  <c r="M23" i="35"/>
  <c r="T22" i="35"/>
  <c r="S22" i="35"/>
  <c r="M22" i="35"/>
  <c r="S21" i="35"/>
  <c r="M21" i="35"/>
  <c r="S20" i="35"/>
  <c r="M20" i="35"/>
  <c r="S19" i="35"/>
  <c r="M19" i="35"/>
  <c r="T18" i="35"/>
  <c r="S18" i="35" s="1"/>
  <c r="N18" i="35"/>
  <c r="M18" i="35" s="1"/>
  <c r="S17" i="35"/>
  <c r="M17" i="35"/>
  <c r="T16" i="35"/>
  <c r="S16" i="35" s="1"/>
  <c r="M16" i="35"/>
  <c r="S15" i="35"/>
  <c r="M15" i="35"/>
  <c r="T14" i="35"/>
  <c r="S300" i="35" s="1"/>
  <c r="S14" i="35"/>
  <c r="M14" i="35"/>
  <c r="S13" i="35"/>
  <c r="M13" i="35"/>
  <c r="S12" i="35"/>
  <c r="M12" i="35"/>
  <c r="L300" i="35" s="1"/>
  <c r="S11" i="35"/>
  <c r="M11" i="35"/>
  <c r="S10" i="35"/>
  <c r="R301" i="35" s="1"/>
  <c r="M10" i="35"/>
  <c r="L301" i="35" s="1"/>
  <c r="S9" i="35"/>
  <c r="R299" i="35" s="1"/>
  <c r="M9" i="35"/>
  <c r="L299" i="35" s="1"/>
  <c r="T300" i="34"/>
  <c r="T301" i="34" s="1"/>
  <c r="S300" i="34"/>
  <c r="S301" i="34" s="1"/>
  <c r="Q300" i="34"/>
  <c r="Q301" i="34" s="1"/>
  <c r="P300" i="34"/>
  <c r="P301" i="34" s="1"/>
  <c r="O300" i="34"/>
  <c r="O301" i="34" s="1"/>
  <c r="N300" i="34"/>
  <c r="N301" i="34" s="1"/>
  <c r="M300" i="34"/>
  <c r="K300" i="34"/>
  <c r="K301" i="34" s="1"/>
  <c r="J300" i="34"/>
  <c r="J301" i="34" s="1"/>
  <c r="I300" i="34"/>
  <c r="I301" i="34" s="1"/>
  <c r="H300" i="34"/>
  <c r="H301" i="34" s="1"/>
  <c r="G300" i="34"/>
  <c r="G301" i="34" s="1"/>
  <c r="T299" i="34"/>
  <c r="Q299" i="34"/>
  <c r="P299" i="34"/>
  <c r="O299" i="34"/>
  <c r="N299" i="34"/>
  <c r="K299" i="34"/>
  <c r="J299" i="34"/>
  <c r="I299" i="34"/>
  <c r="H299" i="34"/>
  <c r="G299" i="34"/>
  <c r="T298" i="34"/>
  <c r="S298" i="34"/>
  <c r="U298" i="34" s="1"/>
  <c r="Q298" i="34"/>
  <c r="P298" i="34"/>
  <c r="O298" i="34"/>
  <c r="N298" i="34"/>
  <c r="M298" i="34"/>
  <c r="K298" i="34"/>
  <c r="J298" i="34"/>
  <c r="V298" i="34" s="1"/>
  <c r="I298" i="34"/>
  <c r="H298" i="34"/>
  <c r="G298" i="34"/>
  <c r="U292" i="34"/>
  <c r="R292" i="34"/>
  <c r="Q292" i="34"/>
  <c r="P292" i="34"/>
  <c r="O292" i="34"/>
  <c r="L292" i="34"/>
  <c r="K292" i="34"/>
  <c r="J292" i="34"/>
  <c r="I292" i="34"/>
  <c r="H292" i="34"/>
  <c r="M291" i="34"/>
  <c r="S290" i="34"/>
  <c r="M290" i="34"/>
  <c r="S289" i="34"/>
  <c r="M289" i="34"/>
  <c r="S288" i="34"/>
  <c r="M288" i="34"/>
  <c r="T287" i="34"/>
  <c r="S287" i="34"/>
  <c r="N287" i="34"/>
  <c r="M287" i="34"/>
  <c r="S286" i="34"/>
  <c r="M286" i="34"/>
  <c r="M285" i="34"/>
  <c r="S284" i="34"/>
  <c r="M284" i="34"/>
  <c r="S283" i="34"/>
  <c r="M283" i="34"/>
  <c r="S282" i="34"/>
  <c r="M282" i="34"/>
  <c r="S281" i="34"/>
  <c r="N281" i="34"/>
  <c r="M281" i="34"/>
  <c r="S280" i="34"/>
  <c r="M280" i="34"/>
  <c r="S279" i="34"/>
  <c r="M279" i="34"/>
  <c r="S278" i="34"/>
  <c r="M278" i="34"/>
  <c r="S277" i="34"/>
  <c r="N277" i="34"/>
  <c r="M277" i="34" s="1"/>
  <c r="S276" i="34"/>
  <c r="M276" i="34"/>
  <c r="T275" i="34"/>
  <c r="S275" i="34" s="1"/>
  <c r="N275" i="34"/>
  <c r="M275" i="34" s="1"/>
  <c r="S274" i="34"/>
  <c r="M274" i="34"/>
  <c r="T273" i="34"/>
  <c r="S273" i="34" s="1"/>
  <c r="M273" i="34"/>
  <c r="S272" i="34"/>
  <c r="M272" i="34"/>
  <c r="T271" i="34"/>
  <c r="S271" i="34"/>
  <c r="N271" i="34"/>
  <c r="M271" i="34"/>
  <c r="S270" i="34"/>
  <c r="M270" i="34"/>
  <c r="T269" i="34"/>
  <c r="S269" i="34"/>
  <c r="M269" i="34"/>
  <c r="S268" i="34"/>
  <c r="M268" i="34"/>
  <c r="S267" i="34"/>
  <c r="N267" i="34"/>
  <c r="M267" i="34"/>
  <c r="S266" i="34"/>
  <c r="M266" i="34"/>
  <c r="T265" i="34"/>
  <c r="S265" i="34"/>
  <c r="M265" i="34"/>
  <c r="S264" i="34"/>
  <c r="M264" i="34"/>
  <c r="S263" i="34"/>
  <c r="N263" i="34"/>
  <c r="M263" i="34"/>
  <c r="S262" i="34"/>
  <c r="M262" i="34"/>
  <c r="S261" i="34"/>
  <c r="M261" i="34"/>
  <c r="S260" i="34"/>
  <c r="M260" i="34"/>
  <c r="S259" i="34"/>
  <c r="M259" i="34"/>
  <c r="S258" i="34"/>
  <c r="M258" i="34"/>
  <c r="S256" i="34"/>
  <c r="M256" i="34"/>
  <c r="S255" i="34"/>
  <c r="M255" i="34"/>
  <c r="S254" i="34"/>
  <c r="M254" i="34"/>
  <c r="T253" i="34"/>
  <c r="S253" i="34"/>
  <c r="M253" i="34"/>
  <c r="S252" i="34"/>
  <c r="M252" i="34"/>
  <c r="T251" i="34"/>
  <c r="S251" i="34" s="1"/>
  <c r="N251" i="34"/>
  <c r="M251" i="34" s="1"/>
  <c r="S250" i="34"/>
  <c r="M250" i="34"/>
  <c r="S249" i="34"/>
  <c r="M249" i="34"/>
  <c r="S248" i="34"/>
  <c r="M248" i="34"/>
  <c r="T247" i="34"/>
  <c r="S247" i="34" s="1"/>
  <c r="N247" i="34"/>
  <c r="M247" i="34" s="1"/>
  <c r="S246" i="34"/>
  <c r="M246" i="34"/>
  <c r="S245" i="34"/>
  <c r="M245" i="34"/>
  <c r="S244" i="34"/>
  <c r="M244" i="34"/>
  <c r="T243" i="34"/>
  <c r="S243" i="34" s="1"/>
  <c r="M243" i="34"/>
  <c r="S242" i="34"/>
  <c r="M242" i="34"/>
  <c r="T241" i="34"/>
  <c r="S241" i="34"/>
  <c r="M241" i="34"/>
  <c r="S240" i="34"/>
  <c r="M240" i="34"/>
  <c r="S239" i="34"/>
  <c r="N239" i="34"/>
  <c r="M239" i="34"/>
  <c r="S238" i="34"/>
  <c r="M238" i="34"/>
  <c r="S237" i="34"/>
  <c r="M237" i="34"/>
  <c r="S236" i="34"/>
  <c r="M236" i="34"/>
  <c r="S235" i="34"/>
  <c r="M235" i="34"/>
  <c r="S234" i="34"/>
  <c r="M234" i="34"/>
  <c r="S233" i="34"/>
  <c r="M233" i="34"/>
  <c r="S232" i="34"/>
  <c r="M232" i="34"/>
  <c r="S231" i="34"/>
  <c r="M231" i="34"/>
  <c r="S230" i="34"/>
  <c r="M230" i="34"/>
  <c r="S228" i="34"/>
  <c r="M228" i="34"/>
  <c r="S226" i="34"/>
  <c r="M226" i="34"/>
  <c r="S225" i="34"/>
  <c r="M225" i="34"/>
  <c r="S224" i="34"/>
  <c r="M224" i="34"/>
  <c r="S223" i="34"/>
  <c r="M223" i="34"/>
  <c r="S222" i="34"/>
  <c r="M222" i="34"/>
  <c r="T221" i="34"/>
  <c r="S221" i="34"/>
  <c r="N221" i="34"/>
  <c r="M221" i="34"/>
  <c r="S220" i="34"/>
  <c r="M220" i="34"/>
  <c r="S219" i="34"/>
  <c r="M219" i="34"/>
  <c r="S218" i="34"/>
  <c r="M218" i="34"/>
  <c r="T217" i="34"/>
  <c r="S217" i="34"/>
  <c r="M217" i="34"/>
  <c r="S216" i="34"/>
  <c r="M216" i="34"/>
  <c r="T215" i="34"/>
  <c r="S215" i="34" s="1"/>
  <c r="N215" i="34"/>
  <c r="M215" i="34" s="1"/>
  <c r="S214" i="34"/>
  <c r="M214" i="34"/>
  <c r="S213" i="34"/>
  <c r="M213" i="34"/>
  <c r="S212" i="34"/>
  <c r="M212" i="34"/>
  <c r="S211" i="34"/>
  <c r="M211" i="34"/>
  <c r="S210" i="34"/>
  <c r="M210" i="34"/>
  <c r="M209" i="34"/>
  <c r="S208" i="34"/>
  <c r="M208" i="34"/>
  <c r="T207" i="34"/>
  <c r="S207" i="34"/>
  <c r="M207" i="34"/>
  <c r="S206" i="34"/>
  <c r="M206" i="34"/>
  <c r="S205" i="34"/>
  <c r="M205" i="34"/>
  <c r="S204" i="34"/>
  <c r="M204" i="34"/>
  <c r="S203" i="34"/>
  <c r="M203" i="34"/>
  <c r="S202" i="34"/>
  <c r="M202" i="34"/>
  <c r="S201" i="34"/>
  <c r="M201" i="34"/>
  <c r="T200" i="34"/>
  <c r="S200" i="34" s="1"/>
  <c r="N200" i="34"/>
  <c r="M200" i="34" s="1"/>
  <c r="S199" i="34"/>
  <c r="M199" i="34"/>
  <c r="S198" i="34"/>
  <c r="N198" i="34"/>
  <c r="M198" i="34"/>
  <c r="S197" i="34"/>
  <c r="M197" i="34"/>
  <c r="S196" i="34"/>
  <c r="M196" i="34"/>
  <c r="S195" i="34"/>
  <c r="M195" i="34"/>
  <c r="S194" i="34"/>
  <c r="M194" i="34"/>
  <c r="S193" i="34"/>
  <c r="M193" i="34"/>
  <c r="S192" i="34"/>
  <c r="M192" i="34"/>
  <c r="S191" i="34"/>
  <c r="M191" i="34"/>
  <c r="T190" i="34"/>
  <c r="S190" i="34"/>
  <c r="N190" i="34"/>
  <c r="M190" i="34"/>
  <c r="S189" i="34"/>
  <c r="M189" i="34"/>
  <c r="M188" i="34"/>
  <c r="S187" i="34"/>
  <c r="M187" i="34"/>
  <c r="S186" i="34"/>
  <c r="N186" i="34"/>
  <c r="M186" i="34"/>
  <c r="S185" i="34"/>
  <c r="M185" i="34"/>
  <c r="T184" i="34"/>
  <c r="S184" i="34"/>
  <c r="N184" i="34"/>
  <c r="M184" i="34"/>
  <c r="S183" i="34"/>
  <c r="M183" i="34"/>
  <c r="T182" i="34"/>
  <c r="S182" i="34"/>
  <c r="M182" i="34"/>
  <c r="S181" i="34"/>
  <c r="M181" i="34"/>
  <c r="T180" i="34"/>
  <c r="S180" i="34" s="1"/>
  <c r="N180" i="34"/>
  <c r="M180" i="34" s="1"/>
  <c r="S179" i="34"/>
  <c r="M179" i="34"/>
  <c r="S178" i="34"/>
  <c r="M178" i="34"/>
  <c r="S177" i="34"/>
  <c r="M177" i="34"/>
  <c r="S176" i="34"/>
  <c r="M176" i="34"/>
  <c r="S175" i="34"/>
  <c r="M175" i="34"/>
  <c r="S174" i="34"/>
  <c r="M174" i="34"/>
  <c r="S173" i="34"/>
  <c r="M173" i="34"/>
  <c r="S172" i="34"/>
  <c r="M172" i="34"/>
  <c r="S171" i="34"/>
  <c r="M171" i="34"/>
  <c r="T170" i="34"/>
  <c r="S170" i="34" s="1"/>
  <c r="N170" i="34"/>
  <c r="M170" i="34" s="1"/>
  <c r="S169" i="34"/>
  <c r="M169" i="34"/>
  <c r="T168" i="34"/>
  <c r="S168" i="34" s="1"/>
  <c r="N168" i="34"/>
  <c r="M168" i="34" s="1"/>
  <c r="S167" i="34"/>
  <c r="M167" i="34"/>
  <c r="T166" i="34"/>
  <c r="S166" i="34" s="1"/>
  <c r="N166" i="34"/>
  <c r="M166" i="34" s="1"/>
  <c r="S165" i="34"/>
  <c r="M165" i="34"/>
  <c r="T164" i="34"/>
  <c r="S164" i="34" s="1"/>
  <c r="N164" i="34"/>
  <c r="M164" i="34" s="1"/>
  <c r="S163" i="34"/>
  <c r="M163" i="34"/>
  <c r="S162" i="34"/>
  <c r="M162" i="34"/>
  <c r="T161" i="34"/>
  <c r="S161" i="34" s="1"/>
  <c r="N161" i="34"/>
  <c r="M161" i="34" s="1"/>
  <c r="S160" i="34"/>
  <c r="M160" i="34"/>
  <c r="S159" i="34"/>
  <c r="M159" i="34"/>
  <c r="S158" i="34"/>
  <c r="M158" i="34"/>
  <c r="S157" i="34"/>
  <c r="M157" i="34"/>
  <c r="T156" i="34"/>
  <c r="S156" i="34" s="1"/>
  <c r="N156" i="34"/>
  <c r="M156" i="34" s="1"/>
  <c r="S155" i="34"/>
  <c r="M155" i="34"/>
  <c r="S153" i="34"/>
  <c r="M153" i="34"/>
  <c r="S152" i="34"/>
  <c r="M152" i="34"/>
  <c r="S151" i="34"/>
  <c r="M151" i="34"/>
  <c r="T150" i="34"/>
  <c r="S150" i="34" s="1"/>
  <c r="N150" i="34"/>
  <c r="M150" i="34" s="1"/>
  <c r="S149" i="34"/>
  <c r="M149" i="34"/>
  <c r="T148" i="34"/>
  <c r="S148" i="34" s="1"/>
  <c r="N148" i="34"/>
  <c r="M148" i="34" s="1"/>
  <c r="S147" i="34"/>
  <c r="M147" i="34"/>
  <c r="T146" i="34"/>
  <c r="S146" i="34" s="1"/>
  <c r="M146" i="34"/>
  <c r="S145" i="34"/>
  <c r="M145" i="34"/>
  <c r="S144" i="34"/>
  <c r="M144" i="34"/>
  <c r="S143" i="34"/>
  <c r="M143" i="34"/>
  <c r="S142" i="34"/>
  <c r="M142" i="34"/>
  <c r="S141" i="34"/>
  <c r="M141" i="34"/>
  <c r="S140" i="34"/>
  <c r="M140" i="34"/>
  <c r="S139" i="34"/>
  <c r="M139" i="34"/>
  <c r="S138" i="34"/>
  <c r="M138" i="34"/>
  <c r="S136" i="34"/>
  <c r="M136" i="34"/>
  <c r="S135" i="34"/>
  <c r="M135" i="34"/>
  <c r="S134" i="34"/>
  <c r="M134" i="34"/>
  <c r="S133" i="34"/>
  <c r="M133" i="34"/>
  <c r="S132" i="34"/>
  <c r="M132" i="34"/>
  <c r="T131" i="34"/>
  <c r="S131" i="34"/>
  <c r="M131" i="34"/>
  <c r="S130" i="34"/>
  <c r="M130" i="34"/>
  <c r="S129" i="34"/>
  <c r="M129" i="34"/>
  <c r="S128" i="34"/>
  <c r="M128" i="34"/>
  <c r="T127" i="34"/>
  <c r="S127" i="34" s="1"/>
  <c r="N127" i="34"/>
  <c r="M127" i="34" s="1"/>
  <c r="S126" i="34"/>
  <c r="M126" i="34"/>
  <c r="S125" i="34"/>
  <c r="M125" i="34"/>
  <c r="S124" i="34"/>
  <c r="M124" i="34"/>
  <c r="S123" i="34"/>
  <c r="M123" i="34"/>
  <c r="S122" i="34"/>
  <c r="M122" i="34"/>
  <c r="S121" i="34"/>
  <c r="T120" i="34"/>
  <c r="S120" i="34"/>
  <c r="N120" i="34"/>
  <c r="M120" i="34"/>
  <c r="S119" i="34"/>
  <c r="M119" i="34"/>
  <c r="T118" i="34"/>
  <c r="S118" i="34"/>
  <c r="N118" i="34"/>
  <c r="M118" i="34"/>
  <c r="S117" i="34"/>
  <c r="M117" i="34"/>
  <c r="S116" i="34"/>
  <c r="M116" i="34"/>
  <c r="S115" i="34"/>
  <c r="M115" i="34"/>
  <c r="T114" i="34"/>
  <c r="S114" i="34"/>
  <c r="N114" i="34"/>
  <c r="M114" i="34"/>
  <c r="S113" i="34"/>
  <c r="M113" i="34"/>
  <c r="T112" i="34"/>
  <c r="S112" i="34"/>
  <c r="N112" i="34"/>
  <c r="M112" i="34"/>
  <c r="S111" i="34"/>
  <c r="M111" i="34"/>
  <c r="S110" i="34"/>
  <c r="N110" i="34"/>
  <c r="M110" i="34" s="1"/>
  <c r="S109" i="34"/>
  <c r="M109" i="34"/>
  <c r="T108" i="34"/>
  <c r="S108" i="34" s="1"/>
  <c r="N108" i="34"/>
  <c r="M108" i="34" s="1"/>
  <c r="S107" i="34"/>
  <c r="M107" i="34"/>
  <c r="S106" i="34"/>
  <c r="N106" i="34"/>
  <c r="M106" i="34"/>
  <c r="S105" i="34"/>
  <c r="M105" i="34"/>
  <c r="S103" i="34"/>
  <c r="M103" i="34"/>
  <c r="S102" i="34"/>
  <c r="M102" i="34"/>
  <c r="S101" i="34"/>
  <c r="M101" i="34"/>
  <c r="T100" i="34"/>
  <c r="S100" i="34"/>
  <c r="N100" i="34"/>
  <c r="M100" i="34"/>
  <c r="S99" i="34"/>
  <c r="M99" i="34"/>
  <c r="T98" i="34"/>
  <c r="S98" i="34"/>
  <c r="S97" i="34"/>
  <c r="M97" i="34"/>
  <c r="S95" i="34"/>
  <c r="M95" i="34"/>
  <c r="S94" i="34"/>
  <c r="M94" i="34"/>
  <c r="S93" i="34"/>
  <c r="M93" i="34"/>
  <c r="S92" i="34"/>
  <c r="M92" i="34"/>
  <c r="S91" i="34"/>
  <c r="M91" i="34"/>
  <c r="S90" i="34"/>
  <c r="M90" i="34"/>
  <c r="S89" i="34"/>
  <c r="M89" i="34"/>
  <c r="S88" i="34"/>
  <c r="M88" i="34"/>
  <c r="S87" i="34"/>
  <c r="M87" i="34"/>
  <c r="S86" i="34"/>
  <c r="M86" i="34"/>
  <c r="S85" i="34"/>
  <c r="M85" i="34"/>
  <c r="S84" i="34"/>
  <c r="N84" i="34"/>
  <c r="M84" i="34" s="1"/>
  <c r="S83" i="34"/>
  <c r="M83" i="34"/>
  <c r="S82" i="34"/>
  <c r="M82" i="34"/>
  <c r="S81" i="34"/>
  <c r="M81" i="34"/>
  <c r="S80" i="34"/>
  <c r="M80" i="34"/>
  <c r="S79" i="34"/>
  <c r="M79" i="34"/>
  <c r="S78" i="34"/>
  <c r="S77" i="34"/>
  <c r="M77" i="34"/>
  <c r="S76" i="34"/>
  <c r="M76" i="34"/>
  <c r="S75" i="34"/>
  <c r="M75" i="34"/>
  <c r="S74" i="34"/>
  <c r="M74" i="34"/>
  <c r="S73" i="34"/>
  <c r="M73" i="34"/>
  <c r="S72" i="34"/>
  <c r="N72" i="34"/>
  <c r="M72" i="34" s="1"/>
  <c r="S71" i="34"/>
  <c r="M71" i="34"/>
  <c r="S70" i="34"/>
  <c r="M70" i="34"/>
  <c r="S69" i="34"/>
  <c r="M69" i="34"/>
  <c r="S68" i="34"/>
  <c r="N68" i="34"/>
  <c r="M68" i="34"/>
  <c r="S67" i="34"/>
  <c r="M67" i="34"/>
  <c r="S66" i="34"/>
  <c r="N66" i="34"/>
  <c r="M66" i="34" s="1"/>
  <c r="S65" i="34"/>
  <c r="M65" i="34"/>
  <c r="S64" i="34"/>
  <c r="M64" i="34"/>
  <c r="S63" i="34"/>
  <c r="M63" i="34"/>
  <c r="S62" i="34"/>
  <c r="M62" i="34"/>
  <c r="S61" i="34"/>
  <c r="M61" i="34"/>
  <c r="T60" i="34"/>
  <c r="S60" i="34" s="1"/>
  <c r="N60" i="34"/>
  <c r="M60" i="34" s="1"/>
  <c r="S59" i="34"/>
  <c r="M59" i="34"/>
  <c r="S58" i="34"/>
  <c r="M58" i="34"/>
  <c r="S57" i="34"/>
  <c r="M57" i="34"/>
  <c r="T56" i="34"/>
  <c r="S56" i="34" s="1"/>
  <c r="N56" i="34"/>
  <c r="M56" i="34" s="1"/>
  <c r="S55" i="34"/>
  <c r="M55" i="34"/>
  <c r="S54" i="34"/>
  <c r="N54" i="34"/>
  <c r="M54" i="34"/>
  <c r="S53" i="34"/>
  <c r="M53" i="34"/>
  <c r="S52" i="34"/>
  <c r="M52" i="34"/>
  <c r="S51" i="34"/>
  <c r="M51" i="34"/>
  <c r="S50" i="34"/>
  <c r="M50" i="34"/>
  <c r="S49" i="34"/>
  <c r="M49" i="34"/>
  <c r="S48" i="34"/>
  <c r="N48" i="34"/>
  <c r="M48" i="34" s="1"/>
  <c r="S47" i="34"/>
  <c r="M47" i="34"/>
  <c r="S46" i="34"/>
  <c r="M46" i="34"/>
  <c r="S45" i="34"/>
  <c r="M45" i="34"/>
  <c r="S44" i="34"/>
  <c r="M44" i="34"/>
  <c r="S43" i="34"/>
  <c r="M43" i="34"/>
  <c r="S42" i="34"/>
  <c r="M42" i="34"/>
  <c r="S41" i="34"/>
  <c r="M41" i="34"/>
  <c r="S40" i="34"/>
  <c r="M40" i="34"/>
  <c r="S39" i="34"/>
  <c r="M39" i="34"/>
  <c r="T38" i="34"/>
  <c r="S38" i="34" s="1"/>
  <c r="N38" i="34"/>
  <c r="M38" i="34" s="1"/>
  <c r="S37" i="34"/>
  <c r="M37" i="34"/>
  <c r="S36" i="34"/>
  <c r="M36" i="34"/>
  <c r="S35" i="34"/>
  <c r="M35" i="34"/>
  <c r="S33" i="34"/>
  <c r="M33" i="34"/>
  <c r="S32" i="34"/>
  <c r="M32" i="34"/>
  <c r="S31" i="34"/>
  <c r="M31" i="34"/>
  <c r="T30" i="34"/>
  <c r="S30" i="34" s="1"/>
  <c r="N30" i="34"/>
  <c r="M30" i="34" s="1"/>
  <c r="S29" i="34"/>
  <c r="M29" i="34"/>
  <c r="T28" i="34"/>
  <c r="S28" i="34" s="1"/>
  <c r="N28" i="34"/>
  <c r="M28" i="34" s="1"/>
  <c r="S27" i="34"/>
  <c r="M27" i="34"/>
  <c r="T26" i="34"/>
  <c r="S26" i="34" s="1"/>
  <c r="M26" i="34"/>
  <c r="S25" i="34"/>
  <c r="M25" i="34"/>
  <c r="S24" i="34"/>
  <c r="M24" i="34"/>
  <c r="S23" i="34"/>
  <c r="M23" i="34"/>
  <c r="T22" i="34"/>
  <c r="S22" i="34"/>
  <c r="M22" i="34"/>
  <c r="S21" i="34"/>
  <c r="M21" i="34"/>
  <c r="S20" i="34"/>
  <c r="M20" i="34"/>
  <c r="S19" i="34"/>
  <c r="M19" i="34"/>
  <c r="T18" i="34"/>
  <c r="S18" i="34" s="1"/>
  <c r="N18" i="34"/>
  <c r="M299" i="34" s="1"/>
  <c r="S17" i="34"/>
  <c r="M17" i="34"/>
  <c r="T16" i="34"/>
  <c r="S16" i="34" s="1"/>
  <c r="M16" i="34"/>
  <c r="S15" i="34"/>
  <c r="M15" i="34"/>
  <c r="L298" i="34" s="1"/>
  <c r="T14" i="34"/>
  <c r="S299" i="34" s="1"/>
  <c r="S14" i="34"/>
  <c r="M14" i="34"/>
  <c r="S13" i="34"/>
  <c r="M13" i="34"/>
  <c r="S12" i="34"/>
  <c r="R299" i="34" s="1"/>
  <c r="M12" i="34"/>
  <c r="S11" i="34"/>
  <c r="M11" i="34"/>
  <c r="S10" i="34"/>
  <c r="R300" i="34" s="1"/>
  <c r="M10" i="34"/>
  <c r="L300" i="34" s="1"/>
  <c r="S9" i="34"/>
  <c r="R298" i="34" s="1"/>
  <c r="M9" i="34"/>
  <c r="T296" i="33"/>
  <c r="T297" i="33" s="1"/>
  <c r="S296" i="33"/>
  <c r="Q296" i="33"/>
  <c r="Q297" i="33" s="1"/>
  <c r="P296" i="33"/>
  <c r="P297" i="33" s="1"/>
  <c r="O296" i="33"/>
  <c r="O297" i="33" s="1"/>
  <c r="N296" i="33"/>
  <c r="N297" i="33" s="1"/>
  <c r="M296" i="33"/>
  <c r="K296" i="33"/>
  <c r="K297" i="33" s="1"/>
  <c r="J296" i="33"/>
  <c r="J297" i="33" s="1"/>
  <c r="I296" i="33"/>
  <c r="I297" i="33" s="1"/>
  <c r="H296" i="33"/>
  <c r="H297" i="33" s="1"/>
  <c r="G296" i="33"/>
  <c r="G297" i="33" s="1"/>
  <c r="T295" i="33"/>
  <c r="Q295" i="33"/>
  <c r="P295" i="33"/>
  <c r="O295" i="33"/>
  <c r="N295" i="33"/>
  <c r="K295" i="33"/>
  <c r="J295" i="33"/>
  <c r="I295" i="33"/>
  <c r="H295" i="33"/>
  <c r="T294" i="33"/>
  <c r="S294" i="33"/>
  <c r="U294" i="33" s="1"/>
  <c r="Q294" i="33"/>
  <c r="P294" i="33"/>
  <c r="O294" i="33"/>
  <c r="N294" i="33"/>
  <c r="M294" i="33"/>
  <c r="K294" i="33"/>
  <c r="J294" i="33"/>
  <c r="V294" i="33" s="1"/>
  <c r="I294" i="33"/>
  <c r="H294" i="33"/>
  <c r="G294" i="33"/>
  <c r="U288" i="33"/>
  <c r="R288" i="33"/>
  <c r="Q288" i="33"/>
  <c r="P288" i="33"/>
  <c r="O288" i="33"/>
  <c r="L288" i="33"/>
  <c r="K288" i="33"/>
  <c r="J288" i="33"/>
  <c r="I288" i="33"/>
  <c r="H288" i="33"/>
  <c r="M287" i="33"/>
  <c r="S286" i="33"/>
  <c r="M286" i="33"/>
  <c r="S285" i="33"/>
  <c r="M285" i="33"/>
  <c r="S284" i="33"/>
  <c r="M284" i="33"/>
  <c r="T283" i="33"/>
  <c r="S283" i="33" s="1"/>
  <c r="N283" i="33"/>
  <c r="M283" i="33" s="1"/>
  <c r="S282" i="33"/>
  <c r="M282" i="33"/>
  <c r="M281" i="33"/>
  <c r="S280" i="33"/>
  <c r="M280" i="33"/>
  <c r="S279" i="33"/>
  <c r="M279" i="33"/>
  <c r="S278" i="33"/>
  <c r="M278" i="33"/>
  <c r="S277" i="33"/>
  <c r="N277" i="33"/>
  <c r="M277" i="33" s="1"/>
  <c r="S276" i="33"/>
  <c r="M276" i="33"/>
  <c r="S275" i="33"/>
  <c r="M275" i="33"/>
  <c r="S274" i="33"/>
  <c r="M274" i="33"/>
  <c r="S273" i="33"/>
  <c r="M273" i="33"/>
  <c r="S272" i="33"/>
  <c r="M272" i="33"/>
  <c r="T271" i="33"/>
  <c r="S271" i="33" s="1"/>
  <c r="N271" i="33"/>
  <c r="M271" i="33" s="1"/>
  <c r="S270" i="33"/>
  <c r="M270" i="33"/>
  <c r="T269" i="33"/>
  <c r="S269" i="33" s="1"/>
  <c r="M269" i="33"/>
  <c r="S268" i="33"/>
  <c r="M268" i="33"/>
  <c r="T267" i="33"/>
  <c r="S267" i="33"/>
  <c r="N267" i="33"/>
  <c r="M267" i="33"/>
  <c r="S266" i="33"/>
  <c r="M266" i="33"/>
  <c r="T265" i="33"/>
  <c r="S265" i="33"/>
  <c r="M265" i="33"/>
  <c r="S264" i="33"/>
  <c r="M264" i="33"/>
  <c r="S263" i="33"/>
  <c r="N263" i="33"/>
  <c r="M263" i="33"/>
  <c r="S262" i="33"/>
  <c r="M262" i="33"/>
  <c r="T261" i="33"/>
  <c r="S261" i="33"/>
  <c r="M261" i="33"/>
  <c r="S260" i="33"/>
  <c r="M260" i="33"/>
  <c r="S259" i="33"/>
  <c r="N259" i="33"/>
  <c r="M259" i="33"/>
  <c r="S258" i="33"/>
  <c r="M258" i="33"/>
  <c r="S257" i="33"/>
  <c r="M257" i="33"/>
  <c r="S256" i="33"/>
  <c r="M256" i="33"/>
  <c r="S255" i="33"/>
  <c r="M255" i="33"/>
  <c r="S254" i="33"/>
  <c r="M254" i="33"/>
  <c r="S252" i="33"/>
  <c r="M252" i="33"/>
  <c r="S251" i="33"/>
  <c r="M251" i="33"/>
  <c r="S250" i="33"/>
  <c r="M250" i="33"/>
  <c r="T249" i="33"/>
  <c r="S249" i="33"/>
  <c r="M249" i="33"/>
  <c r="S248" i="33"/>
  <c r="M248" i="33"/>
  <c r="T247" i="33"/>
  <c r="S247" i="33" s="1"/>
  <c r="N247" i="33"/>
  <c r="M247" i="33" s="1"/>
  <c r="S246" i="33"/>
  <c r="M246" i="33"/>
  <c r="S245" i="33"/>
  <c r="M245" i="33"/>
  <c r="S244" i="33"/>
  <c r="M244" i="33"/>
  <c r="T243" i="33"/>
  <c r="S243" i="33" s="1"/>
  <c r="N243" i="33"/>
  <c r="M243" i="33" s="1"/>
  <c r="S242" i="33"/>
  <c r="M242" i="33"/>
  <c r="T241" i="33"/>
  <c r="S241" i="33" s="1"/>
  <c r="M241" i="33"/>
  <c r="S240" i="33"/>
  <c r="M240" i="33"/>
  <c r="T239" i="33"/>
  <c r="S239" i="33"/>
  <c r="M239" i="33"/>
  <c r="S238" i="33"/>
  <c r="M238" i="33"/>
  <c r="S237" i="33"/>
  <c r="N237" i="33"/>
  <c r="M237" i="33"/>
  <c r="S236" i="33"/>
  <c r="M236" i="33"/>
  <c r="S235" i="33"/>
  <c r="M235" i="33"/>
  <c r="S234" i="33"/>
  <c r="M234" i="33"/>
  <c r="S231" i="33"/>
  <c r="M231" i="33"/>
  <c r="S230" i="33"/>
  <c r="M230" i="33"/>
  <c r="S229" i="33"/>
  <c r="M229" i="33"/>
  <c r="S228" i="33"/>
  <c r="M228" i="33"/>
  <c r="M227" i="33"/>
  <c r="S226" i="33"/>
  <c r="M226" i="33"/>
  <c r="S225" i="33"/>
  <c r="M225" i="33"/>
  <c r="S224" i="33"/>
  <c r="M224" i="33"/>
  <c r="S223" i="33"/>
  <c r="M223" i="33"/>
  <c r="S222" i="33"/>
  <c r="M222" i="33"/>
  <c r="T221" i="33"/>
  <c r="S221" i="33" s="1"/>
  <c r="N221" i="33"/>
  <c r="M221" i="33" s="1"/>
  <c r="S220" i="33"/>
  <c r="M220" i="33"/>
  <c r="S219" i="33"/>
  <c r="M219" i="33"/>
  <c r="S218" i="33"/>
  <c r="M218" i="33"/>
  <c r="T217" i="33"/>
  <c r="S217" i="33" s="1"/>
  <c r="M217" i="33"/>
  <c r="S216" i="33"/>
  <c r="M216" i="33"/>
  <c r="T215" i="33"/>
  <c r="S215" i="33"/>
  <c r="N215" i="33"/>
  <c r="M215" i="33"/>
  <c r="S214" i="33"/>
  <c r="M214" i="33"/>
  <c r="S213" i="33"/>
  <c r="M213" i="33"/>
  <c r="S212" i="33"/>
  <c r="M212" i="33"/>
  <c r="S211" i="33"/>
  <c r="M211" i="33"/>
  <c r="S210" i="33"/>
  <c r="M210" i="33"/>
  <c r="M209" i="33"/>
  <c r="S208" i="33"/>
  <c r="M208" i="33"/>
  <c r="T207" i="33"/>
  <c r="S207" i="33" s="1"/>
  <c r="M207" i="33"/>
  <c r="S206" i="33"/>
  <c r="M206" i="33"/>
  <c r="S205" i="33"/>
  <c r="M205" i="33"/>
  <c r="S204" i="33"/>
  <c r="M204" i="33"/>
  <c r="S203" i="33"/>
  <c r="M203" i="33"/>
  <c r="S202" i="33"/>
  <c r="M202" i="33"/>
  <c r="S201" i="33"/>
  <c r="M201" i="33"/>
  <c r="T200" i="33"/>
  <c r="S200" i="33"/>
  <c r="N200" i="33"/>
  <c r="M200" i="33"/>
  <c r="S199" i="33"/>
  <c r="M199" i="33"/>
  <c r="S198" i="33"/>
  <c r="N198" i="33"/>
  <c r="M198" i="33" s="1"/>
  <c r="S197" i="33"/>
  <c r="M197" i="33"/>
  <c r="S196" i="33"/>
  <c r="M196" i="33"/>
  <c r="S195" i="33"/>
  <c r="M195" i="33"/>
  <c r="S194" i="33"/>
  <c r="M194" i="33"/>
  <c r="S193" i="33"/>
  <c r="M193" i="33"/>
  <c r="S192" i="33"/>
  <c r="M192" i="33"/>
  <c r="S191" i="33"/>
  <c r="M191" i="33"/>
  <c r="T190" i="33"/>
  <c r="S190" i="33" s="1"/>
  <c r="N190" i="33"/>
  <c r="M190" i="33" s="1"/>
  <c r="S189" i="33"/>
  <c r="M189" i="33"/>
  <c r="M188" i="33"/>
  <c r="S187" i="33"/>
  <c r="M187" i="33"/>
  <c r="S186" i="33"/>
  <c r="N186" i="33"/>
  <c r="M186" i="33" s="1"/>
  <c r="S185" i="33"/>
  <c r="M185" i="33"/>
  <c r="T184" i="33"/>
  <c r="S184" i="33" s="1"/>
  <c r="M184" i="33"/>
  <c r="S183" i="33"/>
  <c r="M183" i="33"/>
  <c r="T182" i="33"/>
  <c r="S182" i="33"/>
  <c r="M182" i="33"/>
  <c r="S181" i="33"/>
  <c r="M181" i="33"/>
  <c r="T180" i="33"/>
  <c r="S180" i="33" s="1"/>
  <c r="N180" i="33"/>
  <c r="M180" i="33" s="1"/>
  <c r="S179" i="33"/>
  <c r="M179" i="33"/>
  <c r="S178" i="33"/>
  <c r="M178" i="33"/>
  <c r="S177" i="33"/>
  <c r="M177" i="33"/>
  <c r="S176" i="33"/>
  <c r="M176" i="33"/>
  <c r="S175" i="33"/>
  <c r="M175" i="33"/>
  <c r="S174" i="33"/>
  <c r="M174" i="33"/>
  <c r="S173" i="33"/>
  <c r="M173" i="33"/>
  <c r="S172" i="33"/>
  <c r="M172" i="33"/>
  <c r="S171" i="33"/>
  <c r="M171" i="33"/>
  <c r="T170" i="33"/>
  <c r="S170" i="33" s="1"/>
  <c r="N170" i="33"/>
  <c r="M170" i="33" s="1"/>
  <c r="S169" i="33"/>
  <c r="M169" i="33"/>
  <c r="T168" i="33"/>
  <c r="S168" i="33" s="1"/>
  <c r="N168" i="33"/>
  <c r="M168" i="33" s="1"/>
  <c r="S167" i="33"/>
  <c r="M167" i="33"/>
  <c r="T166" i="33"/>
  <c r="S166" i="33" s="1"/>
  <c r="N166" i="33"/>
  <c r="M166" i="33" s="1"/>
  <c r="S165" i="33"/>
  <c r="M165" i="33"/>
  <c r="T164" i="33"/>
  <c r="S164" i="33" s="1"/>
  <c r="N164" i="33"/>
  <c r="M164" i="33" s="1"/>
  <c r="S163" i="33"/>
  <c r="M163" i="33"/>
  <c r="S162" i="33"/>
  <c r="M162" i="33"/>
  <c r="T161" i="33"/>
  <c r="S161" i="33" s="1"/>
  <c r="N161" i="33"/>
  <c r="M161" i="33" s="1"/>
  <c r="S160" i="33"/>
  <c r="M160" i="33"/>
  <c r="S159" i="33"/>
  <c r="M159" i="33"/>
  <c r="S158" i="33"/>
  <c r="M158" i="33"/>
  <c r="S157" i="33"/>
  <c r="M157" i="33"/>
  <c r="T156" i="33"/>
  <c r="S156" i="33" s="1"/>
  <c r="N156" i="33"/>
  <c r="M156" i="33" s="1"/>
  <c r="S155" i="33"/>
  <c r="M155" i="33"/>
  <c r="S153" i="33"/>
  <c r="M153" i="33"/>
  <c r="S152" i="33"/>
  <c r="M152" i="33"/>
  <c r="S151" i="33"/>
  <c r="M151" i="33"/>
  <c r="T150" i="33"/>
  <c r="S150" i="33" s="1"/>
  <c r="N150" i="33"/>
  <c r="M150" i="33" s="1"/>
  <c r="S149" i="33"/>
  <c r="M149" i="33"/>
  <c r="T148" i="33"/>
  <c r="S148" i="33" s="1"/>
  <c r="N148" i="33"/>
  <c r="M148" i="33" s="1"/>
  <c r="S147" i="33"/>
  <c r="M147" i="33"/>
  <c r="T146" i="33"/>
  <c r="S146" i="33" s="1"/>
  <c r="M146" i="33"/>
  <c r="S145" i="33"/>
  <c r="M145" i="33"/>
  <c r="S144" i="33"/>
  <c r="M144" i="33"/>
  <c r="S143" i="33"/>
  <c r="M143" i="33"/>
  <c r="S142" i="33"/>
  <c r="M142" i="33"/>
  <c r="S141" i="33"/>
  <c r="M141" i="33"/>
  <c r="S140" i="33"/>
  <c r="M140" i="33"/>
  <c r="S139" i="33"/>
  <c r="M139" i="33"/>
  <c r="S138" i="33"/>
  <c r="M138" i="33"/>
  <c r="S136" i="33"/>
  <c r="M136" i="33"/>
  <c r="S135" i="33"/>
  <c r="M135" i="33"/>
  <c r="S134" i="33"/>
  <c r="M134" i="33"/>
  <c r="S133" i="33"/>
  <c r="M133" i="33"/>
  <c r="S132" i="33"/>
  <c r="M132" i="33"/>
  <c r="T131" i="33"/>
  <c r="S131" i="33"/>
  <c r="M131" i="33"/>
  <c r="S130" i="33"/>
  <c r="M130" i="33"/>
  <c r="S129" i="33"/>
  <c r="M129" i="33"/>
  <c r="S128" i="33"/>
  <c r="M128" i="33"/>
  <c r="T127" i="33"/>
  <c r="S127" i="33" s="1"/>
  <c r="N127" i="33"/>
  <c r="M127" i="33" s="1"/>
  <c r="S126" i="33"/>
  <c r="M126" i="33"/>
  <c r="S125" i="33"/>
  <c r="M125" i="33"/>
  <c r="S124" i="33"/>
  <c r="M124" i="33"/>
  <c r="S123" i="33"/>
  <c r="M123" i="33"/>
  <c r="S122" i="33"/>
  <c r="M122" i="33"/>
  <c r="S121" i="33"/>
  <c r="T120" i="33"/>
  <c r="S120" i="33"/>
  <c r="N120" i="33"/>
  <c r="M120" i="33"/>
  <c r="S119" i="33"/>
  <c r="M119" i="33"/>
  <c r="T118" i="33"/>
  <c r="S118" i="33"/>
  <c r="N118" i="33"/>
  <c r="M118" i="33"/>
  <c r="S117" i="33"/>
  <c r="M117" i="33"/>
  <c r="S116" i="33"/>
  <c r="M116" i="33"/>
  <c r="S115" i="33"/>
  <c r="M115" i="33"/>
  <c r="T114" i="33"/>
  <c r="S114" i="33"/>
  <c r="N114" i="33"/>
  <c r="M114" i="33"/>
  <c r="S113" i="33"/>
  <c r="M113" i="33"/>
  <c r="T112" i="33"/>
  <c r="S112" i="33"/>
  <c r="N112" i="33"/>
  <c r="M112" i="33"/>
  <c r="S111" i="33"/>
  <c r="M111" i="33"/>
  <c r="S110" i="33"/>
  <c r="N110" i="33"/>
  <c r="M110" i="33" s="1"/>
  <c r="S109" i="33"/>
  <c r="M109" i="33"/>
  <c r="T108" i="33"/>
  <c r="S108" i="33" s="1"/>
  <c r="N108" i="33"/>
  <c r="M108" i="33" s="1"/>
  <c r="S107" i="33"/>
  <c r="M107" i="33"/>
  <c r="S106" i="33"/>
  <c r="N106" i="33"/>
  <c r="M106" i="33"/>
  <c r="S105" i="33"/>
  <c r="M105" i="33"/>
  <c r="S103" i="33"/>
  <c r="M103" i="33"/>
  <c r="S102" i="33"/>
  <c r="M102" i="33"/>
  <c r="S101" i="33"/>
  <c r="M101" i="33"/>
  <c r="S100" i="33"/>
  <c r="N100" i="33"/>
  <c r="M100" i="33" s="1"/>
  <c r="S99" i="33"/>
  <c r="M99" i="33"/>
  <c r="S98" i="33"/>
  <c r="S97" i="33"/>
  <c r="M97" i="33"/>
  <c r="S95" i="33"/>
  <c r="M95" i="33"/>
  <c r="S94" i="33"/>
  <c r="M94" i="33"/>
  <c r="S93" i="33"/>
  <c r="M93" i="33"/>
  <c r="S92" i="33"/>
  <c r="M92" i="33"/>
  <c r="S91" i="33"/>
  <c r="M91" i="33"/>
  <c r="S90" i="33"/>
  <c r="M90" i="33"/>
  <c r="S89" i="33"/>
  <c r="M89" i="33"/>
  <c r="S88" i="33"/>
  <c r="M88" i="33"/>
  <c r="S87" i="33"/>
  <c r="M87" i="33"/>
  <c r="S86" i="33"/>
  <c r="M86" i="33"/>
  <c r="S85" i="33"/>
  <c r="M85" i="33"/>
  <c r="S84" i="33"/>
  <c r="N84" i="33"/>
  <c r="M84" i="33" s="1"/>
  <c r="S83" i="33"/>
  <c r="M83" i="33"/>
  <c r="S82" i="33"/>
  <c r="M82" i="33"/>
  <c r="S81" i="33"/>
  <c r="M81" i="33"/>
  <c r="S80" i="33"/>
  <c r="M80" i="33"/>
  <c r="S79" i="33"/>
  <c r="M79" i="33"/>
  <c r="S78" i="33"/>
  <c r="S77" i="33"/>
  <c r="M77" i="33"/>
  <c r="S76" i="33"/>
  <c r="M76" i="33"/>
  <c r="S75" i="33"/>
  <c r="M75" i="33"/>
  <c r="S74" i="33"/>
  <c r="M74" i="33"/>
  <c r="S73" i="33"/>
  <c r="M73" i="33"/>
  <c r="S72" i="33"/>
  <c r="N72" i="33"/>
  <c r="M72" i="33" s="1"/>
  <c r="S71" i="33"/>
  <c r="M71" i="33"/>
  <c r="S70" i="33"/>
  <c r="M70" i="33"/>
  <c r="S69" i="33"/>
  <c r="M69" i="33"/>
  <c r="S68" i="33"/>
  <c r="N68" i="33"/>
  <c r="M68" i="33"/>
  <c r="S67" i="33"/>
  <c r="M67" i="33"/>
  <c r="S66" i="33"/>
  <c r="M66" i="33"/>
  <c r="S65" i="33"/>
  <c r="M65" i="33"/>
  <c r="S64" i="33"/>
  <c r="M64" i="33"/>
  <c r="S63" i="33"/>
  <c r="M63" i="33"/>
  <c r="S62" i="33"/>
  <c r="M62" i="33"/>
  <c r="S61" i="33"/>
  <c r="M61" i="33"/>
  <c r="T60" i="33"/>
  <c r="S60" i="33"/>
  <c r="N60" i="33"/>
  <c r="M60" i="33"/>
  <c r="S59" i="33"/>
  <c r="M59" i="33"/>
  <c r="S58" i="33"/>
  <c r="M58" i="33"/>
  <c r="S57" i="33"/>
  <c r="M57" i="33"/>
  <c r="T56" i="33"/>
  <c r="S56" i="33"/>
  <c r="N56" i="33"/>
  <c r="M56" i="33"/>
  <c r="S55" i="33"/>
  <c r="M55" i="33"/>
  <c r="S54" i="33"/>
  <c r="N54" i="33"/>
  <c r="S53" i="33"/>
  <c r="M53" i="33"/>
  <c r="S52" i="33"/>
  <c r="M52" i="33"/>
  <c r="S51" i="33"/>
  <c r="M51" i="33"/>
  <c r="S50" i="33"/>
  <c r="M50" i="33"/>
  <c r="S49" i="33"/>
  <c r="M49" i="33"/>
  <c r="S48" i="33"/>
  <c r="N48" i="33"/>
  <c r="M48" i="33"/>
  <c r="S47" i="33"/>
  <c r="M47" i="33"/>
  <c r="S46" i="33"/>
  <c r="M46" i="33"/>
  <c r="S45" i="33"/>
  <c r="M45" i="33"/>
  <c r="S44" i="33"/>
  <c r="M44" i="33"/>
  <c r="S43" i="33"/>
  <c r="M43" i="33"/>
  <c r="S42" i="33"/>
  <c r="M42" i="33"/>
  <c r="S41" i="33"/>
  <c r="M41" i="33"/>
  <c r="S40" i="33"/>
  <c r="M40" i="33"/>
  <c r="S39" i="33"/>
  <c r="M39" i="33"/>
  <c r="T38" i="33"/>
  <c r="S38" i="33"/>
  <c r="N38" i="33"/>
  <c r="M38" i="33"/>
  <c r="S37" i="33"/>
  <c r="M37" i="33"/>
  <c r="S36" i="33"/>
  <c r="M36" i="33"/>
  <c r="S35" i="33"/>
  <c r="M35" i="33"/>
  <c r="S33" i="33"/>
  <c r="M33" i="33"/>
  <c r="S32" i="33"/>
  <c r="M32" i="33"/>
  <c r="S31" i="33"/>
  <c r="M31" i="33"/>
  <c r="T30" i="33"/>
  <c r="S30" i="33"/>
  <c r="N30" i="33"/>
  <c r="M30" i="33"/>
  <c r="S29" i="33"/>
  <c r="M29" i="33"/>
  <c r="T28" i="33"/>
  <c r="S28" i="33"/>
  <c r="N28" i="33"/>
  <c r="M28" i="33"/>
  <c r="S27" i="33"/>
  <c r="M27" i="33"/>
  <c r="T26" i="33"/>
  <c r="S26" i="33"/>
  <c r="M26" i="33"/>
  <c r="S25" i="33"/>
  <c r="M25" i="33"/>
  <c r="S24" i="33"/>
  <c r="M24" i="33"/>
  <c r="S23" i="33"/>
  <c r="M23" i="33"/>
  <c r="T22" i="33"/>
  <c r="S22" i="33" s="1"/>
  <c r="M22" i="33"/>
  <c r="S21" i="33"/>
  <c r="M21" i="33"/>
  <c r="S20" i="33"/>
  <c r="M20" i="33"/>
  <c r="S19" i="33"/>
  <c r="M19" i="33"/>
  <c r="T18" i="33"/>
  <c r="S18" i="33"/>
  <c r="N18" i="33"/>
  <c r="M295" i="33" s="1"/>
  <c r="M18" i="33"/>
  <c r="S17" i="33"/>
  <c r="M17" i="33"/>
  <c r="T16" i="33"/>
  <c r="S16" i="33"/>
  <c r="M16" i="33"/>
  <c r="S15" i="33"/>
  <c r="M15" i="33"/>
  <c r="T14" i="33"/>
  <c r="M14" i="33"/>
  <c r="S13" i="33"/>
  <c r="M13" i="33"/>
  <c r="S12" i="33"/>
  <c r="M12" i="33"/>
  <c r="S11" i="33"/>
  <c r="M11" i="33"/>
  <c r="S10" i="33"/>
  <c r="M10" i="33"/>
  <c r="L296" i="33" s="1"/>
  <c r="S9" i="33"/>
  <c r="M9" i="33"/>
  <c r="G297" i="32"/>
  <c r="T296" i="32"/>
  <c r="T297" i="32" s="1"/>
  <c r="S296" i="32"/>
  <c r="U296" i="32" s="1"/>
  <c r="Q296" i="32"/>
  <c r="Q297" i="32" s="1"/>
  <c r="P296" i="32"/>
  <c r="O296" i="32"/>
  <c r="O297" i="32" s="1"/>
  <c r="N296" i="32"/>
  <c r="M296" i="32"/>
  <c r="K296" i="32"/>
  <c r="J296" i="32"/>
  <c r="J297" i="32" s="1"/>
  <c r="I296" i="32"/>
  <c r="I297" i="32" s="1"/>
  <c r="H296" i="32"/>
  <c r="H297" i="32" s="1"/>
  <c r="G296" i="32"/>
  <c r="T295" i="32"/>
  <c r="Q295" i="32"/>
  <c r="P295" i="32"/>
  <c r="O295" i="32"/>
  <c r="N295" i="32"/>
  <c r="K295" i="32"/>
  <c r="K297" i="32" s="1"/>
  <c r="J295" i="32"/>
  <c r="I295" i="32"/>
  <c r="H295" i="32"/>
  <c r="V294" i="32"/>
  <c r="T294" i="32"/>
  <c r="S294" i="32"/>
  <c r="U294" i="32" s="1"/>
  <c r="Q294" i="32"/>
  <c r="P294" i="32"/>
  <c r="O294" i="32"/>
  <c r="N294" i="32"/>
  <c r="M294" i="32"/>
  <c r="K294" i="32"/>
  <c r="J294" i="32"/>
  <c r="I294" i="32"/>
  <c r="H294" i="32"/>
  <c r="G294" i="32"/>
  <c r="U288" i="32"/>
  <c r="R288" i="32"/>
  <c r="Q288" i="32"/>
  <c r="P288" i="32"/>
  <c r="O288" i="32"/>
  <c r="L288" i="32"/>
  <c r="K288" i="32"/>
  <c r="J288" i="32"/>
  <c r="I288" i="32"/>
  <c r="H288" i="32"/>
  <c r="M287" i="32"/>
  <c r="S286" i="32"/>
  <c r="M286" i="32"/>
  <c r="S285" i="32"/>
  <c r="M285" i="32"/>
  <c r="S284" i="32"/>
  <c r="M284" i="32"/>
  <c r="T283" i="32"/>
  <c r="S283" i="32"/>
  <c r="N283" i="32"/>
  <c r="M283" i="32"/>
  <c r="S282" i="32"/>
  <c r="M282" i="32"/>
  <c r="M281" i="32"/>
  <c r="S280" i="32"/>
  <c r="M280" i="32"/>
  <c r="S279" i="32"/>
  <c r="M279" i="32"/>
  <c r="S278" i="32"/>
  <c r="M278" i="32"/>
  <c r="S277" i="32"/>
  <c r="N277" i="32"/>
  <c r="M277" i="32"/>
  <c r="S276" i="32"/>
  <c r="M276" i="32"/>
  <c r="S275" i="32"/>
  <c r="M275" i="32"/>
  <c r="S274" i="32"/>
  <c r="M274" i="32"/>
  <c r="S273" i="32"/>
  <c r="M273" i="32"/>
  <c r="S272" i="32"/>
  <c r="M272" i="32"/>
  <c r="T271" i="32"/>
  <c r="S271" i="32"/>
  <c r="N271" i="32"/>
  <c r="M271" i="32"/>
  <c r="S270" i="32"/>
  <c r="M270" i="32"/>
  <c r="T269" i="32"/>
  <c r="S269" i="32"/>
  <c r="M269" i="32"/>
  <c r="S268" i="32"/>
  <c r="M268" i="32"/>
  <c r="T267" i="32"/>
  <c r="S267" i="32" s="1"/>
  <c r="N267" i="32"/>
  <c r="M267" i="32" s="1"/>
  <c r="S266" i="32"/>
  <c r="M266" i="32"/>
  <c r="T265" i="32"/>
  <c r="S265" i="32" s="1"/>
  <c r="M265" i="32"/>
  <c r="S264" i="32"/>
  <c r="M264" i="32"/>
  <c r="S263" i="32"/>
  <c r="N263" i="32"/>
  <c r="M263" i="32" s="1"/>
  <c r="S262" i="32"/>
  <c r="M262" i="32"/>
  <c r="T261" i="32"/>
  <c r="S261" i="32" s="1"/>
  <c r="M261" i="32"/>
  <c r="S260" i="32"/>
  <c r="M260" i="32"/>
  <c r="S259" i="32"/>
  <c r="N259" i="32"/>
  <c r="M259" i="32" s="1"/>
  <c r="S258" i="32"/>
  <c r="M258" i="32"/>
  <c r="S257" i="32"/>
  <c r="M257" i="32"/>
  <c r="S256" i="32"/>
  <c r="M256" i="32"/>
  <c r="S255" i="32"/>
  <c r="M255" i="32"/>
  <c r="S254" i="32"/>
  <c r="M254" i="32"/>
  <c r="S252" i="32"/>
  <c r="M252" i="32"/>
  <c r="S251" i="32"/>
  <c r="M251" i="32"/>
  <c r="S250" i="32"/>
  <c r="M250" i="32"/>
  <c r="T249" i="32"/>
  <c r="S249" i="32" s="1"/>
  <c r="M249" i="32"/>
  <c r="S248" i="32"/>
  <c r="M248" i="32"/>
  <c r="T247" i="32"/>
  <c r="S247" i="32"/>
  <c r="N247" i="32"/>
  <c r="M247" i="32"/>
  <c r="S246" i="32"/>
  <c r="M246" i="32"/>
  <c r="S245" i="32"/>
  <c r="M245" i="32"/>
  <c r="S244" i="32"/>
  <c r="M244" i="32"/>
  <c r="T243" i="32"/>
  <c r="S243" i="32"/>
  <c r="N243" i="32"/>
  <c r="M243" i="32"/>
  <c r="S242" i="32"/>
  <c r="M242" i="32"/>
  <c r="T241" i="32"/>
  <c r="S241" i="32"/>
  <c r="M241" i="32"/>
  <c r="S240" i="32"/>
  <c r="M240" i="32"/>
  <c r="T239" i="32"/>
  <c r="S239" i="32" s="1"/>
  <c r="M239" i="32"/>
  <c r="S238" i="32"/>
  <c r="M238" i="32"/>
  <c r="S237" i="32"/>
  <c r="N237" i="32"/>
  <c r="M237" i="32" s="1"/>
  <c r="S236" i="32"/>
  <c r="M236" i="32"/>
  <c r="S235" i="32"/>
  <c r="M235" i="32"/>
  <c r="S234" i="32"/>
  <c r="M234" i="32"/>
  <c r="S231" i="32"/>
  <c r="M231" i="32"/>
  <c r="S230" i="32"/>
  <c r="M230" i="32"/>
  <c r="S229" i="32"/>
  <c r="M229" i="32"/>
  <c r="S228" i="32"/>
  <c r="M228" i="32"/>
  <c r="M227" i="32"/>
  <c r="S226" i="32"/>
  <c r="M226" i="32"/>
  <c r="S225" i="32"/>
  <c r="M225" i="32"/>
  <c r="S224" i="32"/>
  <c r="M224" i="32"/>
  <c r="S223" i="32"/>
  <c r="M223" i="32"/>
  <c r="S222" i="32"/>
  <c r="M222" i="32"/>
  <c r="T221" i="32"/>
  <c r="S221" i="32"/>
  <c r="N221" i="32"/>
  <c r="M221" i="32"/>
  <c r="S220" i="32"/>
  <c r="M220" i="32"/>
  <c r="S219" i="32"/>
  <c r="M219" i="32"/>
  <c r="S218" i="32"/>
  <c r="M218" i="32"/>
  <c r="T217" i="32"/>
  <c r="S217" i="32"/>
  <c r="M217" i="32"/>
  <c r="S216" i="32"/>
  <c r="M216" i="32"/>
  <c r="T215" i="32"/>
  <c r="S215" i="32" s="1"/>
  <c r="N215" i="32"/>
  <c r="M215" i="32" s="1"/>
  <c r="S214" i="32"/>
  <c r="M214" i="32"/>
  <c r="S213" i="32"/>
  <c r="M213" i="32"/>
  <c r="S212" i="32"/>
  <c r="M212" i="32"/>
  <c r="S211" i="32"/>
  <c r="M211" i="32"/>
  <c r="S210" i="32"/>
  <c r="M210" i="32"/>
  <c r="M209" i="32"/>
  <c r="S208" i="32"/>
  <c r="M208" i="32"/>
  <c r="T207" i="32"/>
  <c r="S207" i="32"/>
  <c r="M207" i="32"/>
  <c r="S206" i="32"/>
  <c r="M206" i="32"/>
  <c r="S205" i="32"/>
  <c r="M205" i="32"/>
  <c r="S204" i="32"/>
  <c r="M204" i="32"/>
  <c r="S203" i="32"/>
  <c r="M203" i="32"/>
  <c r="S202" i="32"/>
  <c r="M202" i="32"/>
  <c r="S201" i="32"/>
  <c r="M201" i="32"/>
  <c r="T200" i="32"/>
  <c r="S200" i="32" s="1"/>
  <c r="N200" i="32"/>
  <c r="M200" i="32" s="1"/>
  <c r="S199" i="32"/>
  <c r="M199" i="32"/>
  <c r="S198" i="32"/>
  <c r="N198" i="32"/>
  <c r="M198" i="32"/>
  <c r="S197" i="32"/>
  <c r="M197" i="32"/>
  <c r="S196" i="32"/>
  <c r="M196" i="32"/>
  <c r="S195" i="32"/>
  <c r="M195" i="32"/>
  <c r="S194" i="32"/>
  <c r="M194" i="32"/>
  <c r="S193" i="32"/>
  <c r="M193" i="32"/>
  <c r="S192" i="32"/>
  <c r="M192" i="32"/>
  <c r="S191" i="32"/>
  <c r="M191" i="32"/>
  <c r="T190" i="32"/>
  <c r="S190" i="32"/>
  <c r="N190" i="32"/>
  <c r="M190" i="32"/>
  <c r="S189" i="32"/>
  <c r="M189" i="32"/>
  <c r="M188" i="32"/>
  <c r="S187" i="32"/>
  <c r="M187" i="32"/>
  <c r="S186" i="32"/>
  <c r="N186" i="32"/>
  <c r="M186" i="32"/>
  <c r="S185" i="32"/>
  <c r="M185" i="32"/>
  <c r="T184" i="32"/>
  <c r="S184" i="32"/>
  <c r="M184" i="32"/>
  <c r="S183" i="32"/>
  <c r="M183" i="32"/>
  <c r="T182" i="32"/>
  <c r="S182" i="32" s="1"/>
  <c r="M182" i="32"/>
  <c r="S181" i="32"/>
  <c r="M181" i="32"/>
  <c r="T180" i="32"/>
  <c r="S180" i="32" s="1"/>
  <c r="N180" i="32"/>
  <c r="M180" i="32" s="1"/>
  <c r="S179" i="32"/>
  <c r="M179" i="32"/>
  <c r="S178" i="32"/>
  <c r="M178" i="32"/>
  <c r="S177" i="32"/>
  <c r="M177" i="32"/>
  <c r="S176" i="32"/>
  <c r="M176" i="32"/>
  <c r="S175" i="32"/>
  <c r="M175" i="32"/>
  <c r="S174" i="32"/>
  <c r="M174" i="32"/>
  <c r="S173" i="32"/>
  <c r="M173" i="32"/>
  <c r="S172" i="32"/>
  <c r="M172" i="32"/>
  <c r="S171" i="32"/>
  <c r="M171" i="32"/>
  <c r="T170" i="32"/>
  <c r="S170" i="32" s="1"/>
  <c r="N170" i="32"/>
  <c r="M170" i="32" s="1"/>
  <c r="S169" i="32"/>
  <c r="M169" i="32"/>
  <c r="T168" i="32"/>
  <c r="S168" i="32" s="1"/>
  <c r="N168" i="32"/>
  <c r="M168" i="32" s="1"/>
  <c r="S167" i="32"/>
  <c r="M167" i="32"/>
  <c r="T166" i="32"/>
  <c r="S166" i="32" s="1"/>
  <c r="N166" i="32"/>
  <c r="M166" i="32" s="1"/>
  <c r="S165" i="32"/>
  <c r="M165" i="32"/>
  <c r="T164" i="32"/>
  <c r="S164" i="32" s="1"/>
  <c r="N164" i="32"/>
  <c r="M164" i="32" s="1"/>
  <c r="S163" i="32"/>
  <c r="M163" i="32"/>
  <c r="S162" i="32"/>
  <c r="M162" i="32"/>
  <c r="T161" i="32"/>
  <c r="S161" i="32" s="1"/>
  <c r="N161" i="32"/>
  <c r="M161" i="32" s="1"/>
  <c r="S160" i="32"/>
  <c r="M160" i="32"/>
  <c r="S159" i="32"/>
  <c r="M159" i="32"/>
  <c r="S158" i="32"/>
  <c r="M158" i="32"/>
  <c r="S157" i="32"/>
  <c r="M157" i="32"/>
  <c r="T156" i="32"/>
  <c r="S156" i="32" s="1"/>
  <c r="N156" i="32"/>
  <c r="M156" i="32" s="1"/>
  <c r="S155" i="32"/>
  <c r="M155" i="32"/>
  <c r="S153" i="32"/>
  <c r="M153" i="32"/>
  <c r="S152" i="32"/>
  <c r="M152" i="32"/>
  <c r="S151" i="32"/>
  <c r="M151" i="32"/>
  <c r="T150" i="32"/>
  <c r="S150" i="32" s="1"/>
  <c r="N150" i="32"/>
  <c r="M150" i="32" s="1"/>
  <c r="S149" i="32"/>
  <c r="M149" i="32"/>
  <c r="T148" i="32"/>
  <c r="S148" i="32" s="1"/>
  <c r="N148" i="32"/>
  <c r="M148" i="32" s="1"/>
  <c r="S147" i="32"/>
  <c r="M147" i="32"/>
  <c r="T146" i="32"/>
  <c r="S146" i="32" s="1"/>
  <c r="M146" i="32"/>
  <c r="S145" i="32"/>
  <c r="M145" i="32"/>
  <c r="S144" i="32"/>
  <c r="M144" i="32"/>
  <c r="S143" i="32"/>
  <c r="M143" i="32"/>
  <c r="S142" i="32"/>
  <c r="M142" i="32"/>
  <c r="S141" i="32"/>
  <c r="M141" i="32"/>
  <c r="S140" i="32"/>
  <c r="M140" i="32"/>
  <c r="S139" i="32"/>
  <c r="M139" i="32"/>
  <c r="S138" i="32"/>
  <c r="M138" i="32"/>
  <c r="S136" i="32"/>
  <c r="M136" i="32"/>
  <c r="S135" i="32"/>
  <c r="M135" i="32"/>
  <c r="S134" i="32"/>
  <c r="M134" i="32"/>
  <c r="S133" i="32"/>
  <c r="M133" i="32"/>
  <c r="S132" i="32"/>
  <c r="M132" i="32"/>
  <c r="T131" i="32"/>
  <c r="S131" i="32"/>
  <c r="M131" i="32"/>
  <c r="S130" i="32"/>
  <c r="M130" i="32"/>
  <c r="S129" i="32"/>
  <c r="M129" i="32"/>
  <c r="S128" i="32"/>
  <c r="M128" i="32"/>
  <c r="T127" i="32"/>
  <c r="S127" i="32" s="1"/>
  <c r="N127" i="32"/>
  <c r="M127" i="32" s="1"/>
  <c r="S126" i="32"/>
  <c r="M126" i="32"/>
  <c r="S125" i="32"/>
  <c r="M125" i="32"/>
  <c r="S124" i="32"/>
  <c r="M124" i="32"/>
  <c r="S123" i="32"/>
  <c r="M123" i="32"/>
  <c r="S122" i="32"/>
  <c r="M122" i="32"/>
  <c r="S121" i="32"/>
  <c r="T120" i="32"/>
  <c r="S120" i="32"/>
  <c r="N120" i="32"/>
  <c r="M120" i="32"/>
  <c r="S119" i="32"/>
  <c r="M119" i="32"/>
  <c r="T118" i="32"/>
  <c r="S118" i="32"/>
  <c r="N118" i="32"/>
  <c r="M118" i="32"/>
  <c r="S117" i="32"/>
  <c r="M117" i="32"/>
  <c r="S116" i="32"/>
  <c r="M116" i="32"/>
  <c r="S115" i="32"/>
  <c r="M115" i="32"/>
  <c r="T114" i="32"/>
  <c r="S114" i="32"/>
  <c r="N114" i="32"/>
  <c r="M114" i="32"/>
  <c r="S113" i="32"/>
  <c r="M113" i="32"/>
  <c r="T112" i="32"/>
  <c r="S112" i="32"/>
  <c r="N112" i="32"/>
  <c r="M112" i="32"/>
  <c r="S111" i="32"/>
  <c r="M111" i="32"/>
  <c r="S110" i="32"/>
  <c r="N110" i="32"/>
  <c r="M110" i="32" s="1"/>
  <c r="S109" i="32"/>
  <c r="M109" i="32"/>
  <c r="T108" i="32"/>
  <c r="S108" i="32" s="1"/>
  <c r="N108" i="32"/>
  <c r="M108" i="32" s="1"/>
  <c r="S107" i="32"/>
  <c r="M107" i="32"/>
  <c r="S106" i="32"/>
  <c r="N106" i="32"/>
  <c r="M106" i="32"/>
  <c r="S105" i="32"/>
  <c r="M105" i="32"/>
  <c r="S103" i="32"/>
  <c r="M103" i="32"/>
  <c r="S102" i="32"/>
  <c r="M102" i="32"/>
  <c r="S101" i="32"/>
  <c r="M101" i="32"/>
  <c r="S100" i="32"/>
  <c r="N100" i="32"/>
  <c r="M100" i="32" s="1"/>
  <c r="S99" i="32"/>
  <c r="M99" i="32"/>
  <c r="S98" i="32"/>
  <c r="S97" i="32"/>
  <c r="M97" i="32"/>
  <c r="S95" i="32"/>
  <c r="M95" i="32"/>
  <c r="S94" i="32"/>
  <c r="M94" i="32"/>
  <c r="S93" i="32"/>
  <c r="M93" i="32"/>
  <c r="S92" i="32"/>
  <c r="M92" i="32"/>
  <c r="S91" i="32"/>
  <c r="M91" i="32"/>
  <c r="S90" i="32"/>
  <c r="M90" i="32"/>
  <c r="S89" i="32"/>
  <c r="M89" i="32"/>
  <c r="S88" i="32"/>
  <c r="M88" i="32"/>
  <c r="S87" i="32"/>
  <c r="M87" i="32"/>
  <c r="S86" i="32"/>
  <c r="M86" i="32"/>
  <c r="S85" i="32"/>
  <c r="M85" i="32"/>
  <c r="S84" i="32"/>
  <c r="N84" i="32"/>
  <c r="M84" i="32" s="1"/>
  <c r="S83" i="32"/>
  <c r="M83" i="32"/>
  <c r="S82" i="32"/>
  <c r="M82" i="32"/>
  <c r="S81" i="32"/>
  <c r="M81" i="32"/>
  <c r="S80" i="32"/>
  <c r="M80" i="32"/>
  <c r="S79" i="32"/>
  <c r="M79" i="32"/>
  <c r="S78" i="32"/>
  <c r="S77" i="32"/>
  <c r="M77" i="32"/>
  <c r="S76" i="32"/>
  <c r="M76" i="32"/>
  <c r="S75" i="32"/>
  <c r="M75" i="32"/>
  <c r="S74" i="32"/>
  <c r="M74" i="32"/>
  <c r="S73" i="32"/>
  <c r="M73" i="32"/>
  <c r="S72" i="32"/>
  <c r="N72" i="32"/>
  <c r="M72" i="32" s="1"/>
  <c r="S71" i="32"/>
  <c r="M71" i="32"/>
  <c r="S70" i="32"/>
  <c r="M70" i="32"/>
  <c r="S69" i="32"/>
  <c r="M69" i="32"/>
  <c r="S68" i="32"/>
  <c r="N68" i="32"/>
  <c r="M68" i="32"/>
  <c r="S67" i="32"/>
  <c r="M67" i="32"/>
  <c r="S66" i="32"/>
  <c r="M66" i="32"/>
  <c r="S65" i="32"/>
  <c r="M65" i="32"/>
  <c r="S64" i="32"/>
  <c r="M64" i="32"/>
  <c r="S63" i="32"/>
  <c r="M63" i="32"/>
  <c r="S62" i="32"/>
  <c r="M62" i="32"/>
  <c r="S61" i="32"/>
  <c r="M61" i="32"/>
  <c r="T60" i="32"/>
  <c r="S60" i="32"/>
  <c r="N60" i="32"/>
  <c r="M60" i="32"/>
  <c r="S59" i="32"/>
  <c r="M59" i="32"/>
  <c r="S58" i="32"/>
  <c r="M58" i="32"/>
  <c r="S57" i="32"/>
  <c r="M57" i="32"/>
  <c r="T56" i="32"/>
  <c r="S56" i="32"/>
  <c r="N56" i="32"/>
  <c r="M56" i="32"/>
  <c r="S55" i="32"/>
  <c r="M55" i="32"/>
  <c r="S54" i="32"/>
  <c r="N54" i="32"/>
  <c r="M54" i="32" s="1"/>
  <c r="S53" i="32"/>
  <c r="M53" i="32"/>
  <c r="S52" i="32"/>
  <c r="M52" i="32"/>
  <c r="S51" i="32"/>
  <c r="M51" i="32"/>
  <c r="S50" i="32"/>
  <c r="M50" i="32"/>
  <c r="S49" i="32"/>
  <c r="M49" i="32"/>
  <c r="S48" i="32"/>
  <c r="N48" i="32"/>
  <c r="M48" i="32"/>
  <c r="S47" i="32"/>
  <c r="M47" i="32"/>
  <c r="S46" i="32"/>
  <c r="M46" i="32"/>
  <c r="S45" i="32"/>
  <c r="M45" i="32"/>
  <c r="S44" i="32"/>
  <c r="M44" i="32"/>
  <c r="S43" i="32"/>
  <c r="M43" i="32"/>
  <c r="S42" i="32"/>
  <c r="M42" i="32"/>
  <c r="S41" i="32"/>
  <c r="M41" i="32"/>
  <c r="S40" i="32"/>
  <c r="M40" i="32"/>
  <c r="S39" i="32"/>
  <c r="M39" i="32"/>
  <c r="T38" i="32"/>
  <c r="S38" i="32"/>
  <c r="N38" i="32"/>
  <c r="M38" i="32"/>
  <c r="S37" i="32"/>
  <c r="M37" i="32"/>
  <c r="S36" i="32"/>
  <c r="M36" i="32"/>
  <c r="S35" i="32"/>
  <c r="M35" i="32"/>
  <c r="S33" i="32"/>
  <c r="M33" i="32"/>
  <c r="S32" i="32"/>
  <c r="M32" i="32"/>
  <c r="S31" i="32"/>
  <c r="M31" i="32"/>
  <c r="T30" i="32"/>
  <c r="S30" i="32"/>
  <c r="N30" i="32"/>
  <c r="M30" i="32"/>
  <c r="S29" i="32"/>
  <c r="M29" i="32"/>
  <c r="T28" i="32"/>
  <c r="S28" i="32"/>
  <c r="N28" i="32"/>
  <c r="M28" i="32"/>
  <c r="S27" i="32"/>
  <c r="M27" i="32"/>
  <c r="T26" i="32"/>
  <c r="S26" i="32"/>
  <c r="M26" i="32"/>
  <c r="S25" i="32"/>
  <c r="M25" i="32"/>
  <c r="S24" i="32"/>
  <c r="M24" i="32"/>
  <c r="S23" i="32"/>
  <c r="M23" i="32"/>
  <c r="T22" i="32"/>
  <c r="S22" i="32" s="1"/>
  <c r="M22" i="32"/>
  <c r="S21" i="32"/>
  <c r="M21" i="32"/>
  <c r="S20" i="32"/>
  <c r="M20" i="32"/>
  <c r="S19" i="32"/>
  <c r="M19" i="32"/>
  <c r="T18" i="32"/>
  <c r="S18" i="32"/>
  <c r="N18" i="32"/>
  <c r="M18" i="32"/>
  <c r="S17" i="32"/>
  <c r="M17" i="32"/>
  <c r="T16" i="32"/>
  <c r="S16" i="32"/>
  <c r="M16" i="32"/>
  <c r="S15" i="32"/>
  <c r="M15" i="32"/>
  <c r="T14" i="32"/>
  <c r="T288" i="32" s="1"/>
  <c r="M14" i="32"/>
  <c r="S13" i="32"/>
  <c r="M13" i="32"/>
  <c r="S12" i="32"/>
  <c r="M12" i="32"/>
  <c r="S11" i="32"/>
  <c r="M11" i="32"/>
  <c r="S10" i="32"/>
  <c r="M10" i="32"/>
  <c r="L296" i="32" s="1"/>
  <c r="S9" i="32"/>
  <c r="R294" i="32" s="1"/>
  <c r="M9" i="32"/>
  <c r="L294" i="32" s="1"/>
  <c r="T296" i="31"/>
  <c r="T297" i="31" s="1"/>
  <c r="S296" i="31"/>
  <c r="Q296" i="31"/>
  <c r="Q297" i="31" s="1"/>
  <c r="P296" i="31"/>
  <c r="P297" i="31" s="1"/>
  <c r="O296" i="31"/>
  <c r="O297" i="31" s="1"/>
  <c r="N296" i="31"/>
  <c r="N297" i="31" s="1"/>
  <c r="M296" i="31"/>
  <c r="K296" i="31"/>
  <c r="K297" i="31" s="1"/>
  <c r="J296" i="31"/>
  <c r="J297" i="31" s="1"/>
  <c r="I296" i="31"/>
  <c r="I297" i="31" s="1"/>
  <c r="H296" i="31"/>
  <c r="H297" i="31" s="1"/>
  <c r="G296" i="31"/>
  <c r="G297" i="31" s="1"/>
  <c r="T295" i="31"/>
  <c r="Q295" i="31"/>
  <c r="P295" i="31"/>
  <c r="O295" i="31"/>
  <c r="N295" i="31"/>
  <c r="K295" i="31"/>
  <c r="J295" i="31"/>
  <c r="I295" i="31"/>
  <c r="H295" i="31"/>
  <c r="T294" i="31"/>
  <c r="S294" i="31"/>
  <c r="U294" i="31" s="1"/>
  <c r="Q294" i="31"/>
  <c r="P294" i="31"/>
  <c r="O294" i="31"/>
  <c r="N294" i="31"/>
  <c r="M294" i="31"/>
  <c r="K294" i="31"/>
  <c r="J294" i="31"/>
  <c r="V294" i="31" s="1"/>
  <c r="I294" i="31"/>
  <c r="H294" i="31"/>
  <c r="G294" i="31"/>
  <c r="U288" i="31"/>
  <c r="R288" i="31"/>
  <c r="Q288" i="31"/>
  <c r="P288" i="31"/>
  <c r="O288" i="31"/>
  <c r="L288" i="31"/>
  <c r="K288" i="31"/>
  <c r="J288" i="31"/>
  <c r="I288" i="31"/>
  <c r="H288" i="31"/>
  <c r="M287" i="31"/>
  <c r="S286" i="31"/>
  <c r="M286" i="31"/>
  <c r="S285" i="31"/>
  <c r="M285" i="31"/>
  <c r="S284" i="31"/>
  <c r="M284" i="31"/>
  <c r="T283" i="31"/>
  <c r="S283" i="31"/>
  <c r="N283" i="31"/>
  <c r="M283" i="31"/>
  <c r="S282" i="31"/>
  <c r="M282" i="31"/>
  <c r="M281" i="31"/>
  <c r="S280" i="31"/>
  <c r="M280" i="31"/>
  <c r="S279" i="31"/>
  <c r="M279" i="31"/>
  <c r="S278" i="31"/>
  <c r="M278" i="31"/>
  <c r="S277" i="31"/>
  <c r="N277" i="31"/>
  <c r="M277" i="31"/>
  <c r="S276" i="31"/>
  <c r="M276" i="31"/>
  <c r="S275" i="31"/>
  <c r="M275" i="31"/>
  <c r="S274" i="31"/>
  <c r="M274" i="31"/>
  <c r="S273" i="31"/>
  <c r="M273" i="31"/>
  <c r="S272" i="31"/>
  <c r="M272" i="31"/>
  <c r="T271" i="31"/>
  <c r="S271" i="31"/>
  <c r="N271" i="31"/>
  <c r="M271" i="31"/>
  <c r="S270" i="31"/>
  <c r="M270" i="31"/>
  <c r="T269" i="31"/>
  <c r="S269" i="31"/>
  <c r="M269" i="31"/>
  <c r="S268" i="31"/>
  <c r="M268" i="31"/>
  <c r="T267" i="31"/>
  <c r="S267" i="31" s="1"/>
  <c r="N267" i="31"/>
  <c r="M267" i="31" s="1"/>
  <c r="S266" i="31"/>
  <c r="M266" i="31"/>
  <c r="T265" i="31"/>
  <c r="S265" i="31" s="1"/>
  <c r="M265" i="31"/>
  <c r="S264" i="31"/>
  <c r="M264" i="31"/>
  <c r="S263" i="31"/>
  <c r="N263" i="31"/>
  <c r="M263" i="31" s="1"/>
  <c r="S262" i="31"/>
  <c r="M262" i="31"/>
  <c r="T261" i="31"/>
  <c r="S261" i="31" s="1"/>
  <c r="M261" i="31"/>
  <c r="S260" i="31"/>
  <c r="M260" i="31"/>
  <c r="S259" i="31"/>
  <c r="N259" i="31"/>
  <c r="M259" i="31" s="1"/>
  <c r="S258" i="31"/>
  <c r="M258" i="31"/>
  <c r="S257" i="31"/>
  <c r="M257" i="31"/>
  <c r="S256" i="31"/>
  <c r="M256" i="31"/>
  <c r="S255" i="31"/>
  <c r="M255" i="31"/>
  <c r="S254" i="31"/>
  <c r="M254" i="31"/>
  <c r="S252" i="31"/>
  <c r="M252" i="31"/>
  <c r="S251" i="31"/>
  <c r="M251" i="31"/>
  <c r="S250" i="31"/>
  <c r="M250" i="31"/>
  <c r="T249" i="31"/>
  <c r="S249" i="31" s="1"/>
  <c r="M249" i="31"/>
  <c r="S248" i="31"/>
  <c r="M248" i="31"/>
  <c r="T247" i="31"/>
  <c r="S247" i="31"/>
  <c r="N247" i="31"/>
  <c r="M247" i="31"/>
  <c r="S246" i="31"/>
  <c r="M246" i="31"/>
  <c r="S245" i="31"/>
  <c r="M245" i="31"/>
  <c r="S244" i="31"/>
  <c r="M244" i="31"/>
  <c r="T243" i="31"/>
  <c r="S243" i="31"/>
  <c r="N243" i="31"/>
  <c r="M243" i="31"/>
  <c r="S242" i="31"/>
  <c r="M242" i="31"/>
  <c r="T241" i="31"/>
  <c r="S241" i="31"/>
  <c r="M241" i="31"/>
  <c r="S240" i="31"/>
  <c r="M240" i="31"/>
  <c r="T239" i="31"/>
  <c r="S239" i="31" s="1"/>
  <c r="M239" i="31"/>
  <c r="S238" i="31"/>
  <c r="M238" i="31"/>
  <c r="S237" i="31"/>
  <c r="N237" i="31"/>
  <c r="M237" i="31" s="1"/>
  <c r="S236" i="31"/>
  <c r="M236" i="31"/>
  <c r="S235" i="31"/>
  <c r="M235" i="31"/>
  <c r="S234" i="31"/>
  <c r="M234" i="31"/>
  <c r="S231" i="31"/>
  <c r="M231" i="31"/>
  <c r="S230" i="31"/>
  <c r="M230" i="31"/>
  <c r="S229" i="31"/>
  <c r="M229" i="31"/>
  <c r="S228" i="31"/>
  <c r="M228" i="31"/>
  <c r="M227" i="31"/>
  <c r="S226" i="31"/>
  <c r="M226" i="31"/>
  <c r="S225" i="31"/>
  <c r="M225" i="31"/>
  <c r="S224" i="31"/>
  <c r="M224" i="31"/>
  <c r="S223" i="31"/>
  <c r="M223" i="31"/>
  <c r="S222" i="31"/>
  <c r="M222" i="31"/>
  <c r="T221" i="31"/>
  <c r="S221" i="31"/>
  <c r="N221" i="31"/>
  <c r="M221" i="31"/>
  <c r="S220" i="31"/>
  <c r="M220" i="31"/>
  <c r="S219" i="31"/>
  <c r="M219" i="31"/>
  <c r="S218" i="31"/>
  <c r="M218" i="31"/>
  <c r="T217" i="31"/>
  <c r="S217" i="31"/>
  <c r="M217" i="31"/>
  <c r="S216" i="31"/>
  <c r="M216" i="31"/>
  <c r="T215" i="31"/>
  <c r="S215" i="31" s="1"/>
  <c r="N215" i="31"/>
  <c r="M215" i="31" s="1"/>
  <c r="S214" i="31"/>
  <c r="M214" i="31"/>
  <c r="S213" i="31"/>
  <c r="M213" i="31"/>
  <c r="S212" i="31"/>
  <c r="M212" i="31"/>
  <c r="S211" i="31"/>
  <c r="M211" i="31"/>
  <c r="S210" i="31"/>
  <c r="M210" i="31"/>
  <c r="M209" i="31"/>
  <c r="S208" i="31"/>
  <c r="M208" i="31"/>
  <c r="T207" i="31"/>
  <c r="S207" i="31"/>
  <c r="M207" i="31"/>
  <c r="S206" i="31"/>
  <c r="M206" i="31"/>
  <c r="S205" i="31"/>
  <c r="M205" i="31"/>
  <c r="S204" i="31"/>
  <c r="M204" i="31"/>
  <c r="S203" i="31"/>
  <c r="M203" i="31"/>
  <c r="S202" i="31"/>
  <c r="M202" i="31"/>
  <c r="S201" i="31"/>
  <c r="M201" i="31"/>
  <c r="T200" i="31"/>
  <c r="S200" i="31" s="1"/>
  <c r="N200" i="31"/>
  <c r="M200" i="31" s="1"/>
  <c r="S199" i="31"/>
  <c r="M199" i="31"/>
  <c r="S198" i="31"/>
  <c r="N198" i="31"/>
  <c r="M198" i="31"/>
  <c r="S197" i="31"/>
  <c r="M197" i="31"/>
  <c r="S196" i="31"/>
  <c r="M196" i="31"/>
  <c r="S195" i="31"/>
  <c r="M195" i="31"/>
  <c r="S194" i="31"/>
  <c r="M194" i="31"/>
  <c r="S193" i="31"/>
  <c r="M193" i="31"/>
  <c r="S192" i="31"/>
  <c r="M192" i="31"/>
  <c r="S191" i="31"/>
  <c r="M191" i="31"/>
  <c r="T190" i="31"/>
  <c r="S190" i="31"/>
  <c r="N190" i="31"/>
  <c r="M190" i="31"/>
  <c r="S189" i="31"/>
  <c r="M189" i="31"/>
  <c r="M188" i="31"/>
  <c r="S187" i="31"/>
  <c r="M187" i="31"/>
  <c r="S186" i="31"/>
  <c r="N186" i="31"/>
  <c r="M186" i="31"/>
  <c r="S185" i="31"/>
  <c r="M185" i="31"/>
  <c r="T184" i="31"/>
  <c r="S184" i="31"/>
  <c r="M184" i="31"/>
  <c r="S183" i="31"/>
  <c r="M183" i="31"/>
  <c r="T182" i="31"/>
  <c r="S182" i="31" s="1"/>
  <c r="M182" i="31"/>
  <c r="S181" i="31"/>
  <c r="M181" i="31"/>
  <c r="T180" i="31"/>
  <c r="S180" i="31"/>
  <c r="N180" i="31"/>
  <c r="M180" i="31"/>
  <c r="S179" i="31"/>
  <c r="M179" i="31"/>
  <c r="S178" i="31"/>
  <c r="M178" i="31"/>
  <c r="S177" i="31"/>
  <c r="M177" i="31"/>
  <c r="S176" i="31"/>
  <c r="M176" i="31"/>
  <c r="S175" i="31"/>
  <c r="M175" i="31"/>
  <c r="S174" i="31"/>
  <c r="M174" i="31"/>
  <c r="S173" i="31"/>
  <c r="M173" i="31"/>
  <c r="S172" i="31"/>
  <c r="M172" i="31"/>
  <c r="S171" i="31"/>
  <c r="M171" i="31"/>
  <c r="T170" i="31"/>
  <c r="S170" i="31"/>
  <c r="N170" i="31"/>
  <c r="M170" i="31"/>
  <c r="S169" i="31"/>
  <c r="M169" i="31"/>
  <c r="T168" i="31"/>
  <c r="S168" i="31"/>
  <c r="N168" i="31"/>
  <c r="M168" i="31"/>
  <c r="S167" i="31"/>
  <c r="M167" i="31"/>
  <c r="T166" i="31"/>
  <c r="S166" i="31"/>
  <c r="N166" i="31"/>
  <c r="M166" i="31"/>
  <c r="S165" i="31"/>
  <c r="M165" i="31"/>
  <c r="T164" i="31"/>
  <c r="S164" i="31"/>
  <c r="N164" i="31"/>
  <c r="M164" i="31"/>
  <c r="S163" i="31"/>
  <c r="M163" i="31"/>
  <c r="S162" i="31"/>
  <c r="M162" i="31"/>
  <c r="T161" i="31"/>
  <c r="S161" i="31"/>
  <c r="N161" i="31"/>
  <c r="M161" i="31"/>
  <c r="S160" i="31"/>
  <c r="M160" i="31"/>
  <c r="S159" i="31"/>
  <c r="M159" i="31"/>
  <c r="S158" i="31"/>
  <c r="M158" i="31"/>
  <c r="S157" i="31"/>
  <c r="M157" i="31"/>
  <c r="T156" i="31"/>
  <c r="S156" i="31"/>
  <c r="N156" i="31"/>
  <c r="M156" i="31"/>
  <c r="S155" i="31"/>
  <c r="M155" i="31"/>
  <c r="S153" i="31"/>
  <c r="M153" i="31"/>
  <c r="S152" i="31"/>
  <c r="M152" i="31"/>
  <c r="S151" i="31"/>
  <c r="M151" i="31"/>
  <c r="T150" i="31"/>
  <c r="S150" i="31"/>
  <c r="N150" i="31"/>
  <c r="M150" i="31"/>
  <c r="S149" i="31"/>
  <c r="M149" i="31"/>
  <c r="T148" i="31"/>
  <c r="S148" i="31"/>
  <c r="N148" i="31"/>
  <c r="M148" i="31"/>
  <c r="S147" i="31"/>
  <c r="M147" i="31"/>
  <c r="T146" i="31"/>
  <c r="S146" i="31"/>
  <c r="M146" i="31"/>
  <c r="S145" i="31"/>
  <c r="M145" i="31"/>
  <c r="S144" i="31"/>
  <c r="M144" i="31"/>
  <c r="S143" i="31"/>
  <c r="M143" i="31"/>
  <c r="S142" i="31"/>
  <c r="M142" i="31"/>
  <c r="S141" i="31"/>
  <c r="M141" i="31"/>
  <c r="S140" i="31"/>
  <c r="M140" i="31"/>
  <c r="S139" i="31"/>
  <c r="M139" i="31"/>
  <c r="S138" i="31"/>
  <c r="M138" i="31"/>
  <c r="S136" i="31"/>
  <c r="M136" i="31"/>
  <c r="S135" i="31"/>
  <c r="M135" i="31"/>
  <c r="S134" i="31"/>
  <c r="M134" i="31"/>
  <c r="S133" i="31"/>
  <c r="M133" i="31"/>
  <c r="S132" i="31"/>
  <c r="M132" i="31"/>
  <c r="T131" i="31"/>
  <c r="S131" i="31" s="1"/>
  <c r="M131" i="31"/>
  <c r="S130" i="31"/>
  <c r="M130" i="31"/>
  <c r="S129" i="31"/>
  <c r="M129" i="31"/>
  <c r="S128" i="31"/>
  <c r="M128" i="31"/>
  <c r="T127" i="31"/>
  <c r="S127" i="31"/>
  <c r="N127" i="31"/>
  <c r="M127" i="31"/>
  <c r="S126" i="31"/>
  <c r="M126" i="31"/>
  <c r="S125" i="31"/>
  <c r="M125" i="31"/>
  <c r="S124" i="31"/>
  <c r="M124" i="31"/>
  <c r="S123" i="31"/>
  <c r="M123" i="31"/>
  <c r="S122" i="31"/>
  <c r="M122" i="31"/>
  <c r="S121" i="31"/>
  <c r="T120" i="31"/>
  <c r="S120" i="31" s="1"/>
  <c r="N120" i="31"/>
  <c r="M120" i="31" s="1"/>
  <c r="S119" i="31"/>
  <c r="M119" i="31"/>
  <c r="T118" i="31"/>
  <c r="S118" i="31" s="1"/>
  <c r="N118" i="31"/>
  <c r="M118" i="31" s="1"/>
  <c r="S117" i="31"/>
  <c r="M117" i="31"/>
  <c r="S116" i="31"/>
  <c r="M116" i="31"/>
  <c r="S115" i="31"/>
  <c r="M115" i="31"/>
  <c r="T114" i="31"/>
  <c r="S114" i="31" s="1"/>
  <c r="N114" i="31"/>
  <c r="M114" i="31" s="1"/>
  <c r="S113" i="31"/>
  <c r="M113" i="31"/>
  <c r="T112" i="31"/>
  <c r="S112" i="31" s="1"/>
  <c r="N112" i="31"/>
  <c r="M112" i="31" s="1"/>
  <c r="S111" i="31"/>
  <c r="M111" i="31"/>
  <c r="S110" i="31"/>
  <c r="N110" i="31"/>
  <c r="M110" i="31"/>
  <c r="S109" i="31"/>
  <c r="M109" i="31"/>
  <c r="T108" i="31"/>
  <c r="S108" i="31"/>
  <c r="N108" i="31"/>
  <c r="M108" i="31"/>
  <c r="S107" i="31"/>
  <c r="M107" i="31"/>
  <c r="S106" i="31"/>
  <c r="N106" i="31"/>
  <c r="M106" i="31" s="1"/>
  <c r="S105" i="31"/>
  <c r="M105" i="31"/>
  <c r="S103" i="31"/>
  <c r="M103" i="31"/>
  <c r="S102" i="31"/>
  <c r="M102" i="31"/>
  <c r="S101" i="31"/>
  <c r="M101" i="31"/>
  <c r="S100" i="31"/>
  <c r="N100" i="31"/>
  <c r="M100" i="31"/>
  <c r="S99" i="31"/>
  <c r="M99" i="31"/>
  <c r="S98" i="31"/>
  <c r="S97" i="31"/>
  <c r="M97" i="31"/>
  <c r="S95" i="31"/>
  <c r="M95" i="31"/>
  <c r="S94" i="31"/>
  <c r="M94" i="31"/>
  <c r="S93" i="31"/>
  <c r="M93" i="31"/>
  <c r="S92" i="31"/>
  <c r="M92" i="31"/>
  <c r="S91" i="31"/>
  <c r="M91" i="31"/>
  <c r="S90" i="31"/>
  <c r="M90" i="31"/>
  <c r="S89" i="31"/>
  <c r="M89" i="31"/>
  <c r="S88" i="31"/>
  <c r="M88" i="31"/>
  <c r="S87" i="31"/>
  <c r="M87" i="31"/>
  <c r="S86" i="31"/>
  <c r="M86" i="31"/>
  <c r="S85" i="31"/>
  <c r="M85" i="31"/>
  <c r="S84" i="31"/>
  <c r="N84" i="31"/>
  <c r="M84" i="31"/>
  <c r="S83" i="31"/>
  <c r="M83" i="31"/>
  <c r="S82" i="31"/>
  <c r="M82" i="31"/>
  <c r="S81" i="31"/>
  <c r="M81" i="31"/>
  <c r="S80" i="31"/>
  <c r="M80" i="31"/>
  <c r="S79" i="31"/>
  <c r="M79" i="31"/>
  <c r="S78" i="31"/>
  <c r="S77" i="31"/>
  <c r="M77" i="31"/>
  <c r="S76" i="31"/>
  <c r="M76" i="31"/>
  <c r="S75" i="31"/>
  <c r="M75" i="31"/>
  <c r="S74" i="31"/>
  <c r="M74" i="31"/>
  <c r="S73" i="31"/>
  <c r="M73" i="31"/>
  <c r="S72" i="31"/>
  <c r="N72" i="31"/>
  <c r="M72" i="31"/>
  <c r="S71" i="31"/>
  <c r="M71" i="31"/>
  <c r="S70" i="31"/>
  <c r="M70" i="31"/>
  <c r="S69" i="31"/>
  <c r="M69" i="31"/>
  <c r="S68" i="31"/>
  <c r="N68" i="31"/>
  <c r="M68" i="31" s="1"/>
  <c r="S67" i="31"/>
  <c r="M67" i="31"/>
  <c r="S66" i="31"/>
  <c r="M66" i="31"/>
  <c r="S65" i="31"/>
  <c r="M65" i="31"/>
  <c r="S64" i="31"/>
  <c r="M64" i="31"/>
  <c r="S63" i="31"/>
  <c r="M63" i="31"/>
  <c r="S62" i="31"/>
  <c r="M62" i="31"/>
  <c r="S61" i="31"/>
  <c r="M61" i="31"/>
  <c r="T60" i="31"/>
  <c r="S60" i="31" s="1"/>
  <c r="N60" i="31"/>
  <c r="M60" i="31" s="1"/>
  <c r="S59" i="31"/>
  <c r="M59" i="31"/>
  <c r="S58" i="31"/>
  <c r="M58" i="31"/>
  <c r="S57" i="31"/>
  <c r="M57" i="31"/>
  <c r="T56" i="31"/>
  <c r="S56" i="31" s="1"/>
  <c r="N56" i="31"/>
  <c r="M56" i="31" s="1"/>
  <c r="S55" i="31"/>
  <c r="M55" i="31"/>
  <c r="S54" i="31"/>
  <c r="N54" i="31"/>
  <c r="M54" i="31"/>
  <c r="S53" i="31"/>
  <c r="M53" i="31"/>
  <c r="S52" i="31"/>
  <c r="M52" i="31"/>
  <c r="S51" i="31"/>
  <c r="M51" i="31"/>
  <c r="S50" i="31"/>
  <c r="M50" i="31"/>
  <c r="S49" i="31"/>
  <c r="M49" i="31"/>
  <c r="S48" i="31"/>
  <c r="N48" i="31"/>
  <c r="M48" i="31" s="1"/>
  <c r="S47" i="31"/>
  <c r="M47" i="31"/>
  <c r="S46" i="31"/>
  <c r="M46" i="31"/>
  <c r="S45" i="31"/>
  <c r="M45" i="31"/>
  <c r="S44" i="31"/>
  <c r="M44" i="31"/>
  <c r="S43" i="31"/>
  <c r="M43" i="31"/>
  <c r="S42" i="31"/>
  <c r="M42" i="31"/>
  <c r="S41" i="31"/>
  <c r="M41" i="31"/>
  <c r="S40" i="31"/>
  <c r="M40" i="31"/>
  <c r="S39" i="31"/>
  <c r="M39" i="31"/>
  <c r="T38" i="31"/>
  <c r="S38" i="31" s="1"/>
  <c r="N38" i="31"/>
  <c r="M38" i="31" s="1"/>
  <c r="S37" i="31"/>
  <c r="M37" i="31"/>
  <c r="S36" i="31"/>
  <c r="M36" i="31"/>
  <c r="S35" i="31"/>
  <c r="M35" i="31"/>
  <c r="S33" i="31"/>
  <c r="M33" i="31"/>
  <c r="S32" i="31"/>
  <c r="M32" i="31"/>
  <c r="S31" i="31"/>
  <c r="M31" i="31"/>
  <c r="T30" i="31"/>
  <c r="S30" i="31" s="1"/>
  <c r="N30" i="31"/>
  <c r="M30" i="31" s="1"/>
  <c r="S29" i="31"/>
  <c r="M29" i="31"/>
  <c r="T28" i="31"/>
  <c r="S28" i="31" s="1"/>
  <c r="N28" i="31"/>
  <c r="M28" i="31" s="1"/>
  <c r="S27" i="31"/>
  <c r="M27" i="31"/>
  <c r="T26" i="31"/>
  <c r="S26" i="31" s="1"/>
  <c r="M26" i="31"/>
  <c r="S25" i="31"/>
  <c r="M25" i="31"/>
  <c r="S24" i="31"/>
  <c r="M24" i="31"/>
  <c r="S23" i="31"/>
  <c r="M23" i="31"/>
  <c r="T22" i="31"/>
  <c r="S22" i="31"/>
  <c r="M22" i="31"/>
  <c r="S21" i="31"/>
  <c r="M21" i="31"/>
  <c r="S20" i="31"/>
  <c r="M20" i="31"/>
  <c r="S19" i="31"/>
  <c r="M19" i="31"/>
  <c r="T18" i="31"/>
  <c r="S18" i="31" s="1"/>
  <c r="N18" i="31"/>
  <c r="N288" i="31" s="1"/>
  <c r="S17" i="31"/>
  <c r="M17" i="31"/>
  <c r="T16" i="31"/>
  <c r="S16" i="31" s="1"/>
  <c r="M16" i="31"/>
  <c r="S15" i="31"/>
  <c r="M15" i="31"/>
  <c r="L294" i="31" s="1"/>
  <c r="T14" i="31"/>
  <c r="T288" i="31" s="1"/>
  <c r="S14" i="31"/>
  <c r="M14" i="31"/>
  <c r="S13" i="31"/>
  <c r="M13" i="31"/>
  <c r="S12" i="31"/>
  <c r="R295" i="31" s="1"/>
  <c r="M12" i="31"/>
  <c r="S11" i="31"/>
  <c r="M11" i="31"/>
  <c r="S10" i="31"/>
  <c r="R296" i="31" s="1"/>
  <c r="M10" i="31"/>
  <c r="L296" i="31" s="1"/>
  <c r="S9" i="31"/>
  <c r="R294" i="31" s="1"/>
  <c r="M9" i="31"/>
  <c r="T296" i="30"/>
  <c r="T297" i="30" s="1"/>
  <c r="S296" i="30"/>
  <c r="Q296" i="30"/>
  <c r="Q297" i="30" s="1"/>
  <c r="P296" i="30"/>
  <c r="P297" i="30" s="1"/>
  <c r="O296" i="30"/>
  <c r="O297" i="30" s="1"/>
  <c r="N296" i="30"/>
  <c r="N297" i="30" s="1"/>
  <c r="M296" i="30"/>
  <c r="K296" i="30"/>
  <c r="K297" i="30" s="1"/>
  <c r="J296" i="30"/>
  <c r="J297" i="30" s="1"/>
  <c r="I296" i="30"/>
  <c r="I297" i="30" s="1"/>
  <c r="H296" i="30"/>
  <c r="H297" i="30" s="1"/>
  <c r="G296" i="30"/>
  <c r="G297" i="30" s="1"/>
  <c r="T295" i="30"/>
  <c r="Q295" i="30"/>
  <c r="P295" i="30"/>
  <c r="O295" i="30"/>
  <c r="N295" i="30"/>
  <c r="K295" i="30"/>
  <c r="J295" i="30"/>
  <c r="I295" i="30"/>
  <c r="H295" i="30"/>
  <c r="G295" i="30"/>
  <c r="T294" i="30"/>
  <c r="S294" i="30"/>
  <c r="U294" i="30" s="1"/>
  <c r="Q294" i="30"/>
  <c r="P294" i="30"/>
  <c r="O294" i="30"/>
  <c r="N294" i="30"/>
  <c r="M294" i="30"/>
  <c r="K294" i="30"/>
  <c r="J294" i="30"/>
  <c r="V294" i="30" s="1"/>
  <c r="I294" i="30"/>
  <c r="H294" i="30"/>
  <c r="G294" i="30"/>
  <c r="U288" i="30"/>
  <c r="R288" i="30"/>
  <c r="Q288" i="30"/>
  <c r="P288" i="30"/>
  <c r="O288" i="30"/>
  <c r="L288" i="30"/>
  <c r="K288" i="30"/>
  <c r="J288" i="30"/>
  <c r="I288" i="30"/>
  <c r="H288" i="30"/>
  <c r="M287" i="30"/>
  <c r="S286" i="30"/>
  <c r="M286" i="30"/>
  <c r="S285" i="30"/>
  <c r="M285" i="30"/>
  <c r="S284" i="30"/>
  <c r="M284" i="30"/>
  <c r="T283" i="30"/>
  <c r="S283" i="30"/>
  <c r="N283" i="30"/>
  <c r="M283" i="30"/>
  <c r="S282" i="30"/>
  <c r="M282" i="30"/>
  <c r="M281" i="30"/>
  <c r="S280" i="30"/>
  <c r="M280" i="30"/>
  <c r="S279" i="30"/>
  <c r="M279" i="30"/>
  <c r="S278" i="30"/>
  <c r="M278" i="30"/>
  <c r="S277" i="30"/>
  <c r="N277" i="30"/>
  <c r="M277" i="30"/>
  <c r="S276" i="30"/>
  <c r="M276" i="30"/>
  <c r="S275" i="30"/>
  <c r="M275" i="30"/>
  <c r="S274" i="30"/>
  <c r="M274" i="30"/>
  <c r="S273" i="30"/>
  <c r="M273" i="30"/>
  <c r="S272" i="30"/>
  <c r="M272" i="30"/>
  <c r="T271" i="30"/>
  <c r="S271" i="30"/>
  <c r="N271" i="30"/>
  <c r="M271" i="30"/>
  <c r="S270" i="30"/>
  <c r="M270" i="30"/>
  <c r="T269" i="30"/>
  <c r="S269" i="30"/>
  <c r="M269" i="30"/>
  <c r="S268" i="30"/>
  <c r="M268" i="30"/>
  <c r="T267" i="30"/>
  <c r="S267" i="30" s="1"/>
  <c r="N267" i="30"/>
  <c r="M267" i="30" s="1"/>
  <c r="S266" i="30"/>
  <c r="M266" i="30"/>
  <c r="T265" i="30"/>
  <c r="S265" i="30" s="1"/>
  <c r="M265" i="30"/>
  <c r="S264" i="30"/>
  <c r="M264" i="30"/>
  <c r="S263" i="30"/>
  <c r="N263" i="30"/>
  <c r="M263" i="30" s="1"/>
  <c r="S262" i="30"/>
  <c r="M262" i="30"/>
  <c r="T261" i="30"/>
  <c r="S261" i="30" s="1"/>
  <c r="M261" i="30"/>
  <c r="S260" i="30"/>
  <c r="M260" i="30"/>
  <c r="S259" i="30"/>
  <c r="N259" i="30"/>
  <c r="M259" i="30" s="1"/>
  <c r="S258" i="30"/>
  <c r="M258" i="30"/>
  <c r="S257" i="30"/>
  <c r="M257" i="30"/>
  <c r="S256" i="30"/>
  <c r="M256" i="30"/>
  <c r="S255" i="30"/>
  <c r="M255" i="30"/>
  <c r="S254" i="30"/>
  <c r="M254" i="30"/>
  <c r="S252" i="30"/>
  <c r="M252" i="30"/>
  <c r="S251" i="30"/>
  <c r="M251" i="30"/>
  <c r="S250" i="30"/>
  <c r="M250" i="30"/>
  <c r="T249" i="30"/>
  <c r="S249" i="30" s="1"/>
  <c r="M249" i="30"/>
  <c r="S248" i="30"/>
  <c r="M248" i="30"/>
  <c r="T247" i="30"/>
  <c r="S247" i="30"/>
  <c r="N247" i="30"/>
  <c r="M247" i="30"/>
  <c r="S246" i="30"/>
  <c r="M246" i="30"/>
  <c r="S245" i="30"/>
  <c r="M245" i="30"/>
  <c r="S244" i="30"/>
  <c r="M244" i="30"/>
  <c r="T243" i="30"/>
  <c r="S243" i="30"/>
  <c r="N243" i="30"/>
  <c r="M243" i="30"/>
  <c r="S242" i="30"/>
  <c r="M242" i="30"/>
  <c r="T241" i="30"/>
  <c r="S241" i="30"/>
  <c r="M241" i="30"/>
  <c r="S240" i="30"/>
  <c r="M240" i="30"/>
  <c r="T239" i="30"/>
  <c r="S239" i="30" s="1"/>
  <c r="M239" i="30"/>
  <c r="S238" i="30"/>
  <c r="M238" i="30"/>
  <c r="S237" i="30"/>
  <c r="N237" i="30"/>
  <c r="M237" i="30" s="1"/>
  <c r="S236" i="30"/>
  <c r="M236" i="30"/>
  <c r="S235" i="30"/>
  <c r="M235" i="30"/>
  <c r="S234" i="30"/>
  <c r="M234" i="30"/>
  <c r="S231" i="30"/>
  <c r="M231" i="30"/>
  <c r="S230" i="30"/>
  <c r="M230" i="30"/>
  <c r="S229" i="30"/>
  <c r="M229" i="30"/>
  <c r="S228" i="30"/>
  <c r="M228" i="30"/>
  <c r="M227" i="30"/>
  <c r="S226" i="30"/>
  <c r="M226" i="30"/>
  <c r="S225" i="30"/>
  <c r="M225" i="30"/>
  <c r="S224" i="30"/>
  <c r="M224" i="30"/>
  <c r="S223" i="30"/>
  <c r="M223" i="30"/>
  <c r="S222" i="30"/>
  <c r="M222" i="30"/>
  <c r="T221" i="30"/>
  <c r="S221" i="30"/>
  <c r="N221" i="30"/>
  <c r="M221" i="30"/>
  <c r="S220" i="30"/>
  <c r="M220" i="30"/>
  <c r="S219" i="30"/>
  <c r="M219" i="30"/>
  <c r="S218" i="30"/>
  <c r="M218" i="30"/>
  <c r="T217" i="30"/>
  <c r="S217" i="30"/>
  <c r="M217" i="30"/>
  <c r="S216" i="30"/>
  <c r="M216" i="30"/>
  <c r="T215" i="30"/>
  <c r="S215" i="30" s="1"/>
  <c r="N215" i="30"/>
  <c r="M215" i="30" s="1"/>
  <c r="S214" i="30"/>
  <c r="M214" i="30"/>
  <c r="S213" i="30"/>
  <c r="M213" i="30"/>
  <c r="S212" i="30"/>
  <c r="M212" i="30"/>
  <c r="S211" i="30"/>
  <c r="M211" i="30"/>
  <c r="S210" i="30"/>
  <c r="M210" i="30"/>
  <c r="M209" i="30"/>
  <c r="S208" i="30"/>
  <c r="M208" i="30"/>
  <c r="T207" i="30"/>
  <c r="S207" i="30"/>
  <c r="M207" i="30"/>
  <c r="S206" i="30"/>
  <c r="M206" i="30"/>
  <c r="S205" i="30"/>
  <c r="M205" i="30"/>
  <c r="S204" i="30"/>
  <c r="M204" i="30"/>
  <c r="S203" i="30"/>
  <c r="M203" i="30"/>
  <c r="S202" i="30"/>
  <c r="M202" i="30"/>
  <c r="S201" i="30"/>
  <c r="M201" i="30"/>
  <c r="T200" i="30"/>
  <c r="S200" i="30" s="1"/>
  <c r="N200" i="30"/>
  <c r="M200" i="30" s="1"/>
  <c r="S199" i="30"/>
  <c r="M199" i="30"/>
  <c r="S198" i="30"/>
  <c r="N198" i="30"/>
  <c r="M198" i="30"/>
  <c r="S197" i="30"/>
  <c r="M197" i="30"/>
  <c r="S196" i="30"/>
  <c r="M196" i="30"/>
  <c r="S195" i="30"/>
  <c r="M195" i="30"/>
  <c r="S194" i="30"/>
  <c r="M194" i="30"/>
  <c r="S193" i="30"/>
  <c r="M193" i="30"/>
  <c r="S192" i="30"/>
  <c r="M192" i="30"/>
  <c r="S191" i="30"/>
  <c r="M191" i="30"/>
  <c r="T190" i="30"/>
  <c r="S190" i="30"/>
  <c r="N190" i="30"/>
  <c r="M190" i="30"/>
  <c r="S189" i="30"/>
  <c r="M189" i="30"/>
  <c r="M188" i="30"/>
  <c r="S187" i="30"/>
  <c r="M187" i="30"/>
  <c r="S186" i="30"/>
  <c r="N186" i="30"/>
  <c r="M186" i="30"/>
  <c r="S185" i="30"/>
  <c r="M185" i="30"/>
  <c r="T184" i="30"/>
  <c r="S184" i="30"/>
  <c r="M184" i="30"/>
  <c r="S183" i="30"/>
  <c r="M183" i="30"/>
  <c r="T182" i="30"/>
  <c r="S182" i="30" s="1"/>
  <c r="M182" i="30"/>
  <c r="S181" i="30"/>
  <c r="M181" i="30"/>
  <c r="T180" i="30"/>
  <c r="S180" i="30"/>
  <c r="N180" i="30"/>
  <c r="M180" i="30"/>
  <c r="S179" i="30"/>
  <c r="M179" i="30"/>
  <c r="S178" i="30"/>
  <c r="M178" i="30"/>
  <c r="S177" i="30"/>
  <c r="M177" i="30"/>
  <c r="S176" i="30"/>
  <c r="M176" i="30"/>
  <c r="S175" i="30"/>
  <c r="M175" i="30"/>
  <c r="S174" i="30"/>
  <c r="M174" i="30"/>
  <c r="S173" i="30"/>
  <c r="M173" i="30"/>
  <c r="S172" i="30"/>
  <c r="M172" i="30"/>
  <c r="S171" i="30"/>
  <c r="M171" i="30"/>
  <c r="T170" i="30"/>
  <c r="S170" i="30"/>
  <c r="N170" i="30"/>
  <c r="M170" i="30"/>
  <c r="S169" i="30"/>
  <c r="M169" i="30"/>
  <c r="T168" i="30"/>
  <c r="S168" i="30"/>
  <c r="N168" i="30"/>
  <c r="M168" i="30"/>
  <c r="S167" i="30"/>
  <c r="M167" i="30"/>
  <c r="T166" i="30"/>
  <c r="S166" i="30"/>
  <c r="N166" i="30"/>
  <c r="M166" i="30"/>
  <c r="S165" i="30"/>
  <c r="M165" i="30"/>
  <c r="T164" i="30"/>
  <c r="S164" i="30"/>
  <c r="N164" i="30"/>
  <c r="M164" i="30"/>
  <c r="S163" i="30"/>
  <c r="M163" i="30"/>
  <c r="S162" i="30"/>
  <c r="M162" i="30"/>
  <c r="T161" i="30"/>
  <c r="S161" i="30"/>
  <c r="N161" i="30"/>
  <c r="M161" i="30"/>
  <c r="S160" i="30"/>
  <c r="M160" i="30"/>
  <c r="S159" i="30"/>
  <c r="M159" i="30"/>
  <c r="S158" i="30"/>
  <c r="M158" i="30"/>
  <c r="S157" i="30"/>
  <c r="M157" i="30"/>
  <c r="T156" i="30"/>
  <c r="S156" i="30"/>
  <c r="N156" i="30"/>
  <c r="M156" i="30"/>
  <c r="S155" i="30"/>
  <c r="M155" i="30"/>
  <c r="S153" i="30"/>
  <c r="M153" i="30"/>
  <c r="S152" i="30"/>
  <c r="M152" i="30"/>
  <c r="S151" i="30"/>
  <c r="M151" i="30"/>
  <c r="T150" i="30"/>
  <c r="S150" i="30"/>
  <c r="N150" i="30"/>
  <c r="M150" i="30"/>
  <c r="S149" i="30"/>
  <c r="M149" i="30"/>
  <c r="T148" i="30"/>
  <c r="S148" i="30"/>
  <c r="N148" i="30"/>
  <c r="M148" i="30"/>
  <c r="S147" i="30"/>
  <c r="M147" i="30"/>
  <c r="T146" i="30"/>
  <c r="S146" i="30"/>
  <c r="M146" i="30"/>
  <c r="S145" i="30"/>
  <c r="M145" i="30"/>
  <c r="S144" i="30"/>
  <c r="M144" i="30"/>
  <c r="S143" i="30"/>
  <c r="M143" i="30"/>
  <c r="S142" i="30"/>
  <c r="M142" i="30"/>
  <c r="S141" i="30"/>
  <c r="M141" i="30"/>
  <c r="S140" i="30"/>
  <c r="M140" i="30"/>
  <c r="S139" i="30"/>
  <c r="M139" i="30"/>
  <c r="S138" i="30"/>
  <c r="M138" i="30"/>
  <c r="S136" i="30"/>
  <c r="M136" i="30"/>
  <c r="S135" i="30"/>
  <c r="M135" i="30"/>
  <c r="S134" i="30"/>
  <c r="M134" i="30"/>
  <c r="S133" i="30"/>
  <c r="M133" i="30"/>
  <c r="S132" i="30"/>
  <c r="M132" i="30"/>
  <c r="T131" i="30"/>
  <c r="S131" i="30" s="1"/>
  <c r="M131" i="30"/>
  <c r="S130" i="30"/>
  <c r="M130" i="30"/>
  <c r="S129" i="30"/>
  <c r="M129" i="30"/>
  <c r="S128" i="30"/>
  <c r="M128" i="30"/>
  <c r="T127" i="30"/>
  <c r="S127" i="30"/>
  <c r="N127" i="30"/>
  <c r="M127" i="30"/>
  <c r="S126" i="30"/>
  <c r="M126" i="30"/>
  <c r="S125" i="30"/>
  <c r="M125" i="30"/>
  <c r="S124" i="30"/>
  <c r="M124" i="30"/>
  <c r="S123" i="30"/>
  <c r="M123" i="30"/>
  <c r="S122" i="30"/>
  <c r="M122" i="30"/>
  <c r="S121" i="30"/>
  <c r="T120" i="30"/>
  <c r="S120" i="30" s="1"/>
  <c r="N120" i="30"/>
  <c r="M120" i="30" s="1"/>
  <c r="S119" i="30"/>
  <c r="M119" i="30"/>
  <c r="T118" i="30"/>
  <c r="S118" i="30" s="1"/>
  <c r="N118" i="30"/>
  <c r="M118" i="30" s="1"/>
  <c r="S117" i="30"/>
  <c r="M117" i="30"/>
  <c r="S116" i="30"/>
  <c r="M116" i="30"/>
  <c r="S115" i="30"/>
  <c r="M115" i="30"/>
  <c r="T114" i="30"/>
  <c r="S114" i="30" s="1"/>
  <c r="N114" i="30"/>
  <c r="M114" i="30" s="1"/>
  <c r="S113" i="30"/>
  <c r="M113" i="30"/>
  <c r="T112" i="30"/>
  <c r="S112" i="30" s="1"/>
  <c r="N112" i="30"/>
  <c r="M112" i="30" s="1"/>
  <c r="S111" i="30"/>
  <c r="M111" i="30"/>
  <c r="S110" i="30"/>
  <c r="N110" i="30"/>
  <c r="M110" i="30"/>
  <c r="S109" i="30"/>
  <c r="M109" i="30"/>
  <c r="T108" i="30"/>
  <c r="S108" i="30"/>
  <c r="N108" i="30"/>
  <c r="M108" i="30"/>
  <c r="S107" i="30"/>
  <c r="M107" i="30"/>
  <c r="S106" i="30"/>
  <c r="N106" i="30"/>
  <c r="M106" i="30" s="1"/>
  <c r="S105" i="30"/>
  <c r="M105" i="30"/>
  <c r="S103" i="30"/>
  <c r="M103" i="30"/>
  <c r="S102" i="30"/>
  <c r="M102" i="30"/>
  <c r="S101" i="30"/>
  <c r="M101" i="30"/>
  <c r="S100" i="30"/>
  <c r="N100" i="30"/>
  <c r="M100" i="30"/>
  <c r="S99" i="30"/>
  <c r="M99" i="30"/>
  <c r="S98" i="30"/>
  <c r="N98" i="30"/>
  <c r="M98" i="30" s="1"/>
  <c r="S97" i="30"/>
  <c r="M97" i="30"/>
  <c r="S95" i="30"/>
  <c r="M95" i="30"/>
  <c r="S94" i="30"/>
  <c r="M94" i="30"/>
  <c r="S93" i="30"/>
  <c r="M93" i="30"/>
  <c r="S92" i="30"/>
  <c r="M92" i="30"/>
  <c r="S91" i="30"/>
  <c r="M91" i="30"/>
  <c r="S90" i="30"/>
  <c r="M90" i="30"/>
  <c r="S89" i="30"/>
  <c r="M89" i="30"/>
  <c r="S88" i="30"/>
  <c r="M88" i="30"/>
  <c r="S87" i="30"/>
  <c r="M87" i="30"/>
  <c r="S86" i="30"/>
  <c r="M86" i="30"/>
  <c r="S85" i="30"/>
  <c r="M85" i="30"/>
  <c r="S84" i="30"/>
  <c r="N84" i="30"/>
  <c r="M84" i="30"/>
  <c r="S83" i="30"/>
  <c r="M83" i="30"/>
  <c r="S82" i="30"/>
  <c r="M82" i="30"/>
  <c r="S81" i="30"/>
  <c r="M81" i="30"/>
  <c r="S80" i="30"/>
  <c r="M80" i="30"/>
  <c r="S79" i="30"/>
  <c r="M79" i="30"/>
  <c r="S78" i="30"/>
  <c r="S77" i="30"/>
  <c r="M77" i="30"/>
  <c r="S76" i="30"/>
  <c r="M76" i="30"/>
  <c r="S75" i="30"/>
  <c r="M75" i="30"/>
  <c r="S74" i="30"/>
  <c r="M74" i="30"/>
  <c r="S73" i="30"/>
  <c r="M73" i="30"/>
  <c r="S72" i="30"/>
  <c r="N72" i="30"/>
  <c r="M72" i="30"/>
  <c r="S71" i="30"/>
  <c r="M71" i="30"/>
  <c r="S70" i="30"/>
  <c r="M70" i="30"/>
  <c r="S69" i="30"/>
  <c r="M69" i="30"/>
  <c r="S68" i="30"/>
  <c r="N68" i="30"/>
  <c r="M68" i="30" s="1"/>
  <c r="S67" i="30"/>
  <c r="M67" i="30"/>
  <c r="S66" i="30"/>
  <c r="M66" i="30"/>
  <c r="S65" i="30"/>
  <c r="M65" i="30"/>
  <c r="S64" i="30"/>
  <c r="M64" i="30"/>
  <c r="S63" i="30"/>
  <c r="M63" i="30"/>
  <c r="S62" i="30"/>
  <c r="M62" i="30"/>
  <c r="S61" i="30"/>
  <c r="M61" i="30"/>
  <c r="T60" i="30"/>
  <c r="S60" i="30" s="1"/>
  <c r="N60" i="30"/>
  <c r="M60" i="30" s="1"/>
  <c r="S59" i="30"/>
  <c r="M59" i="30"/>
  <c r="S58" i="30"/>
  <c r="M58" i="30"/>
  <c r="S57" i="30"/>
  <c r="M57" i="30"/>
  <c r="T56" i="30"/>
  <c r="S56" i="30" s="1"/>
  <c r="N56" i="30"/>
  <c r="M56" i="30" s="1"/>
  <c r="S55" i="30"/>
  <c r="M55" i="30"/>
  <c r="S54" i="30"/>
  <c r="M54" i="30"/>
  <c r="S53" i="30"/>
  <c r="M53" i="30"/>
  <c r="S52" i="30"/>
  <c r="M52" i="30"/>
  <c r="S51" i="30"/>
  <c r="M51" i="30"/>
  <c r="S50" i="30"/>
  <c r="M50" i="30"/>
  <c r="S49" i="30"/>
  <c r="M49" i="30"/>
  <c r="S48" i="30"/>
  <c r="N48" i="30"/>
  <c r="M48" i="30"/>
  <c r="S47" i="30"/>
  <c r="M47" i="30"/>
  <c r="S46" i="30"/>
  <c r="M46" i="30"/>
  <c r="S45" i="30"/>
  <c r="M45" i="30"/>
  <c r="S44" i="30"/>
  <c r="M44" i="30"/>
  <c r="S43" i="30"/>
  <c r="M43" i="30"/>
  <c r="S42" i="30"/>
  <c r="M42" i="30"/>
  <c r="S41" i="30"/>
  <c r="M41" i="30"/>
  <c r="S40" i="30"/>
  <c r="M40" i="30"/>
  <c r="S39" i="30"/>
  <c r="M39" i="30"/>
  <c r="T38" i="30"/>
  <c r="S38" i="30"/>
  <c r="N38" i="30"/>
  <c r="M38" i="30"/>
  <c r="S37" i="30"/>
  <c r="M37" i="30"/>
  <c r="S36" i="30"/>
  <c r="M36" i="30"/>
  <c r="S35" i="30"/>
  <c r="M35" i="30"/>
  <c r="S33" i="30"/>
  <c r="M33" i="30"/>
  <c r="S32" i="30"/>
  <c r="M32" i="30"/>
  <c r="S31" i="30"/>
  <c r="M31" i="30"/>
  <c r="T30" i="30"/>
  <c r="S30" i="30"/>
  <c r="N30" i="30"/>
  <c r="M30" i="30"/>
  <c r="S29" i="30"/>
  <c r="M29" i="30"/>
  <c r="T28" i="30"/>
  <c r="S28" i="30"/>
  <c r="M28" i="30"/>
  <c r="S27" i="30"/>
  <c r="M27" i="30"/>
  <c r="T26" i="30"/>
  <c r="S26" i="30" s="1"/>
  <c r="M26" i="30"/>
  <c r="S25" i="30"/>
  <c r="M25" i="30"/>
  <c r="S24" i="30"/>
  <c r="M24" i="30"/>
  <c r="S23" i="30"/>
  <c r="M23" i="30"/>
  <c r="T22" i="30"/>
  <c r="S22" i="30"/>
  <c r="M22" i="30"/>
  <c r="S21" i="30"/>
  <c r="M21" i="30"/>
  <c r="S20" i="30"/>
  <c r="M20" i="30"/>
  <c r="S19" i="30"/>
  <c r="M19" i="30"/>
  <c r="T18" i="30"/>
  <c r="S18" i="30" s="1"/>
  <c r="N18" i="30"/>
  <c r="M295" i="30" s="1"/>
  <c r="S17" i="30"/>
  <c r="M17" i="30"/>
  <c r="T16" i="30"/>
  <c r="S16" i="30" s="1"/>
  <c r="M16" i="30"/>
  <c r="S15" i="30"/>
  <c r="M15" i="30"/>
  <c r="T14" i="30"/>
  <c r="S295" i="30" s="1"/>
  <c r="S14" i="30"/>
  <c r="M14" i="30"/>
  <c r="S13" i="30"/>
  <c r="M13" i="30"/>
  <c r="S12" i="30"/>
  <c r="R295" i="30" s="1"/>
  <c r="M12" i="30"/>
  <c r="S11" i="30"/>
  <c r="M11" i="30"/>
  <c r="S10" i="30"/>
  <c r="R296" i="30" s="1"/>
  <c r="M10" i="30"/>
  <c r="L296" i="30" s="1"/>
  <c r="S9" i="30"/>
  <c r="R294" i="30" s="1"/>
  <c r="M9" i="30"/>
  <c r="L294" i="30" s="1"/>
  <c r="T292" i="29"/>
  <c r="T293" i="29" s="1"/>
  <c r="S292" i="29"/>
  <c r="Q292" i="29"/>
  <c r="Q293" i="29" s="1"/>
  <c r="P292" i="29"/>
  <c r="P293" i="29" s="1"/>
  <c r="O292" i="29"/>
  <c r="O293" i="29" s="1"/>
  <c r="N292" i="29"/>
  <c r="N293" i="29" s="1"/>
  <c r="M292" i="29"/>
  <c r="M293" i="29" s="1"/>
  <c r="K292" i="29"/>
  <c r="K293" i="29" s="1"/>
  <c r="J292" i="29"/>
  <c r="J293" i="29" s="1"/>
  <c r="I292" i="29"/>
  <c r="I293" i="29" s="1"/>
  <c r="H292" i="29"/>
  <c r="H293" i="29" s="1"/>
  <c r="G292" i="29"/>
  <c r="G293" i="29" s="1"/>
  <c r="T291" i="29"/>
  <c r="Q291" i="29"/>
  <c r="P291" i="29"/>
  <c r="O291" i="29"/>
  <c r="N291" i="29"/>
  <c r="K291" i="29"/>
  <c r="J291" i="29"/>
  <c r="I291" i="29"/>
  <c r="H291" i="29"/>
  <c r="G291" i="29"/>
  <c r="T290" i="29"/>
  <c r="S290" i="29"/>
  <c r="U290" i="29" s="1"/>
  <c r="Q290" i="29"/>
  <c r="P290" i="29"/>
  <c r="O290" i="29"/>
  <c r="N290" i="29"/>
  <c r="M290" i="29"/>
  <c r="K290" i="29"/>
  <c r="J290" i="29"/>
  <c r="V290" i="29" s="1"/>
  <c r="I290" i="29"/>
  <c r="H290" i="29"/>
  <c r="G290" i="29"/>
  <c r="U284" i="29"/>
  <c r="R284" i="29"/>
  <c r="Q284" i="29"/>
  <c r="P284" i="29"/>
  <c r="O284" i="29"/>
  <c r="L284" i="29"/>
  <c r="K284" i="29"/>
  <c r="J284" i="29"/>
  <c r="I284" i="29"/>
  <c r="H284" i="29"/>
  <c r="M283" i="29"/>
  <c r="S282" i="29"/>
  <c r="M282" i="29"/>
  <c r="S281" i="29"/>
  <c r="M281" i="29"/>
  <c r="S280" i="29"/>
  <c r="M280" i="29"/>
  <c r="T279" i="29"/>
  <c r="S279" i="29" s="1"/>
  <c r="N279" i="29"/>
  <c r="M279" i="29" s="1"/>
  <c r="S278" i="29"/>
  <c r="M278" i="29"/>
  <c r="M277" i="29"/>
  <c r="S276" i="29"/>
  <c r="M276" i="29"/>
  <c r="S275" i="29"/>
  <c r="M275" i="29"/>
  <c r="S274" i="29"/>
  <c r="M274" i="29"/>
  <c r="S273" i="29"/>
  <c r="N273" i="29"/>
  <c r="M273" i="29" s="1"/>
  <c r="S272" i="29"/>
  <c r="M272" i="29"/>
  <c r="S271" i="29"/>
  <c r="M271" i="29"/>
  <c r="S270" i="29"/>
  <c r="M270" i="29"/>
  <c r="S269" i="29"/>
  <c r="M269" i="29"/>
  <c r="S268" i="29"/>
  <c r="M268" i="29"/>
  <c r="T267" i="29"/>
  <c r="S267" i="29" s="1"/>
  <c r="N267" i="29"/>
  <c r="M267" i="29" s="1"/>
  <c r="S266" i="29"/>
  <c r="M266" i="29"/>
  <c r="T265" i="29"/>
  <c r="S265" i="29" s="1"/>
  <c r="M265" i="29"/>
  <c r="S264" i="29"/>
  <c r="M264" i="29"/>
  <c r="T263" i="29"/>
  <c r="S263" i="29"/>
  <c r="N263" i="29"/>
  <c r="M263" i="29"/>
  <c r="S262" i="29"/>
  <c r="M262" i="29"/>
  <c r="T261" i="29"/>
  <c r="S261" i="29"/>
  <c r="M261" i="29"/>
  <c r="S260" i="29"/>
  <c r="M260" i="29"/>
  <c r="S259" i="29"/>
  <c r="N259" i="29"/>
  <c r="M259" i="29"/>
  <c r="S258" i="29"/>
  <c r="M258" i="29"/>
  <c r="T257" i="29"/>
  <c r="S257" i="29"/>
  <c r="M257" i="29"/>
  <c r="S256" i="29"/>
  <c r="M256" i="29"/>
  <c r="S255" i="29"/>
  <c r="N255" i="29"/>
  <c r="M255" i="29"/>
  <c r="S254" i="29"/>
  <c r="M254" i="29"/>
  <c r="S253" i="29"/>
  <c r="M253" i="29"/>
  <c r="S252" i="29"/>
  <c r="M252" i="29"/>
  <c r="S251" i="29"/>
  <c r="M251" i="29"/>
  <c r="S250" i="29"/>
  <c r="M250" i="29"/>
  <c r="S248" i="29"/>
  <c r="M248" i="29"/>
  <c r="S247" i="29"/>
  <c r="M247" i="29"/>
  <c r="S246" i="29"/>
  <c r="M246" i="29"/>
  <c r="T245" i="29"/>
  <c r="S245" i="29"/>
  <c r="M245" i="29"/>
  <c r="S244" i="29"/>
  <c r="M244" i="29"/>
  <c r="T243" i="29"/>
  <c r="S243" i="29" s="1"/>
  <c r="N243" i="29"/>
  <c r="M243" i="29" s="1"/>
  <c r="S242" i="29"/>
  <c r="M242" i="29"/>
  <c r="S241" i="29"/>
  <c r="M241" i="29"/>
  <c r="S240" i="29"/>
  <c r="M240" i="29"/>
  <c r="T239" i="29"/>
  <c r="S239" i="29" s="1"/>
  <c r="M239" i="29"/>
  <c r="S238" i="29"/>
  <c r="M238" i="29"/>
  <c r="T237" i="29"/>
  <c r="S237" i="29"/>
  <c r="M237" i="29"/>
  <c r="S236" i="29"/>
  <c r="M236" i="29"/>
  <c r="T235" i="29"/>
  <c r="S235" i="29" s="1"/>
  <c r="M235" i="29"/>
  <c r="S234" i="29"/>
  <c r="M234" i="29"/>
  <c r="S233" i="29"/>
  <c r="N233" i="29"/>
  <c r="M233" i="29" s="1"/>
  <c r="S232" i="29"/>
  <c r="M232" i="29"/>
  <c r="S231" i="29"/>
  <c r="M231" i="29"/>
  <c r="S230" i="29"/>
  <c r="M230" i="29"/>
  <c r="S227" i="29"/>
  <c r="M227" i="29"/>
  <c r="S226" i="29"/>
  <c r="M226" i="29"/>
  <c r="S225" i="29"/>
  <c r="M225" i="29"/>
  <c r="S224" i="29"/>
  <c r="M224" i="29"/>
  <c r="M223" i="29"/>
  <c r="S222" i="29"/>
  <c r="M222" i="29"/>
  <c r="S221" i="29"/>
  <c r="M221" i="29"/>
  <c r="S220" i="29"/>
  <c r="M220" i="29"/>
  <c r="S219" i="29"/>
  <c r="M219" i="29"/>
  <c r="S218" i="29"/>
  <c r="M218" i="29"/>
  <c r="T217" i="29"/>
  <c r="S217" i="29"/>
  <c r="N217" i="29"/>
  <c r="M217" i="29"/>
  <c r="S216" i="29"/>
  <c r="M216" i="29"/>
  <c r="S215" i="29"/>
  <c r="M215" i="29"/>
  <c r="S214" i="29"/>
  <c r="M214" i="29"/>
  <c r="T213" i="29"/>
  <c r="S213" i="29"/>
  <c r="M213" i="29"/>
  <c r="S212" i="29"/>
  <c r="M212" i="29"/>
  <c r="T211" i="29"/>
  <c r="S211" i="29" s="1"/>
  <c r="N211" i="29"/>
  <c r="M211" i="29" s="1"/>
  <c r="S210" i="29"/>
  <c r="M210" i="29"/>
  <c r="S209" i="29"/>
  <c r="M209" i="29"/>
  <c r="S208" i="29"/>
  <c r="M208" i="29"/>
  <c r="S207" i="29"/>
  <c r="M207" i="29"/>
  <c r="S206" i="29"/>
  <c r="M206" i="29"/>
  <c r="M205" i="29"/>
  <c r="S204" i="29"/>
  <c r="M204" i="29"/>
  <c r="T203" i="29"/>
  <c r="S203" i="29"/>
  <c r="M203" i="29"/>
  <c r="S202" i="29"/>
  <c r="M202" i="29"/>
  <c r="S201" i="29"/>
  <c r="M201" i="29"/>
  <c r="S200" i="29"/>
  <c r="M200" i="29"/>
  <c r="S199" i="29"/>
  <c r="M199" i="29"/>
  <c r="S198" i="29"/>
  <c r="M198" i="29"/>
  <c r="S197" i="29"/>
  <c r="M197" i="29"/>
  <c r="T196" i="29"/>
  <c r="S196" i="29" s="1"/>
  <c r="N196" i="29"/>
  <c r="M196" i="29" s="1"/>
  <c r="S195" i="29"/>
  <c r="M195" i="29"/>
  <c r="S194" i="29"/>
  <c r="N194" i="29"/>
  <c r="M194" i="29"/>
  <c r="S193" i="29"/>
  <c r="M193" i="29"/>
  <c r="S192" i="29"/>
  <c r="M192" i="29"/>
  <c r="S191" i="29"/>
  <c r="M191" i="29"/>
  <c r="S190" i="29"/>
  <c r="M190" i="29"/>
  <c r="S189" i="29"/>
  <c r="M189" i="29"/>
  <c r="S188" i="29"/>
  <c r="M188" i="29"/>
  <c r="S187" i="29"/>
  <c r="M187" i="29"/>
  <c r="T186" i="29"/>
  <c r="S186" i="29"/>
  <c r="N186" i="29"/>
  <c r="M186" i="29"/>
  <c r="S185" i="29"/>
  <c r="M185" i="29"/>
  <c r="M184" i="29"/>
  <c r="S183" i="29"/>
  <c r="M183" i="29"/>
  <c r="S182" i="29"/>
  <c r="N182" i="29"/>
  <c r="M182" i="29"/>
  <c r="S181" i="29"/>
  <c r="M181" i="29"/>
  <c r="T180" i="29"/>
  <c r="S180" i="29"/>
  <c r="M180" i="29"/>
  <c r="S179" i="29"/>
  <c r="M179" i="29"/>
  <c r="T178" i="29"/>
  <c r="S178" i="29" s="1"/>
  <c r="M178" i="29"/>
  <c r="S177" i="29"/>
  <c r="M177" i="29"/>
  <c r="T176" i="29"/>
  <c r="S176" i="29"/>
  <c r="N176" i="29"/>
  <c r="M176" i="29"/>
  <c r="S175" i="29"/>
  <c r="M175" i="29"/>
  <c r="S174" i="29"/>
  <c r="M174" i="29"/>
  <c r="S173" i="29"/>
  <c r="M173" i="29"/>
  <c r="S172" i="29"/>
  <c r="M172" i="29"/>
  <c r="S171" i="29"/>
  <c r="M171" i="29"/>
  <c r="S170" i="29"/>
  <c r="M170" i="29"/>
  <c r="S169" i="29"/>
  <c r="M169" i="29"/>
  <c r="S168" i="29"/>
  <c r="M168" i="29"/>
  <c r="S167" i="29"/>
  <c r="M167" i="29"/>
  <c r="T166" i="29"/>
  <c r="S166" i="29"/>
  <c r="N166" i="29"/>
  <c r="M166" i="29"/>
  <c r="S165" i="29"/>
  <c r="M165" i="29"/>
  <c r="T164" i="29"/>
  <c r="S164" i="29"/>
  <c r="N164" i="29"/>
  <c r="M164" i="29"/>
  <c r="S163" i="29"/>
  <c r="M163" i="29"/>
  <c r="T162" i="29"/>
  <c r="S162" i="29"/>
  <c r="N162" i="29"/>
  <c r="M162" i="29"/>
  <c r="S161" i="29"/>
  <c r="M161" i="29"/>
  <c r="T160" i="29"/>
  <c r="S160" i="29"/>
  <c r="N160" i="29"/>
  <c r="M160" i="29"/>
  <c r="S159" i="29"/>
  <c r="M159" i="29"/>
  <c r="S158" i="29"/>
  <c r="M158" i="29"/>
  <c r="T157" i="29"/>
  <c r="S157" i="29"/>
  <c r="N157" i="29"/>
  <c r="M157" i="29"/>
  <c r="S156" i="29"/>
  <c r="M156" i="29"/>
  <c r="S155" i="29"/>
  <c r="M155" i="29"/>
  <c r="S154" i="29"/>
  <c r="M154" i="29"/>
  <c r="S153" i="29"/>
  <c r="M153" i="29"/>
  <c r="T152" i="29"/>
  <c r="S152" i="29"/>
  <c r="N152" i="29"/>
  <c r="M152" i="29"/>
  <c r="S151" i="29"/>
  <c r="M151" i="29"/>
  <c r="S149" i="29"/>
  <c r="M149" i="29"/>
  <c r="S148" i="29"/>
  <c r="M148" i="29"/>
  <c r="S147" i="29"/>
  <c r="M147" i="29"/>
  <c r="T146" i="29"/>
  <c r="S146" i="29"/>
  <c r="N146" i="29"/>
  <c r="M146" i="29"/>
  <c r="S145" i="29"/>
  <c r="M145" i="29"/>
  <c r="T144" i="29"/>
  <c r="S144" i="29"/>
  <c r="N144" i="29"/>
  <c r="M144" i="29"/>
  <c r="S143" i="29"/>
  <c r="M143" i="29"/>
  <c r="T142" i="29"/>
  <c r="S142" i="29"/>
  <c r="M142" i="29"/>
  <c r="S141" i="29"/>
  <c r="M141" i="29"/>
  <c r="S140" i="29"/>
  <c r="M140" i="29"/>
  <c r="S139" i="29"/>
  <c r="M139" i="29"/>
  <c r="S138" i="29"/>
  <c r="M138" i="29"/>
  <c r="S137" i="29"/>
  <c r="M137" i="29"/>
  <c r="S136" i="29"/>
  <c r="M136" i="29"/>
  <c r="S134" i="29"/>
  <c r="M134" i="29"/>
  <c r="S133" i="29"/>
  <c r="M133" i="29"/>
  <c r="S132" i="29"/>
  <c r="M132" i="29"/>
  <c r="S131" i="29"/>
  <c r="M131" i="29"/>
  <c r="S130" i="29"/>
  <c r="M130" i="29"/>
  <c r="T129" i="29"/>
  <c r="S129" i="29" s="1"/>
  <c r="M129" i="29"/>
  <c r="S128" i="29"/>
  <c r="M128" i="29"/>
  <c r="S127" i="29"/>
  <c r="M127" i="29"/>
  <c r="S126" i="29"/>
  <c r="M126" i="29"/>
  <c r="T125" i="29"/>
  <c r="S125" i="29"/>
  <c r="N125" i="29"/>
  <c r="M125" i="29"/>
  <c r="S124" i="29"/>
  <c r="M124" i="29"/>
  <c r="S123" i="29"/>
  <c r="M123" i="29"/>
  <c r="S122" i="29"/>
  <c r="M122" i="29"/>
  <c r="S121" i="29"/>
  <c r="M121" i="29"/>
  <c r="S120" i="29"/>
  <c r="M120" i="29"/>
  <c r="S119" i="29"/>
  <c r="T118" i="29"/>
  <c r="S118" i="29" s="1"/>
  <c r="N118" i="29"/>
  <c r="M118" i="29" s="1"/>
  <c r="S117" i="29"/>
  <c r="M117" i="29"/>
  <c r="T116" i="29"/>
  <c r="S116" i="29" s="1"/>
  <c r="N116" i="29"/>
  <c r="M116" i="29" s="1"/>
  <c r="S115" i="29"/>
  <c r="M115" i="29"/>
  <c r="S114" i="29"/>
  <c r="M114" i="29"/>
  <c r="S113" i="29"/>
  <c r="M113" i="29"/>
  <c r="T112" i="29"/>
  <c r="S112" i="29" s="1"/>
  <c r="N112" i="29"/>
  <c r="M112" i="29" s="1"/>
  <c r="S111" i="29"/>
  <c r="M111" i="29"/>
  <c r="T110" i="29"/>
  <c r="S110" i="29" s="1"/>
  <c r="N110" i="29"/>
  <c r="M110" i="29" s="1"/>
  <c r="S109" i="29"/>
  <c r="M109" i="29"/>
  <c r="S108" i="29"/>
  <c r="N108" i="29"/>
  <c r="M108" i="29"/>
  <c r="S107" i="29"/>
  <c r="M107" i="29"/>
  <c r="T106" i="29"/>
  <c r="S106" i="29"/>
  <c r="N106" i="29"/>
  <c r="M106" i="29"/>
  <c r="S105" i="29"/>
  <c r="M105" i="29"/>
  <c r="S104" i="29"/>
  <c r="N104" i="29"/>
  <c r="M104" i="29" s="1"/>
  <c r="S103" i="29"/>
  <c r="M103" i="29"/>
  <c r="S101" i="29"/>
  <c r="M101" i="29"/>
  <c r="S100" i="29"/>
  <c r="M100" i="29"/>
  <c r="S99" i="29"/>
  <c r="M99" i="29"/>
  <c r="S98" i="29"/>
  <c r="M98" i="29"/>
  <c r="S97" i="29"/>
  <c r="M97" i="29"/>
  <c r="S96" i="29"/>
  <c r="N96" i="29"/>
  <c r="M96" i="29"/>
  <c r="S95" i="29"/>
  <c r="M95" i="29"/>
  <c r="S93" i="29"/>
  <c r="M93" i="29"/>
  <c r="S92" i="29"/>
  <c r="M92" i="29"/>
  <c r="S91" i="29"/>
  <c r="M91" i="29"/>
  <c r="S90" i="29"/>
  <c r="M90" i="29"/>
  <c r="S89" i="29"/>
  <c r="M89" i="29"/>
  <c r="S88" i="29"/>
  <c r="M88" i="29"/>
  <c r="S87" i="29"/>
  <c r="M87" i="29"/>
  <c r="S86" i="29"/>
  <c r="M86" i="29"/>
  <c r="S85" i="29"/>
  <c r="M85" i="29"/>
  <c r="S84" i="29"/>
  <c r="M84" i="29"/>
  <c r="S83" i="29"/>
  <c r="M83" i="29"/>
  <c r="S82" i="29"/>
  <c r="N82" i="29"/>
  <c r="M82" i="29" s="1"/>
  <c r="S81" i="29"/>
  <c r="M81" i="29"/>
  <c r="S80" i="29"/>
  <c r="M80" i="29"/>
  <c r="S79" i="29"/>
  <c r="M79" i="29"/>
  <c r="S78" i="29"/>
  <c r="M78" i="29"/>
  <c r="S77" i="29"/>
  <c r="M77" i="29"/>
  <c r="S76" i="29"/>
  <c r="S75" i="29"/>
  <c r="M75" i="29"/>
  <c r="S74" i="29"/>
  <c r="M74" i="29"/>
  <c r="S73" i="29"/>
  <c r="M73" i="29"/>
  <c r="S72" i="29"/>
  <c r="M72" i="29"/>
  <c r="S71" i="29"/>
  <c r="M71" i="29"/>
  <c r="S70" i="29"/>
  <c r="N70" i="29"/>
  <c r="M70" i="29" s="1"/>
  <c r="S69" i="29"/>
  <c r="M69" i="29"/>
  <c r="S68" i="29"/>
  <c r="M68" i="29"/>
  <c r="S67" i="29"/>
  <c r="M67" i="29"/>
  <c r="S66" i="29"/>
  <c r="N66" i="29"/>
  <c r="M66" i="29"/>
  <c r="S65" i="29"/>
  <c r="M65" i="29"/>
  <c r="S64" i="29"/>
  <c r="M64" i="29"/>
  <c r="S63" i="29"/>
  <c r="M63" i="29"/>
  <c r="S62" i="29"/>
  <c r="M62" i="29"/>
  <c r="S61" i="29"/>
  <c r="M61" i="29"/>
  <c r="S60" i="29"/>
  <c r="M60" i="29"/>
  <c r="S59" i="29"/>
  <c r="M59" i="29"/>
  <c r="T58" i="29"/>
  <c r="S58" i="29"/>
  <c r="N58" i="29"/>
  <c r="M58" i="29"/>
  <c r="S57" i="29"/>
  <c r="M57" i="29"/>
  <c r="S56" i="29"/>
  <c r="M56" i="29"/>
  <c r="S55" i="29"/>
  <c r="M55" i="29"/>
  <c r="T54" i="29"/>
  <c r="S54" i="29"/>
  <c r="M54" i="29"/>
  <c r="S53" i="29"/>
  <c r="M53" i="29"/>
  <c r="S52" i="29"/>
  <c r="M52" i="29"/>
  <c r="S51" i="29"/>
  <c r="M51" i="29"/>
  <c r="S50" i="29"/>
  <c r="M50" i="29"/>
  <c r="S49" i="29"/>
  <c r="M49" i="29"/>
  <c r="S48" i="29"/>
  <c r="M48" i="29"/>
  <c r="S47" i="29"/>
  <c r="M47" i="29"/>
  <c r="S46" i="29"/>
  <c r="M46" i="29"/>
  <c r="S45" i="29"/>
  <c r="M45" i="29"/>
  <c r="S44" i="29"/>
  <c r="M44" i="29"/>
  <c r="S43" i="29"/>
  <c r="M43" i="29"/>
  <c r="S42" i="29"/>
  <c r="M42" i="29"/>
  <c r="S41" i="29"/>
  <c r="M41" i="29"/>
  <c r="S40" i="29"/>
  <c r="M40" i="29"/>
  <c r="S39" i="29"/>
  <c r="M39" i="29"/>
  <c r="S38" i="29"/>
  <c r="M38" i="29"/>
  <c r="S37" i="29"/>
  <c r="M37" i="29"/>
  <c r="T36" i="29"/>
  <c r="S36" i="29" s="1"/>
  <c r="N36" i="29"/>
  <c r="M36" i="29" s="1"/>
  <c r="S35" i="29"/>
  <c r="M35" i="29"/>
  <c r="S34" i="29"/>
  <c r="M34" i="29"/>
  <c r="S33" i="29"/>
  <c r="M33" i="29"/>
  <c r="M31" i="29"/>
  <c r="S30" i="29"/>
  <c r="M30" i="29"/>
  <c r="S29" i="29"/>
  <c r="M29" i="29"/>
  <c r="T28" i="29"/>
  <c r="S28" i="29"/>
  <c r="N28" i="29"/>
  <c r="M28" i="29"/>
  <c r="S27" i="29"/>
  <c r="M27" i="29"/>
  <c r="T26" i="29"/>
  <c r="S26" i="29"/>
  <c r="M26" i="29"/>
  <c r="S25" i="29"/>
  <c r="M25" i="29"/>
  <c r="T24" i="29"/>
  <c r="S24" i="29" s="1"/>
  <c r="M24" i="29"/>
  <c r="S23" i="29"/>
  <c r="M23" i="29"/>
  <c r="S22" i="29"/>
  <c r="M22" i="29"/>
  <c r="S21" i="29"/>
  <c r="M21" i="29"/>
  <c r="T20" i="29"/>
  <c r="S20" i="29"/>
  <c r="M20" i="29"/>
  <c r="S19" i="29"/>
  <c r="M19" i="29"/>
  <c r="S18" i="29"/>
  <c r="M18" i="29"/>
  <c r="S17" i="29"/>
  <c r="M17" i="29"/>
  <c r="T16" i="29"/>
  <c r="S16" i="29" s="1"/>
  <c r="N16" i="29"/>
  <c r="M291" i="29" s="1"/>
  <c r="S15" i="29"/>
  <c r="M15" i="29"/>
  <c r="T14" i="29"/>
  <c r="T284" i="29" s="1"/>
  <c r="M14" i="29"/>
  <c r="S13" i="29"/>
  <c r="M13" i="29"/>
  <c r="T12" i="29"/>
  <c r="S291" i="29" s="1"/>
  <c r="U291" i="29" s="1"/>
  <c r="S12" i="29"/>
  <c r="M12" i="29"/>
  <c r="S11" i="29"/>
  <c r="M11" i="29"/>
  <c r="S10" i="29"/>
  <c r="R292" i="29" s="1"/>
  <c r="M10" i="29"/>
  <c r="L292" i="29" s="1"/>
  <c r="S9" i="29"/>
  <c r="R290" i="29" s="1"/>
  <c r="M9" i="29"/>
  <c r="L290" i="29" s="1"/>
  <c r="T292" i="28"/>
  <c r="T293" i="28" s="1"/>
  <c r="S292" i="28"/>
  <c r="S293" i="28" s="1"/>
  <c r="Q292" i="28"/>
  <c r="Q293" i="28" s="1"/>
  <c r="P292" i="28"/>
  <c r="P293" i="28" s="1"/>
  <c r="O292" i="28"/>
  <c r="O293" i="28" s="1"/>
  <c r="N292" i="28"/>
  <c r="N293" i="28" s="1"/>
  <c r="M292" i="28"/>
  <c r="K292" i="28"/>
  <c r="K293" i="28" s="1"/>
  <c r="J292" i="28"/>
  <c r="J293" i="28" s="1"/>
  <c r="I292" i="28"/>
  <c r="I293" i="28" s="1"/>
  <c r="H292" i="28"/>
  <c r="H293" i="28" s="1"/>
  <c r="G292" i="28"/>
  <c r="G293" i="28" s="1"/>
  <c r="T291" i="28"/>
  <c r="Q291" i="28"/>
  <c r="P291" i="28"/>
  <c r="O291" i="28"/>
  <c r="N291" i="28"/>
  <c r="K291" i="28"/>
  <c r="J291" i="28"/>
  <c r="I291" i="28"/>
  <c r="H291" i="28"/>
  <c r="G291" i="28"/>
  <c r="T290" i="28"/>
  <c r="S290" i="28"/>
  <c r="U290" i="28" s="1"/>
  <c r="Q290" i="28"/>
  <c r="P290" i="28"/>
  <c r="O290" i="28"/>
  <c r="N290" i="28"/>
  <c r="M290" i="28"/>
  <c r="K290" i="28"/>
  <c r="J290" i="28"/>
  <c r="V290" i="28" s="1"/>
  <c r="I290" i="28"/>
  <c r="H290" i="28"/>
  <c r="G290" i="28"/>
  <c r="U284" i="28"/>
  <c r="R284" i="28"/>
  <c r="Q284" i="28"/>
  <c r="P284" i="28"/>
  <c r="O284" i="28"/>
  <c r="L284" i="28"/>
  <c r="K284" i="28"/>
  <c r="J284" i="28"/>
  <c r="I284" i="28"/>
  <c r="H284" i="28"/>
  <c r="M283" i="28"/>
  <c r="S282" i="28"/>
  <c r="M282" i="28"/>
  <c r="S281" i="28"/>
  <c r="M281" i="28"/>
  <c r="S280" i="28"/>
  <c r="M280" i="28"/>
  <c r="T279" i="28"/>
  <c r="S279" i="28"/>
  <c r="N279" i="28"/>
  <c r="M279" i="28"/>
  <c r="S278" i="28"/>
  <c r="M278" i="28"/>
  <c r="M277" i="28"/>
  <c r="S276" i="28"/>
  <c r="M276" i="28"/>
  <c r="S275" i="28"/>
  <c r="M275" i="28"/>
  <c r="S274" i="28"/>
  <c r="M274" i="28"/>
  <c r="S273" i="28"/>
  <c r="N273" i="28"/>
  <c r="M273" i="28"/>
  <c r="S272" i="28"/>
  <c r="M272" i="28"/>
  <c r="S271" i="28"/>
  <c r="M271" i="28"/>
  <c r="S270" i="28"/>
  <c r="M270" i="28"/>
  <c r="S269" i="28"/>
  <c r="M269" i="28"/>
  <c r="S268" i="28"/>
  <c r="M268" i="28"/>
  <c r="T267" i="28"/>
  <c r="S267" i="28"/>
  <c r="N267" i="28"/>
  <c r="M267" i="28"/>
  <c r="S266" i="28"/>
  <c r="M266" i="28"/>
  <c r="T265" i="28"/>
  <c r="S265" i="28"/>
  <c r="M265" i="28"/>
  <c r="S264" i="28"/>
  <c r="M264" i="28"/>
  <c r="T263" i="28"/>
  <c r="S263" i="28" s="1"/>
  <c r="N263" i="28"/>
  <c r="M263" i="28" s="1"/>
  <c r="S262" i="28"/>
  <c r="M262" i="28"/>
  <c r="T261" i="28"/>
  <c r="S261" i="28" s="1"/>
  <c r="M261" i="28"/>
  <c r="S260" i="28"/>
  <c r="M260" i="28"/>
  <c r="S259" i="28"/>
  <c r="N259" i="28"/>
  <c r="M259" i="28" s="1"/>
  <c r="S258" i="28"/>
  <c r="M258" i="28"/>
  <c r="T257" i="28"/>
  <c r="S257" i="28" s="1"/>
  <c r="M257" i="28"/>
  <c r="S256" i="28"/>
  <c r="M256" i="28"/>
  <c r="S255" i="28"/>
  <c r="N255" i="28"/>
  <c r="M255" i="28" s="1"/>
  <c r="S254" i="28"/>
  <c r="M254" i="28"/>
  <c r="S253" i="28"/>
  <c r="M253" i="28"/>
  <c r="S252" i="28"/>
  <c r="M252" i="28"/>
  <c r="S251" i="28"/>
  <c r="M251" i="28"/>
  <c r="S250" i="28"/>
  <c r="M250" i="28"/>
  <c r="S248" i="28"/>
  <c r="M248" i="28"/>
  <c r="S247" i="28"/>
  <c r="M247" i="28"/>
  <c r="S246" i="28"/>
  <c r="M246" i="28"/>
  <c r="T245" i="28"/>
  <c r="S245" i="28" s="1"/>
  <c r="M245" i="28"/>
  <c r="S244" i="28"/>
  <c r="M244" i="28"/>
  <c r="T243" i="28"/>
  <c r="S243" i="28"/>
  <c r="N243" i="28"/>
  <c r="M243" i="28"/>
  <c r="S242" i="28"/>
  <c r="M242" i="28"/>
  <c r="S241" i="28"/>
  <c r="M241" i="28"/>
  <c r="S240" i="28"/>
  <c r="M240" i="28"/>
  <c r="T239" i="28"/>
  <c r="S239" i="28"/>
  <c r="M239" i="28"/>
  <c r="S238" i="28"/>
  <c r="M238" i="28"/>
  <c r="T237" i="28"/>
  <c r="S237" i="28" s="1"/>
  <c r="M237" i="28"/>
  <c r="S236" i="28"/>
  <c r="M236" i="28"/>
  <c r="T235" i="28"/>
  <c r="S235" i="28"/>
  <c r="M235" i="28"/>
  <c r="S234" i="28"/>
  <c r="M234" i="28"/>
  <c r="S233" i="28"/>
  <c r="N233" i="28"/>
  <c r="M233" i="28"/>
  <c r="S232" i="28"/>
  <c r="M232" i="28"/>
  <c r="S231" i="28"/>
  <c r="M231" i="28"/>
  <c r="S230" i="28"/>
  <c r="M230" i="28"/>
  <c r="S227" i="28"/>
  <c r="M227" i="28"/>
  <c r="S226" i="28"/>
  <c r="M226" i="28"/>
  <c r="S225" i="28"/>
  <c r="M225" i="28"/>
  <c r="S224" i="28"/>
  <c r="M224" i="28"/>
  <c r="M223" i="28"/>
  <c r="S222" i="28"/>
  <c r="M222" i="28"/>
  <c r="S221" i="28"/>
  <c r="M221" i="28"/>
  <c r="S220" i="28"/>
  <c r="M220" i="28"/>
  <c r="S219" i="28"/>
  <c r="M219" i="28"/>
  <c r="S218" i="28"/>
  <c r="M218" i="28"/>
  <c r="T217" i="28"/>
  <c r="S217" i="28" s="1"/>
  <c r="N217" i="28"/>
  <c r="M217" i="28" s="1"/>
  <c r="S216" i="28"/>
  <c r="M216" i="28"/>
  <c r="S215" i="28"/>
  <c r="M215" i="28"/>
  <c r="S214" i="28"/>
  <c r="M214" i="28"/>
  <c r="T213" i="28"/>
  <c r="S213" i="28" s="1"/>
  <c r="M213" i="28"/>
  <c r="S212" i="28"/>
  <c r="M212" i="28"/>
  <c r="T211" i="28"/>
  <c r="S211" i="28"/>
  <c r="N211" i="28"/>
  <c r="M211" i="28"/>
  <c r="S210" i="28"/>
  <c r="M210" i="28"/>
  <c r="S209" i="28"/>
  <c r="M209" i="28"/>
  <c r="S208" i="28"/>
  <c r="M208" i="28"/>
  <c r="S207" i="28"/>
  <c r="M207" i="28"/>
  <c r="S206" i="28"/>
  <c r="M206" i="28"/>
  <c r="M205" i="28"/>
  <c r="S204" i="28"/>
  <c r="M204" i="28"/>
  <c r="T203" i="28"/>
  <c r="S203" i="28" s="1"/>
  <c r="M203" i="28"/>
  <c r="S202" i="28"/>
  <c r="M202" i="28"/>
  <c r="S201" i="28"/>
  <c r="M201" i="28"/>
  <c r="S200" i="28"/>
  <c r="M200" i="28"/>
  <c r="S199" i="28"/>
  <c r="M199" i="28"/>
  <c r="S198" i="28"/>
  <c r="M198" i="28"/>
  <c r="S197" i="28"/>
  <c r="M197" i="28"/>
  <c r="T196" i="28"/>
  <c r="S196" i="28"/>
  <c r="N196" i="28"/>
  <c r="M196" i="28"/>
  <c r="S195" i="28"/>
  <c r="M195" i="28"/>
  <c r="S194" i="28"/>
  <c r="N194" i="28"/>
  <c r="M194" i="28" s="1"/>
  <c r="S193" i="28"/>
  <c r="M193" i="28"/>
  <c r="S192" i="28"/>
  <c r="M192" i="28"/>
  <c r="S191" i="28"/>
  <c r="M191" i="28"/>
  <c r="S190" i="28"/>
  <c r="M190" i="28"/>
  <c r="S189" i="28"/>
  <c r="M189" i="28"/>
  <c r="S188" i="28"/>
  <c r="M188" i="28"/>
  <c r="S187" i="28"/>
  <c r="M187" i="28"/>
  <c r="T186" i="28"/>
  <c r="S186" i="28" s="1"/>
  <c r="N186" i="28"/>
  <c r="M186" i="28" s="1"/>
  <c r="S185" i="28"/>
  <c r="M185" i="28"/>
  <c r="M184" i="28"/>
  <c r="S183" i="28"/>
  <c r="M183" i="28"/>
  <c r="S182" i="28"/>
  <c r="N182" i="28"/>
  <c r="M182" i="28" s="1"/>
  <c r="S181" i="28"/>
  <c r="M181" i="28"/>
  <c r="T180" i="28"/>
  <c r="S180" i="28" s="1"/>
  <c r="M180" i="28"/>
  <c r="S179" i="28"/>
  <c r="M179" i="28"/>
  <c r="T178" i="28"/>
  <c r="S178" i="28"/>
  <c r="M178" i="28"/>
  <c r="S177" i="28"/>
  <c r="M177" i="28"/>
  <c r="T176" i="28"/>
  <c r="S176" i="28" s="1"/>
  <c r="N176" i="28"/>
  <c r="M176" i="28" s="1"/>
  <c r="S175" i="28"/>
  <c r="M175" i="28"/>
  <c r="S174" i="28"/>
  <c r="M174" i="28"/>
  <c r="S173" i="28"/>
  <c r="M173" i="28"/>
  <c r="S172" i="28"/>
  <c r="M172" i="28"/>
  <c r="S171" i="28"/>
  <c r="M171" i="28"/>
  <c r="S170" i="28"/>
  <c r="M170" i="28"/>
  <c r="S169" i="28"/>
  <c r="M169" i="28"/>
  <c r="S168" i="28"/>
  <c r="M168" i="28"/>
  <c r="S167" i="28"/>
  <c r="M167" i="28"/>
  <c r="T166" i="28"/>
  <c r="S166" i="28" s="1"/>
  <c r="N166" i="28"/>
  <c r="M166" i="28" s="1"/>
  <c r="S165" i="28"/>
  <c r="M165" i="28"/>
  <c r="T164" i="28"/>
  <c r="S164" i="28" s="1"/>
  <c r="N164" i="28"/>
  <c r="M164" i="28" s="1"/>
  <c r="S163" i="28"/>
  <c r="M163" i="28"/>
  <c r="T162" i="28"/>
  <c r="S162" i="28" s="1"/>
  <c r="N162" i="28"/>
  <c r="M162" i="28" s="1"/>
  <c r="S161" i="28"/>
  <c r="M161" i="28"/>
  <c r="T160" i="28"/>
  <c r="S160" i="28" s="1"/>
  <c r="N160" i="28"/>
  <c r="M160" i="28" s="1"/>
  <c r="S159" i="28"/>
  <c r="M159" i="28"/>
  <c r="S158" i="28"/>
  <c r="M158" i="28"/>
  <c r="T157" i="28"/>
  <c r="S157" i="28" s="1"/>
  <c r="N157" i="28"/>
  <c r="M157" i="28" s="1"/>
  <c r="S156" i="28"/>
  <c r="M156" i="28"/>
  <c r="S155" i="28"/>
  <c r="M155" i="28"/>
  <c r="S154" i="28"/>
  <c r="M154" i="28"/>
  <c r="S153" i="28"/>
  <c r="M153" i="28"/>
  <c r="T152" i="28"/>
  <c r="S152" i="28" s="1"/>
  <c r="N152" i="28"/>
  <c r="M152" i="28" s="1"/>
  <c r="S151" i="28"/>
  <c r="M151" i="28"/>
  <c r="S149" i="28"/>
  <c r="M149" i="28"/>
  <c r="S148" i="28"/>
  <c r="M148" i="28"/>
  <c r="S147" i="28"/>
  <c r="M147" i="28"/>
  <c r="T146" i="28"/>
  <c r="S146" i="28" s="1"/>
  <c r="N146" i="28"/>
  <c r="M146" i="28" s="1"/>
  <c r="S145" i="28"/>
  <c r="M145" i="28"/>
  <c r="T144" i="28"/>
  <c r="S144" i="28" s="1"/>
  <c r="N144" i="28"/>
  <c r="M144" i="28" s="1"/>
  <c r="S143" i="28"/>
  <c r="M143" i="28"/>
  <c r="T142" i="28"/>
  <c r="S142" i="28" s="1"/>
  <c r="M142" i="28"/>
  <c r="S141" i="28"/>
  <c r="M141" i="28"/>
  <c r="S140" i="28"/>
  <c r="M140" i="28"/>
  <c r="S139" i="28"/>
  <c r="M139" i="28"/>
  <c r="S138" i="28"/>
  <c r="M138" i="28"/>
  <c r="S137" i="28"/>
  <c r="M137" i="28"/>
  <c r="S136" i="28"/>
  <c r="M136" i="28"/>
  <c r="S134" i="28"/>
  <c r="M134" i="28"/>
  <c r="S133" i="28"/>
  <c r="M133" i="28"/>
  <c r="S132" i="28"/>
  <c r="M132" i="28"/>
  <c r="S131" i="28"/>
  <c r="M131" i="28"/>
  <c r="S130" i="28"/>
  <c r="M130" i="28"/>
  <c r="T129" i="28"/>
  <c r="S129" i="28"/>
  <c r="M129" i="28"/>
  <c r="S128" i="28"/>
  <c r="M128" i="28"/>
  <c r="S127" i="28"/>
  <c r="M127" i="28"/>
  <c r="S126" i="28"/>
  <c r="M126" i="28"/>
  <c r="T125" i="28"/>
  <c r="S125" i="28" s="1"/>
  <c r="N125" i="28"/>
  <c r="M125" i="28" s="1"/>
  <c r="S124" i="28"/>
  <c r="M124" i="28"/>
  <c r="S123" i="28"/>
  <c r="M123" i="28"/>
  <c r="S122" i="28"/>
  <c r="M122" i="28"/>
  <c r="S121" i="28"/>
  <c r="M121" i="28"/>
  <c r="S120" i="28"/>
  <c r="M120" i="28"/>
  <c r="S119" i="28"/>
  <c r="T118" i="28"/>
  <c r="S118" i="28"/>
  <c r="N118" i="28"/>
  <c r="M118" i="28"/>
  <c r="S117" i="28"/>
  <c r="M117" i="28"/>
  <c r="T116" i="28"/>
  <c r="S116" i="28"/>
  <c r="N116" i="28"/>
  <c r="M116" i="28"/>
  <c r="S115" i="28"/>
  <c r="M115" i="28"/>
  <c r="S114" i="28"/>
  <c r="M114" i="28"/>
  <c r="S113" i="28"/>
  <c r="M113" i="28"/>
  <c r="T112" i="28"/>
  <c r="S112" i="28"/>
  <c r="N112" i="28"/>
  <c r="M112" i="28"/>
  <c r="S111" i="28"/>
  <c r="M111" i="28"/>
  <c r="T110" i="28"/>
  <c r="S110" i="28"/>
  <c r="N110" i="28"/>
  <c r="M110" i="28"/>
  <c r="S109" i="28"/>
  <c r="M109" i="28"/>
  <c r="S108" i="28"/>
  <c r="N108" i="28"/>
  <c r="M108" i="28" s="1"/>
  <c r="S107" i="28"/>
  <c r="M107" i="28"/>
  <c r="T106" i="28"/>
  <c r="S106" i="28" s="1"/>
  <c r="N106" i="28"/>
  <c r="M106" i="28" s="1"/>
  <c r="S105" i="28"/>
  <c r="M105" i="28"/>
  <c r="S104" i="28"/>
  <c r="N104" i="28"/>
  <c r="M104" i="28"/>
  <c r="S103" i="28"/>
  <c r="M103" i="28"/>
  <c r="S101" i="28"/>
  <c r="M101" i="28"/>
  <c r="S100" i="28"/>
  <c r="M100" i="28"/>
  <c r="S99" i="28"/>
  <c r="M99" i="28"/>
  <c r="S98" i="28"/>
  <c r="M98" i="28"/>
  <c r="S97" i="28"/>
  <c r="M97" i="28"/>
  <c r="S96" i="28"/>
  <c r="N96" i="28"/>
  <c r="M96" i="28" s="1"/>
  <c r="S95" i="28"/>
  <c r="M95" i="28"/>
  <c r="S93" i="28"/>
  <c r="M93" i="28"/>
  <c r="S92" i="28"/>
  <c r="M92" i="28"/>
  <c r="S91" i="28"/>
  <c r="M91" i="28"/>
  <c r="S90" i="28"/>
  <c r="M90" i="28"/>
  <c r="S89" i="28"/>
  <c r="M89" i="28"/>
  <c r="S88" i="28"/>
  <c r="M88" i="28"/>
  <c r="S87" i="28"/>
  <c r="M87" i="28"/>
  <c r="S86" i="28"/>
  <c r="M86" i="28"/>
  <c r="S85" i="28"/>
  <c r="M85" i="28"/>
  <c r="S84" i="28"/>
  <c r="M84" i="28"/>
  <c r="S83" i="28"/>
  <c r="M83" i="28"/>
  <c r="S82" i="28"/>
  <c r="N82" i="28"/>
  <c r="M82" i="28"/>
  <c r="S81" i="28"/>
  <c r="M81" i="28"/>
  <c r="S80" i="28"/>
  <c r="M80" i="28"/>
  <c r="S79" i="28"/>
  <c r="M79" i="28"/>
  <c r="S78" i="28"/>
  <c r="M78" i="28"/>
  <c r="S77" i="28"/>
  <c r="M77" i="28"/>
  <c r="S76" i="28"/>
  <c r="S75" i="28"/>
  <c r="M75" i="28"/>
  <c r="S74" i="28"/>
  <c r="M74" i="28"/>
  <c r="S73" i="28"/>
  <c r="M73" i="28"/>
  <c r="S72" i="28"/>
  <c r="M72" i="28"/>
  <c r="S71" i="28"/>
  <c r="M71" i="28"/>
  <c r="S70" i="28"/>
  <c r="N70" i="28"/>
  <c r="M70" i="28"/>
  <c r="S69" i="28"/>
  <c r="M69" i="28"/>
  <c r="S68" i="28"/>
  <c r="M68" i="28"/>
  <c r="S67" i="28"/>
  <c r="M67" i="28"/>
  <c r="S66" i="28"/>
  <c r="N66" i="28"/>
  <c r="M66" i="28" s="1"/>
  <c r="S65" i="28"/>
  <c r="M65" i="28"/>
  <c r="S64" i="28"/>
  <c r="M64" i="28"/>
  <c r="S63" i="28"/>
  <c r="M63" i="28"/>
  <c r="S62" i="28"/>
  <c r="M62" i="28"/>
  <c r="S61" i="28"/>
  <c r="M61" i="28"/>
  <c r="S60" i="28"/>
  <c r="M60" i="28"/>
  <c r="S59" i="28"/>
  <c r="M59" i="28"/>
  <c r="T58" i="28"/>
  <c r="S58" i="28" s="1"/>
  <c r="N58" i="28"/>
  <c r="M58" i="28" s="1"/>
  <c r="S57" i="28"/>
  <c r="M57" i="28"/>
  <c r="S56" i="28"/>
  <c r="M56" i="28"/>
  <c r="S55" i="28"/>
  <c r="M55" i="28"/>
  <c r="T54" i="28"/>
  <c r="S54" i="28" s="1"/>
  <c r="M54" i="28"/>
  <c r="S53" i="28"/>
  <c r="M53" i="28"/>
  <c r="S52" i="28"/>
  <c r="M52" i="28"/>
  <c r="S51" i="28"/>
  <c r="M51" i="28"/>
  <c r="S50" i="28"/>
  <c r="M50" i="28"/>
  <c r="S49" i="28"/>
  <c r="M49" i="28"/>
  <c r="S48" i="28"/>
  <c r="M48" i="28"/>
  <c r="S47" i="28"/>
  <c r="M47" i="28"/>
  <c r="S46" i="28"/>
  <c r="M46" i="28"/>
  <c r="S45" i="28"/>
  <c r="M45" i="28"/>
  <c r="S44" i="28"/>
  <c r="M44" i="28"/>
  <c r="S43" i="28"/>
  <c r="M43" i="28"/>
  <c r="S42" i="28"/>
  <c r="M42" i="28"/>
  <c r="S41" i="28"/>
  <c r="M41" i="28"/>
  <c r="S40" i="28"/>
  <c r="M40" i="28"/>
  <c r="S39" i="28"/>
  <c r="M39" i="28"/>
  <c r="S38" i="28"/>
  <c r="M38" i="28"/>
  <c r="S37" i="28"/>
  <c r="M37" i="28"/>
  <c r="T36" i="28"/>
  <c r="S36" i="28"/>
  <c r="N36" i="28"/>
  <c r="M36" i="28"/>
  <c r="S35" i="28"/>
  <c r="M35" i="28"/>
  <c r="S34" i="28"/>
  <c r="M34" i="28"/>
  <c r="S33" i="28"/>
  <c r="M33" i="28"/>
  <c r="M31" i="28"/>
  <c r="S30" i="28"/>
  <c r="M30" i="28"/>
  <c r="S29" i="28"/>
  <c r="M29" i="28"/>
  <c r="T28" i="28"/>
  <c r="S28" i="28" s="1"/>
  <c r="N28" i="28"/>
  <c r="M28" i="28" s="1"/>
  <c r="S27" i="28"/>
  <c r="M27" i="28"/>
  <c r="T26" i="28"/>
  <c r="S26" i="28" s="1"/>
  <c r="M26" i="28"/>
  <c r="S25" i="28"/>
  <c r="M25" i="28"/>
  <c r="T24" i="28"/>
  <c r="S24" i="28"/>
  <c r="M24" i="28"/>
  <c r="S23" i="28"/>
  <c r="M23" i="28"/>
  <c r="S22" i="28"/>
  <c r="M22" i="28"/>
  <c r="S21" i="28"/>
  <c r="M21" i="28"/>
  <c r="T20" i="28"/>
  <c r="S20" i="28" s="1"/>
  <c r="M20" i="28"/>
  <c r="S19" i="28"/>
  <c r="M19" i="28"/>
  <c r="S18" i="28"/>
  <c r="M18" i="28"/>
  <c r="S17" i="28"/>
  <c r="M17" i="28"/>
  <c r="T16" i="28"/>
  <c r="S16" i="28"/>
  <c r="N16" i="28"/>
  <c r="M291" i="28" s="1"/>
  <c r="M16" i="28"/>
  <c r="S15" i="28"/>
  <c r="M15" i="28"/>
  <c r="T14" i="28"/>
  <c r="S14" i="28"/>
  <c r="M14" i="28"/>
  <c r="S13" i="28"/>
  <c r="M13" i="28"/>
  <c r="T12" i="28"/>
  <c r="S291" i="28" s="1"/>
  <c r="M12" i="28"/>
  <c r="L291" i="28" s="1"/>
  <c r="S11" i="28"/>
  <c r="M11" i="28"/>
  <c r="S10" i="28"/>
  <c r="R292" i="28" s="1"/>
  <c r="M10" i="28"/>
  <c r="L292" i="28" s="1"/>
  <c r="S9" i="28"/>
  <c r="R290" i="28" s="1"/>
  <c r="M9" i="28"/>
  <c r="L290" i="28" s="1"/>
  <c r="T292" i="27"/>
  <c r="T293" i="27" s="1"/>
  <c r="S292" i="27"/>
  <c r="Q292" i="27"/>
  <c r="Q293" i="27" s="1"/>
  <c r="P292" i="27"/>
  <c r="P293" i="27" s="1"/>
  <c r="O292" i="27"/>
  <c r="O293" i="27" s="1"/>
  <c r="N292" i="27"/>
  <c r="N293" i="27" s="1"/>
  <c r="M292" i="27"/>
  <c r="K292" i="27"/>
  <c r="K293" i="27" s="1"/>
  <c r="J292" i="27"/>
  <c r="J293" i="27" s="1"/>
  <c r="I292" i="27"/>
  <c r="I293" i="27" s="1"/>
  <c r="H292" i="27"/>
  <c r="H293" i="27" s="1"/>
  <c r="G292" i="27"/>
  <c r="G293" i="27" s="1"/>
  <c r="T291" i="27"/>
  <c r="Q291" i="27"/>
  <c r="P291" i="27"/>
  <c r="O291" i="27"/>
  <c r="N291" i="27"/>
  <c r="K291" i="27"/>
  <c r="J291" i="27"/>
  <c r="I291" i="27"/>
  <c r="H291" i="27"/>
  <c r="G291" i="27"/>
  <c r="T290" i="27"/>
  <c r="S290" i="27"/>
  <c r="U290" i="27" s="1"/>
  <c r="Q290" i="27"/>
  <c r="P290" i="27"/>
  <c r="O290" i="27"/>
  <c r="N290" i="27"/>
  <c r="M290" i="27"/>
  <c r="K290" i="27"/>
  <c r="J290" i="27"/>
  <c r="V290" i="27" s="1"/>
  <c r="I290" i="27"/>
  <c r="H290" i="27"/>
  <c r="G290" i="27"/>
  <c r="U284" i="27"/>
  <c r="R284" i="27"/>
  <c r="Q284" i="27"/>
  <c r="P284" i="27"/>
  <c r="O284" i="27"/>
  <c r="L284" i="27"/>
  <c r="K284" i="27"/>
  <c r="J284" i="27"/>
  <c r="I284" i="27"/>
  <c r="H284" i="27"/>
  <c r="M283" i="27"/>
  <c r="S282" i="27"/>
  <c r="M282" i="27"/>
  <c r="S281" i="27"/>
  <c r="M281" i="27"/>
  <c r="S280" i="27"/>
  <c r="M280" i="27"/>
  <c r="T279" i="27"/>
  <c r="S279" i="27" s="1"/>
  <c r="N279" i="27"/>
  <c r="M279" i="27" s="1"/>
  <c r="S278" i="27"/>
  <c r="M278" i="27"/>
  <c r="M277" i="27"/>
  <c r="S276" i="27"/>
  <c r="M276" i="27"/>
  <c r="S275" i="27"/>
  <c r="M275" i="27"/>
  <c r="S274" i="27"/>
  <c r="M274" i="27"/>
  <c r="S273" i="27"/>
  <c r="M273" i="27"/>
  <c r="S272" i="27"/>
  <c r="M272" i="27"/>
  <c r="S271" i="27"/>
  <c r="M271" i="27"/>
  <c r="S270" i="27"/>
  <c r="M270" i="27"/>
  <c r="S269" i="27"/>
  <c r="M269" i="27"/>
  <c r="S268" i="27"/>
  <c r="M268" i="27"/>
  <c r="T267" i="27"/>
  <c r="S267" i="27"/>
  <c r="N267" i="27"/>
  <c r="M267" i="27"/>
  <c r="S266" i="27"/>
  <c r="M266" i="27"/>
  <c r="T265" i="27"/>
  <c r="S265" i="27"/>
  <c r="M265" i="27"/>
  <c r="S264" i="27"/>
  <c r="M264" i="27"/>
  <c r="T263" i="27"/>
  <c r="S263" i="27" s="1"/>
  <c r="N263" i="27"/>
  <c r="M263" i="27" s="1"/>
  <c r="S262" i="27"/>
  <c r="M262" i="27"/>
  <c r="T261" i="27"/>
  <c r="S261" i="27" s="1"/>
  <c r="M261" i="27"/>
  <c r="S260" i="27"/>
  <c r="M260" i="27"/>
  <c r="S259" i="27"/>
  <c r="N259" i="27"/>
  <c r="M259" i="27" s="1"/>
  <c r="S258" i="27"/>
  <c r="M258" i="27"/>
  <c r="T257" i="27"/>
  <c r="S257" i="27" s="1"/>
  <c r="M257" i="27"/>
  <c r="S256" i="27"/>
  <c r="M256" i="27"/>
  <c r="S255" i="27"/>
  <c r="M255" i="27"/>
  <c r="S254" i="27"/>
  <c r="M254" i="27"/>
  <c r="S253" i="27"/>
  <c r="M253" i="27"/>
  <c r="S252" i="27"/>
  <c r="M252" i="27"/>
  <c r="S251" i="27"/>
  <c r="M251" i="27"/>
  <c r="S250" i="27"/>
  <c r="M250" i="27"/>
  <c r="S248" i="27"/>
  <c r="M248" i="27"/>
  <c r="S247" i="27"/>
  <c r="M247" i="27"/>
  <c r="S246" i="27"/>
  <c r="M246" i="27"/>
  <c r="T245" i="27"/>
  <c r="S245" i="27"/>
  <c r="M245" i="27"/>
  <c r="S244" i="27"/>
  <c r="M244" i="27"/>
  <c r="T243" i="27"/>
  <c r="S243" i="27" s="1"/>
  <c r="N243" i="27"/>
  <c r="M243" i="27" s="1"/>
  <c r="S242" i="27"/>
  <c r="M242" i="27"/>
  <c r="S241" i="27"/>
  <c r="M241" i="27"/>
  <c r="S240" i="27"/>
  <c r="M240" i="27"/>
  <c r="T239" i="27"/>
  <c r="S239" i="27" s="1"/>
  <c r="M239" i="27"/>
  <c r="S238" i="27"/>
  <c r="M238" i="27"/>
  <c r="T237" i="27"/>
  <c r="S237" i="27"/>
  <c r="M237" i="27"/>
  <c r="S236" i="27"/>
  <c r="M236" i="27"/>
  <c r="S235" i="27"/>
  <c r="M235" i="27"/>
  <c r="S234" i="27"/>
  <c r="M234" i="27"/>
  <c r="S233" i="27"/>
  <c r="M233" i="27"/>
  <c r="S232" i="27"/>
  <c r="M232" i="27"/>
  <c r="S231" i="27"/>
  <c r="M231" i="27"/>
  <c r="S230" i="27"/>
  <c r="M230" i="27"/>
  <c r="S227" i="27"/>
  <c r="M227" i="27"/>
  <c r="S226" i="27"/>
  <c r="M226" i="27"/>
  <c r="S225" i="27"/>
  <c r="M225" i="27"/>
  <c r="S224" i="27"/>
  <c r="M224" i="27"/>
  <c r="M223" i="27"/>
  <c r="S222" i="27"/>
  <c r="M222" i="27"/>
  <c r="S221" i="27"/>
  <c r="M221" i="27"/>
  <c r="S220" i="27"/>
  <c r="M220" i="27"/>
  <c r="S219" i="27"/>
  <c r="M219" i="27"/>
  <c r="S218" i="27"/>
  <c r="M218" i="27"/>
  <c r="T217" i="27"/>
  <c r="S217" i="27"/>
  <c r="M217" i="27"/>
  <c r="S216" i="27"/>
  <c r="M216" i="27"/>
  <c r="S215" i="27"/>
  <c r="M215" i="27"/>
  <c r="S214" i="27"/>
  <c r="M214" i="27"/>
  <c r="T213" i="27"/>
  <c r="S213" i="27" s="1"/>
  <c r="M213" i="27"/>
  <c r="S212" i="27"/>
  <c r="M212" i="27"/>
  <c r="T211" i="27"/>
  <c r="S211" i="27"/>
  <c r="N211" i="27"/>
  <c r="M211" i="27"/>
  <c r="S210" i="27"/>
  <c r="M210" i="27"/>
  <c r="S209" i="27"/>
  <c r="M209" i="27"/>
  <c r="S208" i="27"/>
  <c r="M208" i="27"/>
  <c r="S207" i="27"/>
  <c r="M207" i="27"/>
  <c r="S206" i="27"/>
  <c r="M206" i="27"/>
  <c r="M205" i="27"/>
  <c r="S204" i="27"/>
  <c r="M204" i="27"/>
  <c r="T203" i="27"/>
  <c r="S203" i="27" s="1"/>
  <c r="M203" i="27"/>
  <c r="S202" i="27"/>
  <c r="M202" i="27"/>
  <c r="S201" i="27"/>
  <c r="M201" i="27"/>
  <c r="S200" i="27"/>
  <c r="M200" i="27"/>
  <c r="S199" i="27"/>
  <c r="M199" i="27"/>
  <c r="S198" i="27"/>
  <c r="M198" i="27"/>
  <c r="S197" i="27"/>
  <c r="M197" i="27"/>
  <c r="T196" i="27"/>
  <c r="S196" i="27"/>
  <c r="N196" i="27"/>
  <c r="M196" i="27"/>
  <c r="S195" i="27"/>
  <c r="M195" i="27"/>
  <c r="S194" i="27"/>
  <c r="N194" i="27"/>
  <c r="M194" i="27" s="1"/>
  <c r="S193" i="27"/>
  <c r="M193" i="27"/>
  <c r="S192" i="27"/>
  <c r="M192" i="27"/>
  <c r="S191" i="27"/>
  <c r="M191" i="27"/>
  <c r="S190" i="27"/>
  <c r="M190" i="27"/>
  <c r="S189" i="27"/>
  <c r="M189" i="27"/>
  <c r="S188" i="27"/>
  <c r="M188" i="27"/>
  <c r="S187" i="27"/>
  <c r="M187" i="27"/>
  <c r="T186" i="27"/>
  <c r="S186" i="27" s="1"/>
  <c r="N186" i="27"/>
  <c r="M186" i="27" s="1"/>
  <c r="S185" i="27"/>
  <c r="M185" i="27"/>
  <c r="M184" i="27"/>
  <c r="S183" i="27"/>
  <c r="M183" i="27"/>
  <c r="S182" i="27"/>
  <c r="M182" i="27"/>
  <c r="S181" i="27"/>
  <c r="M181" i="27"/>
  <c r="T180" i="27"/>
  <c r="S180" i="27"/>
  <c r="M180" i="27"/>
  <c r="S179" i="27"/>
  <c r="M179" i="27"/>
  <c r="T178" i="27"/>
  <c r="S178" i="27" s="1"/>
  <c r="M178" i="27"/>
  <c r="S177" i="27"/>
  <c r="M177" i="27"/>
  <c r="T176" i="27"/>
  <c r="S176" i="27"/>
  <c r="N176" i="27"/>
  <c r="M176" i="27"/>
  <c r="S175" i="27"/>
  <c r="M175" i="27"/>
  <c r="S174" i="27"/>
  <c r="M174" i="27"/>
  <c r="S173" i="27"/>
  <c r="M173" i="27"/>
  <c r="S172" i="27"/>
  <c r="M172" i="27"/>
  <c r="S171" i="27"/>
  <c r="M171" i="27"/>
  <c r="S170" i="27"/>
  <c r="M170" i="27"/>
  <c r="S169" i="27"/>
  <c r="M169" i="27"/>
  <c r="S168" i="27"/>
  <c r="M168" i="27"/>
  <c r="S167" i="27"/>
  <c r="M167" i="27"/>
  <c r="T166" i="27"/>
  <c r="S166" i="27"/>
  <c r="N166" i="27"/>
  <c r="M166" i="27"/>
  <c r="S165" i="27"/>
  <c r="M165" i="27"/>
  <c r="T164" i="27"/>
  <c r="S164" i="27"/>
  <c r="N164" i="27"/>
  <c r="M164" i="27"/>
  <c r="S163" i="27"/>
  <c r="M163" i="27"/>
  <c r="T162" i="27"/>
  <c r="S162" i="27"/>
  <c r="N162" i="27"/>
  <c r="M162" i="27"/>
  <c r="S161" i="27"/>
  <c r="M161" i="27"/>
  <c r="T160" i="27"/>
  <c r="S160" i="27"/>
  <c r="N160" i="27"/>
  <c r="M160" i="27"/>
  <c r="S159" i="27"/>
  <c r="M159" i="27"/>
  <c r="S158" i="27"/>
  <c r="M158" i="27"/>
  <c r="T157" i="27"/>
  <c r="S157" i="27"/>
  <c r="N157" i="27"/>
  <c r="M157" i="27"/>
  <c r="S156" i="27"/>
  <c r="M156" i="27"/>
  <c r="S155" i="27"/>
  <c r="M155" i="27"/>
  <c r="S154" i="27"/>
  <c r="M154" i="27"/>
  <c r="S153" i="27"/>
  <c r="M153" i="27"/>
  <c r="T152" i="27"/>
  <c r="S152" i="27"/>
  <c r="N152" i="27"/>
  <c r="M152" i="27"/>
  <c r="S151" i="27"/>
  <c r="M151" i="27"/>
  <c r="S149" i="27"/>
  <c r="M149" i="27"/>
  <c r="S148" i="27"/>
  <c r="M148" i="27"/>
  <c r="S147" i="27"/>
  <c r="M147" i="27"/>
  <c r="T146" i="27"/>
  <c r="S146" i="27"/>
  <c r="N146" i="27"/>
  <c r="M146" i="27"/>
  <c r="S145" i="27"/>
  <c r="M145" i="27"/>
  <c r="T144" i="27"/>
  <c r="S144" i="27"/>
  <c r="N144" i="27"/>
  <c r="M144" i="27"/>
  <c r="S143" i="27"/>
  <c r="M143" i="27"/>
  <c r="T142" i="27"/>
  <c r="S142" i="27"/>
  <c r="M142" i="27"/>
  <c r="S141" i="27"/>
  <c r="M141" i="27"/>
  <c r="S140" i="27"/>
  <c r="M140" i="27"/>
  <c r="S139" i="27"/>
  <c r="M139" i="27"/>
  <c r="S138" i="27"/>
  <c r="M138" i="27"/>
  <c r="S137" i="27"/>
  <c r="M137" i="27"/>
  <c r="S136" i="27"/>
  <c r="M136" i="27"/>
  <c r="S134" i="27"/>
  <c r="M134" i="27"/>
  <c r="S133" i="27"/>
  <c r="M133" i="27"/>
  <c r="S132" i="27"/>
  <c r="M132" i="27"/>
  <c r="S131" i="27"/>
  <c r="M131" i="27"/>
  <c r="S130" i="27"/>
  <c r="M130" i="27"/>
  <c r="T129" i="27"/>
  <c r="S129" i="27" s="1"/>
  <c r="M129" i="27"/>
  <c r="S128" i="27"/>
  <c r="M128" i="27"/>
  <c r="S127" i="27"/>
  <c r="M127" i="27"/>
  <c r="S126" i="27"/>
  <c r="M126" i="27"/>
  <c r="T125" i="27"/>
  <c r="S125" i="27"/>
  <c r="N125" i="27"/>
  <c r="M125" i="27"/>
  <c r="S124" i="27"/>
  <c r="M124" i="27"/>
  <c r="S123" i="27"/>
  <c r="M123" i="27"/>
  <c r="S122" i="27"/>
  <c r="M122" i="27"/>
  <c r="S121" i="27"/>
  <c r="M121" i="27"/>
  <c r="S120" i="27"/>
  <c r="M120" i="27"/>
  <c r="S119" i="27"/>
  <c r="T118" i="27"/>
  <c r="S118" i="27" s="1"/>
  <c r="N118" i="27"/>
  <c r="M118" i="27" s="1"/>
  <c r="S117" i="27"/>
  <c r="M117" i="27"/>
  <c r="T116" i="27"/>
  <c r="S116" i="27" s="1"/>
  <c r="N116" i="27"/>
  <c r="M116" i="27" s="1"/>
  <c r="S115" i="27"/>
  <c r="M115" i="27"/>
  <c r="S114" i="27"/>
  <c r="M114" i="27"/>
  <c r="S113" i="27"/>
  <c r="M113" i="27"/>
  <c r="T112" i="27"/>
  <c r="S112" i="27" s="1"/>
  <c r="N112" i="27"/>
  <c r="M112" i="27" s="1"/>
  <c r="S111" i="27"/>
  <c r="M111" i="27"/>
  <c r="T110" i="27"/>
  <c r="S110" i="27" s="1"/>
  <c r="N110" i="27"/>
  <c r="M110" i="27" s="1"/>
  <c r="S109" i="27"/>
  <c r="M109" i="27"/>
  <c r="S108" i="27"/>
  <c r="N108" i="27"/>
  <c r="M108" i="27"/>
  <c r="S107" i="27"/>
  <c r="M107" i="27"/>
  <c r="T106" i="27"/>
  <c r="S106" i="27"/>
  <c r="N106" i="27"/>
  <c r="M106" i="27"/>
  <c r="S105" i="27"/>
  <c r="M105" i="27"/>
  <c r="S104" i="27"/>
  <c r="N104" i="27"/>
  <c r="M104" i="27" s="1"/>
  <c r="S103" i="27"/>
  <c r="M103" i="27"/>
  <c r="S101" i="27"/>
  <c r="M101" i="27"/>
  <c r="S100" i="27"/>
  <c r="M100" i="27"/>
  <c r="S99" i="27"/>
  <c r="M99" i="27"/>
  <c r="S98" i="27"/>
  <c r="M98" i="27"/>
  <c r="S97" i="27"/>
  <c r="M97" i="27"/>
  <c r="S96" i="27"/>
  <c r="M96" i="27"/>
  <c r="S95" i="27"/>
  <c r="M95" i="27"/>
  <c r="S93" i="27"/>
  <c r="M93" i="27"/>
  <c r="S92" i="27"/>
  <c r="M92" i="27"/>
  <c r="S91" i="27"/>
  <c r="M91" i="27"/>
  <c r="S90" i="27"/>
  <c r="M90" i="27"/>
  <c r="S89" i="27"/>
  <c r="M89" i="27"/>
  <c r="S88" i="27"/>
  <c r="M88" i="27"/>
  <c r="S87" i="27"/>
  <c r="M87" i="27"/>
  <c r="S86" i="27"/>
  <c r="M86" i="27"/>
  <c r="S85" i="27"/>
  <c r="M85" i="27"/>
  <c r="S84" i="27"/>
  <c r="M84" i="27"/>
  <c r="S83" i="27"/>
  <c r="M83" i="27"/>
  <c r="S82" i="27"/>
  <c r="M82" i="27"/>
  <c r="S81" i="27"/>
  <c r="M81" i="27"/>
  <c r="S80" i="27"/>
  <c r="M80" i="27"/>
  <c r="S79" i="27"/>
  <c r="M79" i="27"/>
  <c r="S78" i="27"/>
  <c r="M78" i="27"/>
  <c r="S77" i="27"/>
  <c r="M77" i="27"/>
  <c r="S76" i="27"/>
  <c r="S75" i="27"/>
  <c r="M75" i="27"/>
  <c r="S74" i="27"/>
  <c r="M74" i="27"/>
  <c r="S73" i="27"/>
  <c r="M73" i="27"/>
  <c r="S72" i="27"/>
  <c r="M72" i="27"/>
  <c r="S71" i="27"/>
  <c r="M71" i="27"/>
  <c r="S70" i="27"/>
  <c r="M70" i="27"/>
  <c r="S69" i="27"/>
  <c r="M69" i="27"/>
  <c r="S68" i="27"/>
  <c r="M68" i="27"/>
  <c r="S67" i="27"/>
  <c r="M67" i="27"/>
  <c r="S66" i="27"/>
  <c r="N66" i="27"/>
  <c r="M66" i="27" s="1"/>
  <c r="S65" i="27"/>
  <c r="M65" i="27"/>
  <c r="S64" i="27"/>
  <c r="M64" i="27"/>
  <c r="S63" i="27"/>
  <c r="M63" i="27"/>
  <c r="S62" i="27"/>
  <c r="M62" i="27"/>
  <c r="S61" i="27"/>
  <c r="M61" i="27"/>
  <c r="S60" i="27"/>
  <c r="M60" i="27"/>
  <c r="S59" i="27"/>
  <c r="M59" i="27"/>
  <c r="T58" i="27"/>
  <c r="S58" i="27" s="1"/>
  <c r="M58" i="27"/>
  <c r="S57" i="27"/>
  <c r="M57" i="27"/>
  <c r="S56" i="27"/>
  <c r="M56" i="27"/>
  <c r="S55" i="27"/>
  <c r="M55" i="27"/>
  <c r="T54" i="27"/>
  <c r="S54" i="27"/>
  <c r="M54" i="27"/>
  <c r="S53" i="27"/>
  <c r="M53" i="27"/>
  <c r="S52" i="27"/>
  <c r="M52" i="27"/>
  <c r="S51" i="27"/>
  <c r="M51" i="27"/>
  <c r="S50" i="27"/>
  <c r="M50" i="27"/>
  <c r="S49" i="27"/>
  <c r="M49" i="27"/>
  <c r="S48" i="27"/>
  <c r="M48" i="27"/>
  <c r="S47" i="27"/>
  <c r="M47" i="27"/>
  <c r="S46" i="27"/>
  <c r="M46" i="27"/>
  <c r="S45" i="27"/>
  <c r="M45" i="27"/>
  <c r="S44" i="27"/>
  <c r="M44" i="27"/>
  <c r="S43" i="27"/>
  <c r="M43" i="27"/>
  <c r="S42" i="27"/>
  <c r="M42" i="27"/>
  <c r="S41" i="27"/>
  <c r="M41" i="27"/>
  <c r="S40" i="27"/>
  <c r="M40" i="27"/>
  <c r="S39" i="27"/>
  <c r="M39" i="27"/>
  <c r="S38" i="27"/>
  <c r="M38" i="27"/>
  <c r="S37" i="27"/>
  <c r="M37" i="27"/>
  <c r="T36" i="27"/>
  <c r="S36" i="27" s="1"/>
  <c r="N36" i="27"/>
  <c r="N284" i="27" s="1"/>
  <c r="S35" i="27"/>
  <c r="M35" i="27"/>
  <c r="S34" i="27"/>
  <c r="M34" i="27"/>
  <c r="S33" i="27"/>
  <c r="M33" i="27"/>
  <c r="M31" i="27"/>
  <c r="S30" i="27"/>
  <c r="M30" i="27"/>
  <c r="S29" i="27"/>
  <c r="M29" i="27"/>
  <c r="T28" i="27"/>
  <c r="S28" i="27"/>
  <c r="N28" i="27"/>
  <c r="M28" i="27"/>
  <c r="S27" i="27"/>
  <c r="M27" i="27"/>
  <c r="T26" i="27"/>
  <c r="S26" i="27"/>
  <c r="M26" i="27"/>
  <c r="S25" i="27"/>
  <c r="M25" i="27"/>
  <c r="T24" i="27"/>
  <c r="T284" i="27" s="1"/>
  <c r="M24" i="27"/>
  <c r="S23" i="27"/>
  <c r="M23" i="27"/>
  <c r="S22" i="27"/>
  <c r="M22" i="27"/>
  <c r="S21" i="27"/>
  <c r="M21" i="27"/>
  <c r="T20" i="27"/>
  <c r="S20" i="27"/>
  <c r="M20" i="27"/>
  <c r="S19" i="27"/>
  <c r="M19" i="27"/>
  <c r="S18" i="27"/>
  <c r="M18" i="27"/>
  <c r="S17" i="27"/>
  <c r="M17" i="27"/>
  <c r="S16" i="27"/>
  <c r="N16" i="27"/>
  <c r="M291" i="27" s="1"/>
  <c r="M16" i="27"/>
  <c r="S15" i="27"/>
  <c r="M15" i="27"/>
  <c r="T14" i="27"/>
  <c r="S291" i="27" s="1"/>
  <c r="U291" i="27" s="1"/>
  <c r="S14" i="27"/>
  <c r="M14" i="27"/>
  <c r="S13" i="27"/>
  <c r="M13" i="27"/>
  <c r="S12" i="27"/>
  <c r="M12" i="27"/>
  <c r="S11" i="27"/>
  <c r="M11" i="27"/>
  <c r="S10" i="27"/>
  <c r="R292" i="27" s="1"/>
  <c r="M10" i="27"/>
  <c r="L292" i="27" s="1"/>
  <c r="S9" i="27"/>
  <c r="R290" i="27" s="1"/>
  <c r="M9" i="27"/>
  <c r="L290" i="27" s="1"/>
  <c r="T292" i="26"/>
  <c r="T293" i="26" s="1"/>
  <c r="S292" i="26"/>
  <c r="S293" i="26" s="1"/>
  <c r="Q292" i="26"/>
  <c r="Q293" i="26" s="1"/>
  <c r="P292" i="26"/>
  <c r="P293" i="26" s="1"/>
  <c r="O292" i="26"/>
  <c r="O293" i="26" s="1"/>
  <c r="N292" i="26"/>
  <c r="N293" i="26" s="1"/>
  <c r="M292" i="26"/>
  <c r="K292" i="26"/>
  <c r="K293" i="26" s="1"/>
  <c r="J292" i="26"/>
  <c r="J293" i="26" s="1"/>
  <c r="I292" i="26"/>
  <c r="I293" i="26" s="1"/>
  <c r="H292" i="26"/>
  <c r="H293" i="26" s="1"/>
  <c r="G292" i="26"/>
  <c r="G293" i="26" s="1"/>
  <c r="T291" i="26"/>
  <c r="Q291" i="26"/>
  <c r="P291" i="26"/>
  <c r="O291" i="26"/>
  <c r="N291" i="26"/>
  <c r="K291" i="26"/>
  <c r="J291" i="26"/>
  <c r="I291" i="26"/>
  <c r="H291" i="26"/>
  <c r="G291" i="26"/>
  <c r="T290" i="26"/>
  <c r="S290" i="26"/>
  <c r="U290" i="26" s="1"/>
  <c r="Q290" i="26"/>
  <c r="P290" i="26"/>
  <c r="O290" i="26"/>
  <c r="N290" i="26"/>
  <c r="M290" i="26"/>
  <c r="K290" i="26"/>
  <c r="J290" i="26"/>
  <c r="V290" i="26" s="1"/>
  <c r="I290" i="26"/>
  <c r="H290" i="26"/>
  <c r="G290" i="26"/>
  <c r="U284" i="26"/>
  <c r="R284" i="26"/>
  <c r="Q284" i="26"/>
  <c r="P284" i="26"/>
  <c r="O284" i="26"/>
  <c r="L284" i="26"/>
  <c r="K284" i="26"/>
  <c r="J284" i="26"/>
  <c r="I284" i="26"/>
  <c r="H284" i="26"/>
  <c r="M283" i="26"/>
  <c r="S282" i="26"/>
  <c r="M282" i="26"/>
  <c r="S281" i="26"/>
  <c r="M281" i="26"/>
  <c r="S280" i="26"/>
  <c r="M280" i="26"/>
  <c r="T279" i="26"/>
  <c r="S279" i="26"/>
  <c r="N279" i="26"/>
  <c r="M279" i="26"/>
  <c r="S278" i="26"/>
  <c r="M278" i="26"/>
  <c r="M277" i="26"/>
  <c r="S276" i="26"/>
  <c r="M276" i="26"/>
  <c r="S275" i="26"/>
  <c r="M275" i="26"/>
  <c r="S274" i="26"/>
  <c r="M274" i="26"/>
  <c r="S273" i="26"/>
  <c r="M273" i="26"/>
  <c r="S272" i="26"/>
  <c r="M272" i="26"/>
  <c r="S271" i="26"/>
  <c r="M271" i="26"/>
  <c r="S270" i="26"/>
  <c r="M270" i="26"/>
  <c r="S269" i="26"/>
  <c r="M269" i="26"/>
  <c r="S268" i="26"/>
  <c r="M268" i="26"/>
  <c r="T267" i="26"/>
  <c r="S267" i="26" s="1"/>
  <c r="N267" i="26"/>
  <c r="M267" i="26" s="1"/>
  <c r="S266" i="26"/>
  <c r="M266" i="26"/>
  <c r="T265" i="26"/>
  <c r="S265" i="26" s="1"/>
  <c r="M265" i="26"/>
  <c r="S264" i="26"/>
  <c r="M264" i="26"/>
  <c r="T263" i="26"/>
  <c r="S263" i="26"/>
  <c r="N263" i="26"/>
  <c r="M263" i="26"/>
  <c r="S262" i="26"/>
  <c r="M262" i="26"/>
  <c r="T261" i="26"/>
  <c r="S261" i="26"/>
  <c r="M261" i="26"/>
  <c r="S260" i="26"/>
  <c r="M260" i="26"/>
  <c r="S259" i="26"/>
  <c r="N259" i="26"/>
  <c r="M259" i="26"/>
  <c r="S258" i="26"/>
  <c r="M258" i="26"/>
  <c r="T257" i="26"/>
  <c r="S257" i="26"/>
  <c r="M257" i="26"/>
  <c r="S256" i="26"/>
  <c r="M256" i="26"/>
  <c r="S255" i="26"/>
  <c r="M255" i="26"/>
  <c r="S254" i="26"/>
  <c r="M254" i="26"/>
  <c r="S253" i="26"/>
  <c r="M253" i="26"/>
  <c r="S252" i="26"/>
  <c r="M252" i="26"/>
  <c r="S251" i="26"/>
  <c r="M251" i="26"/>
  <c r="S250" i="26"/>
  <c r="M250" i="26"/>
  <c r="M249" i="26"/>
  <c r="S248" i="26"/>
  <c r="M248" i="26"/>
  <c r="S247" i="26"/>
  <c r="M247" i="26"/>
  <c r="S246" i="26"/>
  <c r="M246" i="26"/>
  <c r="T245" i="26"/>
  <c r="S245" i="26"/>
  <c r="M245" i="26"/>
  <c r="S244" i="26"/>
  <c r="M244" i="26"/>
  <c r="T243" i="26"/>
  <c r="S243" i="26" s="1"/>
  <c r="N243" i="26"/>
  <c r="M243" i="26" s="1"/>
  <c r="S242" i="26"/>
  <c r="M242" i="26"/>
  <c r="S241" i="26"/>
  <c r="M241" i="26"/>
  <c r="S240" i="26"/>
  <c r="M240" i="26"/>
  <c r="T239" i="26"/>
  <c r="S239" i="26" s="1"/>
  <c r="M239" i="26"/>
  <c r="S238" i="26"/>
  <c r="M238" i="26"/>
  <c r="T237" i="26"/>
  <c r="S237" i="26"/>
  <c r="M237" i="26"/>
  <c r="S236" i="26"/>
  <c r="M236" i="26"/>
  <c r="S235" i="26"/>
  <c r="M235" i="26"/>
  <c r="S234" i="26"/>
  <c r="M234" i="26"/>
  <c r="S233" i="26"/>
  <c r="M233" i="26"/>
  <c r="S232" i="26"/>
  <c r="M232" i="26"/>
  <c r="S231" i="26"/>
  <c r="M231" i="26"/>
  <c r="S230" i="26"/>
  <c r="M230" i="26"/>
  <c r="S227" i="26"/>
  <c r="M227" i="26"/>
  <c r="S226" i="26"/>
  <c r="M226" i="26"/>
  <c r="S225" i="26"/>
  <c r="M225" i="26"/>
  <c r="S224" i="26"/>
  <c r="M224" i="26"/>
  <c r="M223" i="26"/>
  <c r="S222" i="26"/>
  <c r="M222" i="26"/>
  <c r="S221" i="26"/>
  <c r="M221" i="26"/>
  <c r="S220" i="26"/>
  <c r="M220" i="26"/>
  <c r="S219" i="26"/>
  <c r="M219" i="26"/>
  <c r="S218" i="26"/>
  <c r="M218" i="26"/>
  <c r="T217" i="26"/>
  <c r="S217" i="26"/>
  <c r="M217" i="26"/>
  <c r="S216" i="26"/>
  <c r="M216" i="26"/>
  <c r="S215" i="26"/>
  <c r="M215" i="26"/>
  <c r="S214" i="26"/>
  <c r="M214" i="26"/>
  <c r="T213" i="26"/>
  <c r="S213" i="26" s="1"/>
  <c r="M213" i="26"/>
  <c r="S212" i="26"/>
  <c r="M212" i="26"/>
  <c r="T211" i="26"/>
  <c r="S211" i="26"/>
  <c r="N211" i="26"/>
  <c r="M211" i="26"/>
  <c r="S210" i="26"/>
  <c r="M210" i="26"/>
  <c r="S209" i="26"/>
  <c r="M209" i="26"/>
  <c r="S208" i="26"/>
  <c r="M208" i="26"/>
  <c r="S207" i="26"/>
  <c r="M207" i="26"/>
  <c r="S206" i="26"/>
  <c r="M206" i="26"/>
  <c r="M205" i="26"/>
  <c r="S204" i="26"/>
  <c r="M204" i="26"/>
  <c r="T203" i="26"/>
  <c r="S203" i="26" s="1"/>
  <c r="M203" i="26"/>
  <c r="S202" i="26"/>
  <c r="M202" i="26"/>
  <c r="S201" i="26"/>
  <c r="M201" i="26"/>
  <c r="S200" i="26"/>
  <c r="M200" i="26"/>
  <c r="S199" i="26"/>
  <c r="M199" i="26"/>
  <c r="S198" i="26"/>
  <c r="M198" i="26"/>
  <c r="S197" i="26"/>
  <c r="M197" i="26"/>
  <c r="T196" i="26"/>
  <c r="S196" i="26"/>
  <c r="N196" i="26"/>
  <c r="M196" i="26"/>
  <c r="S195" i="26"/>
  <c r="M195" i="26"/>
  <c r="S194" i="26"/>
  <c r="N194" i="26"/>
  <c r="M194" i="26" s="1"/>
  <c r="S193" i="26"/>
  <c r="M193" i="26"/>
  <c r="S192" i="26"/>
  <c r="M192" i="26"/>
  <c r="S191" i="26"/>
  <c r="M191" i="26"/>
  <c r="S190" i="26"/>
  <c r="M190" i="26"/>
  <c r="S189" i="26"/>
  <c r="M189" i="26"/>
  <c r="S188" i="26"/>
  <c r="M188" i="26"/>
  <c r="S187" i="26"/>
  <c r="M187" i="26"/>
  <c r="T186" i="26"/>
  <c r="S186" i="26" s="1"/>
  <c r="N186" i="26"/>
  <c r="M186" i="26" s="1"/>
  <c r="S185" i="26"/>
  <c r="M185" i="26"/>
  <c r="M184" i="26"/>
  <c r="S183" i="26"/>
  <c r="M183" i="26"/>
  <c r="S182" i="26"/>
  <c r="M182" i="26"/>
  <c r="S181" i="26"/>
  <c r="M181" i="26"/>
  <c r="T180" i="26"/>
  <c r="S180" i="26"/>
  <c r="M180" i="26"/>
  <c r="S179" i="26"/>
  <c r="M179" i="26"/>
  <c r="T178" i="26"/>
  <c r="S178" i="26" s="1"/>
  <c r="M178" i="26"/>
  <c r="S177" i="26"/>
  <c r="M177" i="26"/>
  <c r="T176" i="26"/>
  <c r="S176" i="26"/>
  <c r="N176" i="26"/>
  <c r="M176" i="26"/>
  <c r="S175" i="26"/>
  <c r="M175" i="26"/>
  <c r="S174" i="26"/>
  <c r="M174" i="26"/>
  <c r="S173" i="26"/>
  <c r="M173" i="26"/>
  <c r="S172" i="26"/>
  <c r="M172" i="26"/>
  <c r="S171" i="26"/>
  <c r="M171" i="26"/>
  <c r="S170" i="26"/>
  <c r="M170" i="26"/>
  <c r="S169" i="26"/>
  <c r="M169" i="26"/>
  <c r="S168" i="26"/>
  <c r="M168" i="26"/>
  <c r="S167" i="26"/>
  <c r="M167" i="26"/>
  <c r="T166" i="26"/>
  <c r="S166" i="26"/>
  <c r="N166" i="26"/>
  <c r="M166" i="26"/>
  <c r="S165" i="26"/>
  <c r="M165" i="26"/>
  <c r="T164" i="26"/>
  <c r="S164" i="26"/>
  <c r="N164" i="26"/>
  <c r="M164" i="26"/>
  <c r="S163" i="26"/>
  <c r="M163" i="26"/>
  <c r="T162" i="26"/>
  <c r="S162" i="26"/>
  <c r="N162" i="26"/>
  <c r="M162" i="26"/>
  <c r="S161" i="26"/>
  <c r="M161" i="26"/>
  <c r="T160" i="26"/>
  <c r="S160" i="26"/>
  <c r="N160" i="26"/>
  <c r="M160" i="26"/>
  <c r="S159" i="26"/>
  <c r="M159" i="26"/>
  <c r="S158" i="26"/>
  <c r="M158" i="26"/>
  <c r="T157" i="26"/>
  <c r="S157" i="26"/>
  <c r="N157" i="26"/>
  <c r="M157" i="26"/>
  <c r="S156" i="26"/>
  <c r="M156" i="26"/>
  <c r="S155" i="26"/>
  <c r="M155" i="26"/>
  <c r="S154" i="26"/>
  <c r="M154" i="26"/>
  <c r="S153" i="26"/>
  <c r="M153" i="26"/>
  <c r="T152" i="26"/>
  <c r="S152" i="26"/>
  <c r="N152" i="26"/>
  <c r="M152" i="26"/>
  <c r="S151" i="26"/>
  <c r="M151" i="26"/>
  <c r="S149" i="26"/>
  <c r="M149" i="26"/>
  <c r="S148" i="26"/>
  <c r="M148" i="26"/>
  <c r="S147" i="26"/>
  <c r="M147" i="26"/>
  <c r="T146" i="26"/>
  <c r="S146" i="26"/>
  <c r="N146" i="26"/>
  <c r="M146" i="26"/>
  <c r="S145" i="26"/>
  <c r="M145" i="26"/>
  <c r="T144" i="26"/>
  <c r="S144" i="26"/>
  <c r="N144" i="26"/>
  <c r="M144" i="26"/>
  <c r="S143" i="26"/>
  <c r="M143" i="26"/>
  <c r="T142" i="26"/>
  <c r="S142" i="26"/>
  <c r="M142" i="26"/>
  <c r="S141" i="26"/>
  <c r="M141" i="26"/>
  <c r="S140" i="26"/>
  <c r="M140" i="26"/>
  <c r="S139" i="26"/>
  <c r="M139" i="26"/>
  <c r="S138" i="26"/>
  <c r="M138" i="26"/>
  <c r="S137" i="26"/>
  <c r="M137" i="26"/>
  <c r="S136" i="26"/>
  <c r="M136" i="26"/>
  <c r="M135" i="26"/>
  <c r="S134" i="26"/>
  <c r="M134" i="26"/>
  <c r="S133" i="26"/>
  <c r="M133" i="26"/>
  <c r="S132" i="26"/>
  <c r="M132" i="26"/>
  <c r="S131" i="26"/>
  <c r="M131" i="26"/>
  <c r="S130" i="26"/>
  <c r="M130" i="26"/>
  <c r="T129" i="26"/>
  <c r="S129" i="26"/>
  <c r="M129" i="26"/>
  <c r="S128" i="26"/>
  <c r="M128" i="26"/>
  <c r="S127" i="26"/>
  <c r="M127" i="26"/>
  <c r="S126" i="26"/>
  <c r="M126" i="26"/>
  <c r="T125" i="26"/>
  <c r="S125" i="26" s="1"/>
  <c r="N125" i="26"/>
  <c r="M125" i="26" s="1"/>
  <c r="S124" i="26"/>
  <c r="M124" i="26"/>
  <c r="S123" i="26"/>
  <c r="M123" i="26"/>
  <c r="S122" i="26"/>
  <c r="M122" i="26"/>
  <c r="S121" i="26"/>
  <c r="M121" i="26"/>
  <c r="S120" i="26"/>
  <c r="M120" i="26"/>
  <c r="S119" i="26"/>
  <c r="T118" i="26"/>
  <c r="S118" i="26"/>
  <c r="N118" i="26"/>
  <c r="M118" i="26"/>
  <c r="S117" i="26"/>
  <c r="M117" i="26"/>
  <c r="T116" i="26"/>
  <c r="S116" i="26"/>
  <c r="N116" i="26"/>
  <c r="M116" i="26"/>
  <c r="S115" i="26"/>
  <c r="M115" i="26"/>
  <c r="S114" i="26"/>
  <c r="M114" i="26"/>
  <c r="S113" i="26"/>
  <c r="M113" i="26"/>
  <c r="T112" i="26"/>
  <c r="S112" i="26"/>
  <c r="N112" i="26"/>
  <c r="M112" i="26"/>
  <c r="S111" i="26"/>
  <c r="M111" i="26"/>
  <c r="T110" i="26"/>
  <c r="S110" i="26"/>
  <c r="N110" i="26"/>
  <c r="M110" i="26"/>
  <c r="S109" i="26"/>
  <c r="M109" i="26"/>
  <c r="S108" i="26"/>
  <c r="N108" i="26"/>
  <c r="M108" i="26" s="1"/>
  <c r="S107" i="26"/>
  <c r="M107" i="26"/>
  <c r="T106" i="26"/>
  <c r="S106" i="26" s="1"/>
  <c r="N106" i="26"/>
  <c r="M106" i="26" s="1"/>
  <c r="S105" i="26"/>
  <c r="M105" i="26"/>
  <c r="S104" i="26"/>
  <c r="N104" i="26"/>
  <c r="M104" i="26"/>
  <c r="S103" i="26"/>
  <c r="M103" i="26"/>
  <c r="M102" i="26"/>
  <c r="S101" i="26"/>
  <c r="M101" i="26"/>
  <c r="S100" i="26"/>
  <c r="M100" i="26"/>
  <c r="S99" i="26"/>
  <c r="M99" i="26"/>
  <c r="S98" i="26"/>
  <c r="M98" i="26"/>
  <c r="S97" i="26"/>
  <c r="M97" i="26"/>
  <c r="S96" i="26"/>
  <c r="M96" i="26"/>
  <c r="S95" i="26"/>
  <c r="M95" i="26"/>
  <c r="S93" i="26"/>
  <c r="M93" i="26"/>
  <c r="S92" i="26"/>
  <c r="M92" i="26"/>
  <c r="S91" i="26"/>
  <c r="M91" i="26"/>
  <c r="S90" i="26"/>
  <c r="M90" i="26"/>
  <c r="S89" i="26"/>
  <c r="M89" i="26"/>
  <c r="S88" i="26"/>
  <c r="M88" i="26"/>
  <c r="S87" i="26"/>
  <c r="M87" i="26"/>
  <c r="S86" i="26"/>
  <c r="M86" i="26"/>
  <c r="S85" i="26"/>
  <c r="M85" i="26"/>
  <c r="S84" i="26"/>
  <c r="M84" i="26"/>
  <c r="S83" i="26"/>
  <c r="M83" i="26"/>
  <c r="S82" i="26"/>
  <c r="M82" i="26"/>
  <c r="S81" i="26"/>
  <c r="M81" i="26"/>
  <c r="S80" i="26"/>
  <c r="M80" i="26"/>
  <c r="S79" i="26"/>
  <c r="M79" i="26"/>
  <c r="S78" i="26"/>
  <c r="M78" i="26"/>
  <c r="S77" i="26"/>
  <c r="M77" i="26"/>
  <c r="S76" i="26"/>
  <c r="S75" i="26"/>
  <c r="M75" i="26"/>
  <c r="S74" i="26"/>
  <c r="M74" i="26"/>
  <c r="S73" i="26"/>
  <c r="M73" i="26"/>
  <c r="S72" i="26"/>
  <c r="M72" i="26"/>
  <c r="S71" i="26"/>
  <c r="M71" i="26"/>
  <c r="S70" i="26"/>
  <c r="M70" i="26"/>
  <c r="S69" i="26"/>
  <c r="M69" i="26"/>
  <c r="S68" i="26"/>
  <c r="M68" i="26"/>
  <c r="S67" i="26"/>
  <c r="M67" i="26"/>
  <c r="S66" i="26"/>
  <c r="N66" i="26"/>
  <c r="M66" i="26" s="1"/>
  <c r="S65" i="26"/>
  <c r="M65" i="26"/>
  <c r="S64" i="26"/>
  <c r="M64" i="26"/>
  <c r="S63" i="26"/>
  <c r="M63" i="26"/>
  <c r="S62" i="26"/>
  <c r="M62" i="26"/>
  <c r="S61" i="26"/>
  <c r="M61" i="26"/>
  <c r="S60" i="26"/>
  <c r="M60" i="26"/>
  <c r="S59" i="26"/>
  <c r="M59" i="26"/>
  <c r="T58" i="26"/>
  <c r="S58" i="26" s="1"/>
  <c r="M58" i="26"/>
  <c r="S57" i="26"/>
  <c r="M57" i="26"/>
  <c r="S56" i="26"/>
  <c r="M56" i="26"/>
  <c r="S55" i="26"/>
  <c r="M55" i="26"/>
  <c r="T54" i="26"/>
  <c r="S54" i="26"/>
  <c r="M54" i="26"/>
  <c r="S53" i="26"/>
  <c r="M53" i="26"/>
  <c r="S52" i="26"/>
  <c r="M52" i="26"/>
  <c r="S51" i="26"/>
  <c r="M51" i="26"/>
  <c r="S50" i="26"/>
  <c r="M50" i="26"/>
  <c r="S49" i="26"/>
  <c r="M49" i="26"/>
  <c r="S48" i="26"/>
  <c r="M48" i="26"/>
  <c r="S47" i="26"/>
  <c r="M47" i="26"/>
  <c r="S46" i="26"/>
  <c r="M46" i="26"/>
  <c r="S45" i="26"/>
  <c r="M45" i="26"/>
  <c r="S44" i="26"/>
  <c r="M44" i="26"/>
  <c r="S43" i="26"/>
  <c r="M43" i="26"/>
  <c r="S42" i="26"/>
  <c r="M42" i="26"/>
  <c r="S41" i="26"/>
  <c r="M41" i="26"/>
  <c r="S40" i="26"/>
  <c r="M40" i="26"/>
  <c r="S39" i="26"/>
  <c r="M39" i="26"/>
  <c r="S38" i="26"/>
  <c r="M38" i="26"/>
  <c r="S37" i="26"/>
  <c r="M37" i="26"/>
  <c r="T36" i="26"/>
  <c r="S36" i="26" s="1"/>
  <c r="N36" i="26"/>
  <c r="M36" i="26" s="1"/>
  <c r="S35" i="26"/>
  <c r="M35" i="26"/>
  <c r="S34" i="26"/>
  <c r="M34" i="26"/>
  <c r="S33" i="26"/>
  <c r="M33" i="26"/>
  <c r="S31" i="26"/>
  <c r="M31" i="26"/>
  <c r="S30" i="26"/>
  <c r="M30" i="26"/>
  <c r="S29" i="26"/>
  <c r="M29" i="26"/>
  <c r="T28" i="26"/>
  <c r="S28" i="26" s="1"/>
  <c r="N28" i="26"/>
  <c r="M28" i="26" s="1"/>
  <c r="S27" i="26"/>
  <c r="M27" i="26"/>
  <c r="T26" i="26"/>
  <c r="S26" i="26" s="1"/>
  <c r="M26" i="26"/>
  <c r="S25" i="26"/>
  <c r="M25" i="26"/>
  <c r="T24" i="26"/>
  <c r="S24" i="26"/>
  <c r="M24" i="26"/>
  <c r="S23" i="26"/>
  <c r="M23" i="26"/>
  <c r="S22" i="26"/>
  <c r="M22" i="26"/>
  <c r="S21" i="26"/>
  <c r="M21" i="26"/>
  <c r="T20" i="26"/>
  <c r="S20" i="26" s="1"/>
  <c r="M20" i="26"/>
  <c r="S19" i="26"/>
  <c r="M19" i="26"/>
  <c r="S18" i="26"/>
  <c r="M18" i="26"/>
  <c r="S17" i="26"/>
  <c r="M17" i="26"/>
  <c r="S16" i="26"/>
  <c r="N16" i="26"/>
  <c r="M291" i="26" s="1"/>
  <c r="S15" i="26"/>
  <c r="M15" i="26"/>
  <c r="T14" i="26"/>
  <c r="S291" i="26" s="1"/>
  <c r="M14" i="26"/>
  <c r="S13" i="26"/>
  <c r="M13" i="26"/>
  <c r="S12" i="26"/>
  <c r="M12" i="26"/>
  <c r="S11" i="26"/>
  <c r="M11" i="26"/>
  <c r="S10" i="26"/>
  <c r="R292" i="26" s="1"/>
  <c r="M10" i="26"/>
  <c r="L292" i="26" s="1"/>
  <c r="S9" i="26"/>
  <c r="R290" i="26" s="1"/>
  <c r="M9" i="26"/>
  <c r="L290" i="26" s="1"/>
  <c r="T290" i="25"/>
  <c r="T291" i="25" s="1"/>
  <c r="S290" i="25"/>
  <c r="S291" i="25" s="1"/>
  <c r="Q290" i="25"/>
  <c r="Q291" i="25" s="1"/>
  <c r="P290" i="25"/>
  <c r="P291" i="25" s="1"/>
  <c r="O290" i="25"/>
  <c r="O291" i="25" s="1"/>
  <c r="N290" i="25"/>
  <c r="N291" i="25" s="1"/>
  <c r="M290" i="25"/>
  <c r="K290" i="25"/>
  <c r="K291" i="25" s="1"/>
  <c r="J290" i="25"/>
  <c r="J291" i="25" s="1"/>
  <c r="I290" i="25"/>
  <c r="I291" i="25" s="1"/>
  <c r="H290" i="25"/>
  <c r="H291" i="25" s="1"/>
  <c r="G290" i="25"/>
  <c r="G291" i="25" s="1"/>
  <c r="T289" i="25"/>
  <c r="Q289" i="25"/>
  <c r="P289" i="25"/>
  <c r="O289" i="25"/>
  <c r="N289" i="25"/>
  <c r="K289" i="25"/>
  <c r="J289" i="25"/>
  <c r="I289" i="25"/>
  <c r="H289" i="25"/>
  <c r="G289" i="25"/>
  <c r="T288" i="25"/>
  <c r="S288" i="25"/>
  <c r="U288" i="25" s="1"/>
  <c r="Q288" i="25"/>
  <c r="P288" i="25"/>
  <c r="O288" i="25"/>
  <c r="N288" i="25"/>
  <c r="M288" i="25"/>
  <c r="K288" i="25"/>
  <c r="J288" i="25"/>
  <c r="V288" i="25" s="1"/>
  <c r="I288" i="25"/>
  <c r="H288" i="25"/>
  <c r="G288" i="25"/>
  <c r="U282" i="25"/>
  <c r="R282" i="25"/>
  <c r="Q282" i="25"/>
  <c r="P282" i="25"/>
  <c r="O282" i="25"/>
  <c r="L282" i="25"/>
  <c r="K282" i="25"/>
  <c r="J282" i="25"/>
  <c r="I282" i="25"/>
  <c r="H282" i="25"/>
  <c r="M281" i="25"/>
  <c r="S280" i="25"/>
  <c r="M280" i="25"/>
  <c r="S279" i="25"/>
  <c r="M279" i="25"/>
  <c r="S278" i="25"/>
  <c r="M278" i="25"/>
  <c r="T277" i="25"/>
  <c r="S277" i="25" s="1"/>
  <c r="N277" i="25"/>
  <c r="M277" i="25" s="1"/>
  <c r="S276" i="25"/>
  <c r="M276" i="25"/>
  <c r="M275" i="25"/>
  <c r="S274" i="25"/>
  <c r="M274" i="25"/>
  <c r="S273" i="25"/>
  <c r="M273" i="25"/>
  <c r="S272" i="25"/>
  <c r="M272" i="25"/>
  <c r="S271" i="25"/>
  <c r="M271" i="25"/>
  <c r="S270" i="25"/>
  <c r="M270" i="25"/>
  <c r="S269" i="25"/>
  <c r="M269" i="25"/>
  <c r="S268" i="25"/>
  <c r="M268" i="25"/>
  <c r="S267" i="25"/>
  <c r="M267" i="25"/>
  <c r="S266" i="25"/>
  <c r="M266" i="25"/>
  <c r="T265" i="25"/>
  <c r="S265" i="25"/>
  <c r="N265" i="25"/>
  <c r="M265" i="25"/>
  <c r="S264" i="25"/>
  <c r="M264" i="25"/>
  <c r="T263" i="25"/>
  <c r="S263" i="25"/>
  <c r="M263" i="25"/>
  <c r="S262" i="25"/>
  <c r="M262" i="25"/>
  <c r="T261" i="25"/>
  <c r="S261" i="25" s="1"/>
  <c r="N261" i="25"/>
  <c r="M261" i="25" s="1"/>
  <c r="S260" i="25"/>
  <c r="M260" i="25"/>
  <c r="T259" i="25"/>
  <c r="S259" i="25" s="1"/>
  <c r="M259" i="25"/>
  <c r="S258" i="25"/>
  <c r="M258" i="25"/>
  <c r="S257" i="25"/>
  <c r="N257" i="25"/>
  <c r="M257" i="25" s="1"/>
  <c r="S256" i="25"/>
  <c r="M256" i="25"/>
  <c r="T255" i="25"/>
  <c r="S255" i="25" s="1"/>
  <c r="M255" i="25"/>
  <c r="S254" i="25"/>
  <c r="M254" i="25"/>
  <c r="S253" i="25"/>
  <c r="M253" i="25"/>
  <c r="S252" i="25"/>
  <c r="M252" i="25"/>
  <c r="S251" i="25"/>
  <c r="M251" i="25"/>
  <c r="S250" i="25"/>
  <c r="M250" i="25"/>
  <c r="S249" i="25"/>
  <c r="M249" i="25"/>
  <c r="S248" i="25"/>
  <c r="M248" i="25"/>
  <c r="M247" i="25"/>
  <c r="S246" i="25"/>
  <c r="M246" i="25"/>
  <c r="S245" i="25"/>
  <c r="M245" i="25"/>
  <c r="S244" i="25"/>
  <c r="M244" i="25"/>
  <c r="T243" i="25"/>
  <c r="S243" i="25" s="1"/>
  <c r="M243" i="25"/>
  <c r="S242" i="25"/>
  <c r="M242" i="25"/>
  <c r="T241" i="25"/>
  <c r="S241" i="25"/>
  <c r="N241" i="25"/>
  <c r="M241" i="25"/>
  <c r="S240" i="25"/>
  <c r="M240" i="25"/>
  <c r="S239" i="25"/>
  <c r="M239" i="25"/>
  <c r="S238" i="25"/>
  <c r="M238" i="25"/>
  <c r="T237" i="25"/>
  <c r="S237" i="25"/>
  <c r="M237" i="25"/>
  <c r="S236" i="25"/>
  <c r="M236" i="25"/>
  <c r="T235" i="25"/>
  <c r="S235" i="25" s="1"/>
  <c r="M235" i="25"/>
  <c r="S234" i="25"/>
  <c r="M234" i="25"/>
  <c r="S233" i="25"/>
  <c r="M233" i="25"/>
  <c r="S232" i="25"/>
  <c r="M232" i="25"/>
  <c r="S231" i="25"/>
  <c r="M231" i="25"/>
  <c r="S230" i="25"/>
  <c r="M230" i="25"/>
  <c r="S229" i="25"/>
  <c r="M229" i="25"/>
  <c r="S228" i="25"/>
  <c r="M228" i="25"/>
  <c r="S225" i="25"/>
  <c r="M225" i="25"/>
  <c r="S224" i="25"/>
  <c r="M224" i="25"/>
  <c r="S223" i="25"/>
  <c r="M223" i="25"/>
  <c r="S222" i="25"/>
  <c r="M222" i="25"/>
  <c r="M221" i="25"/>
  <c r="S220" i="25"/>
  <c r="M220" i="25"/>
  <c r="S219" i="25"/>
  <c r="M219" i="25"/>
  <c r="S218" i="25"/>
  <c r="M218" i="25"/>
  <c r="S217" i="25"/>
  <c r="M217" i="25"/>
  <c r="S216" i="25"/>
  <c r="M216" i="25"/>
  <c r="T215" i="25"/>
  <c r="S215" i="25" s="1"/>
  <c r="M215" i="25"/>
  <c r="S214" i="25"/>
  <c r="M214" i="25"/>
  <c r="S213" i="25"/>
  <c r="M213" i="25"/>
  <c r="S212" i="25"/>
  <c r="M212" i="25"/>
  <c r="T211" i="25"/>
  <c r="S211" i="25"/>
  <c r="M211" i="25"/>
  <c r="S210" i="25"/>
  <c r="M210" i="25"/>
  <c r="T209" i="25"/>
  <c r="S209" i="25" s="1"/>
  <c r="N209" i="25"/>
  <c r="M209" i="25" s="1"/>
  <c r="S208" i="25"/>
  <c r="M208" i="25"/>
  <c r="S207" i="25"/>
  <c r="M207" i="25"/>
  <c r="S206" i="25"/>
  <c r="M206" i="25"/>
  <c r="M205" i="25"/>
  <c r="S204" i="25"/>
  <c r="M204" i="25"/>
  <c r="T203" i="25"/>
  <c r="S203" i="25"/>
  <c r="M203" i="25"/>
  <c r="S202" i="25"/>
  <c r="M202" i="25"/>
  <c r="S201" i="25"/>
  <c r="M201" i="25"/>
  <c r="S200" i="25"/>
  <c r="M200" i="25"/>
  <c r="S199" i="25"/>
  <c r="M199" i="25"/>
  <c r="S198" i="25"/>
  <c r="M198" i="25"/>
  <c r="S197" i="25"/>
  <c r="M197" i="25"/>
  <c r="T196" i="25"/>
  <c r="S196" i="25" s="1"/>
  <c r="N196" i="25"/>
  <c r="M196" i="25" s="1"/>
  <c r="S195" i="25"/>
  <c r="M195" i="25"/>
  <c r="S194" i="25"/>
  <c r="N194" i="25"/>
  <c r="M194" i="25"/>
  <c r="S193" i="25"/>
  <c r="M193" i="25"/>
  <c r="S192" i="25"/>
  <c r="M192" i="25"/>
  <c r="S191" i="25"/>
  <c r="M191" i="25"/>
  <c r="S190" i="25"/>
  <c r="M190" i="25"/>
  <c r="S189" i="25"/>
  <c r="M189" i="25"/>
  <c r="S188" i="25"/>
  <c r="M188" i="25"/>
  <c r="S187" i="25"/>
  <c r="M187" i="25"/>
  <c r="T186" i="25"/>
  <c r="S186" i="25"/>
  <c r="N186" i="25"/>
  <c r="M186" i="25"/>
  <c r="S185" i="25"/>
  <c r="M185" i="25"/>
  <c r="M184" i="25"/>
  <c r="S183" i="25"/>
  <c r="M183" i="25"/>
  <c r="S182" i="25"/>
  <c r="M182" i="25"/>
  <c r="S181" i="25"/>
  <c r="M181" i="25"/>
  <c r="T180" i="25"/>
  <c r="S180" i="25" s="1"/>
  <c r="M180" i="25"/>
  <c r="S179" i="25"/>
  <c r="M179" i="25"/>
  <c r="T178" i="25"/>
  <c r="S178" i="25"/>
  <c r="M178" i="25"/>
  <c r="S177" i="25"/>
  <c r="M177" i="25"/>
  <c r="T176" i="25"/>
  <c r="S176" i="25" s="1"/>
  <c r="N176" i="25"/>
  <c r="M176" i="25" s="1"/>
  <c r="S175" i="25"/>
  <c r="M175" i="25"/>
  <c r="S174" i="25"/>
  <c r="M174" i="25"/>
  <c r="S173" i="25"/>
  <c r="M173" i="25"/>
  <c r="S172" i="25"/>
  <c r="M172" i="25"/>
  <c r="S171" i="25"/>
  <c r="M171" i="25"/>
  <c r="S170" i="25"/>
  <c r="M170" i="25"/>
  <c r="S169" i="25"/>
  <c r="M169" i="25"/>
  <c r="S168" i="25"/>
  <c r="M168" i="25"/>
  <c r="S167" i="25"/>
  <c r="M167" i="25"/>
  <c r="T166" i="25"/>
  <c r="S166" i="25" s="1"/>
  <c r="N166" i="25"/>
  <c r="M166" i="25" s="1"/>
  <c r="S165" i="25"/>
  <c r="M165" i="25"/>
  <c r="T164" i="25"/>
  <c r="S164" i="25" s="1"/>
  <c r="N164" i="25"/>
  <c r="M164" i="25" s="1"/>
  <c r="S163" i="25"/>
  <c r="M163" i="25"/>
  <c r="T162" i="25"/>
  <c r="S162" i="25" s="1"/>
  <c r="N162" i="25"/>
  <c r="M162" i="25" s="1"/>
  <c r="S161" i="25"/>
  <c r="M161" i="25"/>
  <c r="T160" i="25"/>
  <c r="S160" i="25" s="1"/>
  <c r="N160" i="25"/>
  <c r="M160" i="25" s="1"/>
  <c r="S159" i="25"/>
  <c r="M159" i="25"/>
  <c r="S158" i="25"/>
  <c r="M158" i="25"/>
  <c r="T157" i="25"/>
  <c r="S157" i="25" s="1"/>
  <c r="N157" i="25"/>
  <c r="M157" i="25" s="1"/>
  <c r="S156" i="25"/>
  <c r="M156" i="25"/>
  <c r="S155" i="25"/>
  <c r="M155" i="25"/>
  <c r="S154" i="25"/>
  <c r="M154" i="25"/>
  <c r="S153" i="25"/>
  <c r="M153" i="25"/>
  <c r="T152" i="25"/>
  <c r="S152" i="25" s="1"/>
  <c r="N152" i="25"/>
  <c r="M152" i="25" s="1"/>
  <c r="S151" i="25"/>
  <c r="M151" i="25"/>
  <c r="S149" i="25"/>
  <c r="M149" i="25"/>
  <c r="S148" i="25"/>
  <c r="M148" i="25"/>
  <c r="S147" i="25"/>
  <c r="M147" i="25"/>
  <c r="T146" i="25"/>
  <c r="S146" i="25" s="1"/>
  <c r="N146" i="25"/>
  <c r="M146" i="25" s="1"/>
  <c r="S145" i="25"/>
  <c r="M145" i="25"/>
  <c r="T144" i="25"/>
  <c r="S144" i="25" s="1"/>
  <c r="N144" i="25"/>
  <c r="M144" i="25" s="1"/>
  <c r="S143" i="25"/>
  <c r="M143" i="25"/>
  <c r="T142" i="25"/>
  <c r="S142" i="25" s="1"/>
  <c r="M142" i="25"/>
  <c r="S141" i="25"/>
  <c r="M141" i="25"/>
  <c r="S140" i="25"/>
  <c r="M140" i="25"/>
  <c r="S139" i="25"/>
  <c r="M139" i="25"/>
  <c r="S138" i="25"/>
  <c r="M138" i="25"/>
  <c r="S137" i="25"/>
  <c r="M137" i="25"/>
  <c r="S136" i="25"/>
  <c r="M136" i="25"/>
  <c r="M135" i="25"/>
  <c r="S134" i="25"/>
  <c r="M134" i="25"/>
  <c r="S133" i="25"/>
  <c r="M133" i="25"/>
  <c r="S132" i="25"/>
  <c r="M132" i="25"/>
  <c r="S131" i="25"/>
  <c r="M131" i="25"/>
  <c r="S130" i="25"/>
  <c r="M130" i="25"/>
  <c r="T129" i="25"/>
  <c r="S129" i="25" s="1"/>
  <c r="M129" i="25"/>
  <c r="S128" i="25"/>
  <c r="M128" i="25"/>
  <c r="S127" i="25"/>
  <c r="M127" i="25"/>
  <c r="S126" i="25"/>
  <c r="M126" i="25"/>
  <c r="T125" i="25"/>
  <c r="S125" i="25"/>
  <c r="N125" i="25"/>
  <c r="M125" i="25"/>
  <c r="S124" i="25"/>
  <c r="M124" i="25"/>
  <c r="S123" i="25"/>
  <c r="M123" i="25"/>
  <c r="S122" i="25"/>
  <c r="M122" i="25"/>
  <c r="S121" i="25"/>
  <c r="M121" i="25"/>
  <c r="S120" i="25"/>
  <c r="M120" i="25"/>
  <c r="S119" i="25"/>
  <c r="T118" i="25"/>
  <c r="S118" i="25" s="1"/>
  <c r="N118" i="25"/>
  <c r="M118" i="25" s="1"/>
  <c r="S117" i="25"/>
  <c r="M117" i="25"/>
  <c r="T116" i="25"/>
  <c r="S116" i="25" s="1"/>
  <c r="N116" i="25"/>
  <c r="M116" i="25" s="1"/>
  <c r="S115" i="25"/>
  <c r="M115" i="25"/>
  <c r="S114" i="25"/>
  <c r="M114" i="25"/>
  <c r="S113" i="25"/>
  <c r="M113" i="25"/>
  <c r="T112" i="25"/>
  <c r="S112" i="25" s="1"/>
  <c r="N112" i="25"/>
  <c r="M112" i="25" s="1"/>
  <c r="S111" i="25"/>
  <c r="M111" i="25"/>
  <c r="T110" i="25"/>
  <c r="S110" i="25" s="1"/>
  <c r="N110" i="25"/>
  <c r="M110" i="25" s="1"/>
  <c r="S109" i="25"/>
  <c r="M109" i="25"/>
  <c r="S108" i="25"/>
  <c r="N108" i="25"/>
  <c r="M108" i="25"/>
  <c r="S107" i="25"/>
  <c r="M107" i="25"/>
  <c r="T106" i="25"/>
  <c r="S106" i="25"/>
  <c r="N106" i="25"/>
  <c r="M106" i="25"/>
  <c r="S105" i="25"/>
  <c r="M105" i="25"/>
  <c r="S104" i="25"/>
  <c r="N104" i="25"/>
  <c r="N282" i="25" s="1"/>
  <c r="S103" i="25"/>
  <c r="M103" i="25"/>
  <c r="M102" i="25"/>
  <c r="S101" i="25"/>
  <c r="M101" i="25"/>
  <c r="S100" i="25"/>
  <c r="M100" i="25"/>
  <c r="S99" i="25"/>
  <c r="M99" i="25"/>
  <c r="S98" i="25"/>
  <c r="M98" i="25"/>
  <c r="S97" i="25"/>
  <c r="M97" i="25"/>
  <c r="S96" i="25"/>
  <c r="M96" i="25"/>
  <c r="S95" i="25"/>
  <c r="M95" i="25"/>
  <c r="S93" i="25"/>
  <c r="M93" i="25"/>
  <c r="S92" i="25"/>
  <c r="M92" i="25"/>
  <c r="S91" i="25"/>
  <c r="M91" i="25"/>
  <c r="S90" i="25"/>
  <c r="M90" i="25"/>
  <c r="S89" i="25"/>
  <c r="M89" i="25"/>
  <c r="S88" i="25"/>
  <c r="M88" i="25"/>
  <c r="S87" i="25"/>
  <c r="M87" i="25"/>
  <c r="S86" i="25"/>
  <c r="M86" i="25"/>
  <c r="S85" i="25"/>
  <c r="M85" i="25"/>
  <c r="S84" i="25"/>
  <c r="M84" i="25"/>
  <c r="S83" i="25"/>
  <c r="M83" i="25"/>
  <c r="S82" i="25"/>
  <c r="M82" i="25"/>
  <c r="S81" i="25"/>
  <c r="M81" i="25"/>
  <c r="S80" i="25"/>
  <c r="M80" i="25"/>
  <c r="S79" i="25"/>
  <c r="M79" i="25"/>
  <c r="S78" i="25"/>
  <c r="M78" i="25"/>
  <c r="S77" i="25"/>
  <c r="M77" i="25"/>
  <c r="S76" i="25"/>
  <c r="S75" i="25"/>
  <c r="M75" i="25"/>
  <c r="S74" i="25"/>
  <c r="M74" i="25"/>
  <c r="S73" i="25"/>
  <c r="M73" i="25"/>
  <c r="S72" i="25"/>
  <c r="M72" i="25"/>
  <c r="S71" i="25"/>
  <c r="M71" i="25"/>
  <c r="S70" i="25"/>
  <c r="M70" i="25"/>
  <c r="S69" i="25"/>
  <c r="M69" i="25"/>
  <c r="S68" i="25"/>
  <c r="M68" i="25"/>
  <c r="S67" i="25"/>
  <c r="M67" i="25"/>
  <c r="S66" i="25"/>
  <c r="N66" i="25"/>
  <c r="M66" i="25"/>
  <c r="S65" i="25"/>
  <c r="M65" i="25"/>
  <c r="S64" i="25"/>
  <c r="M64" i="25"/>
  <c r="S63" i="25"/>
  <c r="M63" i="25"/>
  <c r="S62" i="25"/>
  <c r="M62" i="25"/>
  <c r="S61" i="25"/>
  <c r="M61" i="25"/>
  <c r="S60" i="25"/>
  <c r="M60" i="25"/>
  <c r="S59" i="25"/>
  <c r="M59" i="25"/>
  <c r="T58" i="25"/>
  <c r="S58" i="25"/>
  <c r="M58" i="25"/>
  <c r="S57" i="25"/>
  <c r="M57" i="25"/>
  <c r="S56" i="25"/>
  <c r="M56" i="25"/>
  <c r="S55" i="25"/>
  <c r="M55" i="25"/>
  <c r="T54" i="25"/>
  <c r="S54" i="25" s="1"/>
  <c r="M54" i="25"/>
  <c r="S53" i="25"/>
  <c r="M53" i="25"/>
  <c r="S52" i="25"/>
  <c r="M52" i="25"/>
  <c r="S51" i="25"/>
  <c r="M51" i="25"/>
  <c r="S50" i="25"/>
  <c r="M50" i="25"/>
  <c r="S49" i="25"/>
  <c r="M49" i="25"/>
  <c r="S48" i="25"/>
  <c r="M48" i="25"/>
  <c r="S47" i="25"/>
  <c r="M47" i="25"/>
  <c r="S46" i="25"/>
  <c r="M46" i="25"/>
  <c r="S45" i="25"/>
  <c r="M45" i="25"/>
  <c r="S44" i="25"/>
  <c r="M44" i="25"/>
  <c r="S43" i="25"/>
  <c r="M43" i="25"/>
  <c r="S42" i="25"/>
  <c r="M42" i="25"/>
  <c r="S41" i="25"/>
  <c r="M41" i="25"/>
  <c r="S40" i="25"/>
  <c r="M40" i="25"/>
  <c r="S39" i="25"/>
  <c r="M39" i="25"/>
  <c r="S38" i="25"/>
  <c r="M38" i="25"/>
  <c r="S37" i="25"/>
  <c r="M37" i="25"/>
  <c r="T36" i="25"/>
  <c r="S36" i="25"/>
  <c r="N36" i="25"/>
  <c r="M36" i="25"/>
  <c r="S35" i="25"/>
  <c r="M35" i="25"/>
  <c r="S34" i="25"/>
  <c r="M34" i="25"/>
  <c r="S33" i="25"/>
  <c r="M33" i="25"/>
  <c r="S31" i="25"/>
  <c r="M31" i="25"/>
  <c r="S30" i="25"/>
  <c r="M30" i="25"/>
  <c r="S29" i="25"/>
  <c r="M29" i="25"/>
  <c r="T28" i="25"/>
  <c r="S28" i="25"/>
  <c r="N28" i="25"/>
  <c r="M28" i="25"/>
  <c r="S27" i="25"/>
  <c r="M27" i="25"/>
  <c r="T26" i="25"/>
  <c r="S26" i="25"/>
  <c r="M26" i="25"/>
  <c r="S25" i="25"/>
  <c r="M25" i="25"/>
  <c r="T24" i="25"/>
  <c r="T282" i="25" s="1"/>
  <c r="M24" i="25"/>
  <c r="S23" i="25"/>
  <c r="M23" i="25"/>
  <c r="S22" i="25"/>
  <c r="M22" i="25"/>
  <c r="S21" i="25"/>
  <c r="M21" i="25"/>
  <c r="T20" i="25"/>
  <c r="S20" i="25"/>
  <c r="M20" i="25"/>
  <c r="S19" i="25"/>
  <c r="M19" i="25"/>
  <c r="S18" i="25"/>
  <c r="M18" i="25"/>
  <c r="S17" i="25"/>
  <c r="M17" i="25"/>
  <c r="S16" i="25"/>
  <c r="N16" i="25"/>
  <c r="M289" i="25" s="1"/>
  <c r="M16" i="25"/>
  <c r="S15" i="25"/>
  <c r="M15" i="25"/>
  <c r="T14" i="25"/>
  <c r="S289" i="25" s="1"/>
  <c r="U289" i="25" s="1"/>
  <c r="S14" i="25"/>
  <c r="M14" i="25"/>
  <c r="S13" i="25"/>
  <c r="M13" i="25"/>
  <c r="S12" i="25"/>
  <c r="M12" i="25"/>
  <c r="S11" i="25"/>
  <c r="M11" i="25"/>
  <c r="S10" i="25"/>
  <c r="R290" i="25" s="1"/>
  <c r="M10" i="25"/>
  <c r="L290" i="25" s="1"/>
  <c r="S9" i="25"/>
  <c r="R288" i="25" s="1"/>
  <c r="M9" i="25"/>
  <c r="L288" i="25" s="1"/>
  <c r="T290" i="24"/>
  <c r="T291" i="24" s="1"/>
  <c r="S290" i="24"/>
  <c r="Q290" i="24"/>
  <c r="Q291" i="24" s="1"/>
  <c r="P290" i="24"/>
  <c r="P291" i="24" s="1"/>
  <c r="O290" i="24"/>
  <c r="O291" i="24" s="1"/>
  <c r="N290" i="24"/>
  <c r="N291" i="24" s="1"/>
  <c r="M290" i="24"/>
  <c r="K290" i="24"/>
  <c r="K291" i="24" s="1"/>
  <c r="J290" i="24"/>
  <c r="J291" i="24" s="1"/>
  <c r="I290" i="24"/>
  <c r="I291" i="24" s="1"/>
  <c r="H290" i="24"/>
  <c r="H291" i="24" s="1"/>
  <c r="G290" i="24"/>
  <c r="G291" i="24" s="1"/>
  <c r="T289" i="24"/>
  <c r="Q289" i="24"/>
  <c r="P289" i="24"/>
  <c r="O289" i="24"/>
  <c r="N289" i="24"/>
  <c r="K289" i="24"/>
  <c r="J289" i="24"/>
  <c r="I289" i="24"/>
  <c r="H289" i="24"/>
  <c r="G289" i="24"/>
  <c r="T288" i="24"/>
  <c r="S288" i="24"/>
  <c r="U288" i="24" s="1"/>
  <c r="Q288" i="24"/>
  <c r="P288" i="24"/>
  <c r="O288" i="24"/>
  <c r="N288" i="24"/>
  <c r="M288" i="24"/>
  <c r="K288" i="24"/>
  <c r="J288" i="24"/>
  <c r="V288" i="24" s="1"/>
  <c r="I288" i="24"/>
  <c r="H288" i="24"/>
  <c r="G288" i="24"/>
  <c r="U282" i="24"/>
  <c r="R282" i="24"/>
  <c r="Q282" i="24"/>
  <c r="P282" i="24"/>
  <c r="O282" i="24"/>
  <c r="L282" i="24"/>
  <c r="K282" i="24"/>
  <c r="J282" i="24"/>
  <c r="I282" i="24"/>
  <c r="H282" i="24"/>
  <c r="M281" i="24"/>
  <c r="S280" i="24"/>
  <c r="M280" i="24"/>
  <c r="S279" i="24"/>
  <c r="M279" i="24"/>
  <c r="S278" i="24"/>
  <c r="M278" i="24"/>
  <c r="T277" i="24"/>
  <c r="S277" i="24" s="1"/>
  <c r="M277" i="24"/>
  <c r="S276" i="24"/>
  <c r="M276" i="24"/>
  <c r="M275" i="24"/>
  <c r="S274" i="24"/>
  <c r="M274" i="24"/>
  <c r="S273" i="24"/>
  <c r="M273" i="24"/>
  <c r="S272" i="24"/>
  <c r="M272" i="24"/>
  <c r="S271" i="24"/>
  <c r="M271" i="24"/>
  <c r="S270" i="24"/>
  <c r="M270" i="24"/>
  <c r="S269" i="24"/>
  <c r="M269" i="24"/>
  <c r="S268" i="24"/>
  <c r="M268" i="24"/>
  <c r="S267" i="24"/>
  <c r="M267" i="24"/>
  <c r="S266" i="24"/>
  <c r="M266" i="24"/>
  <c r="T265" i="24"/>
  <c r="S265" i="24" s="1"/>
  <c r="N265" i="24"/>
  <c r="M265" i="24" s="1"/>
  <c r="S264" i="24"/>
  <c r="M264" i="24"/>
  <c r="T263" i="24"/>
  <c r="S263" i="24" s="1"/>
  <c r="M263" i="24"/>
  <c r="S262" i="24"/>
  <c r="M262" i="24"/>
  <c r="T261" i="24"/>
  <c r="S261" i="24"/>
  <c r="N261" i="24"/>
  <c r="M261" i="24"/>
  <c r="S260" i="24"/>
  <c r="M260" i="24"/>
  <c r="T259" i="24"/>
  <c r="S259" i="24"/>
  <c r="M259" i="24"/>
  <c r="S258" i="24"/>
  <c r="M258" i="24"/>
  <c r="S257" i="24"/>
  <c r="N257" i="24"/>
  <c r="M257" i="24"/>
  <c r="S256" i="24"/>
  <c r="M256" i="24"/>
  <c r="T255" i="24"/>
  <c r="S255" i="24"/>
  <c r="M255" i="24"/>
  <c r="S254" i="24"/>
  <c r="M254" i="24"/>
  <c r="S253" i="24"/>
  <c r="M253" i="24"/>
  <c r="S252" i="24"/>
  <c r="M252" i="24"/>
  <c r="S251" i="24"/>
  <c r="M251" i="24"/>
  <c r="S250" i="24"/>
  <c r="M250" i="24"/>
  <c r="S249" i="24"/>
  <c r="M249" i="24"/>
  <c r="S248" i="24"/>
  <c r="M248" i="24"/>
  <c r="M247" i="24"/>
  <c r="S246" i="24"/>
  <c r="M246" i="24"/>
  <c r="S245" i="24"/>
  <c r="M245" i="24"/>
  <c r="S244" i="24"/>
  <c r="M244" i="24"/>
  <c r="T243" i="24"/>
  <c r="S243" i="24"/>
  <c r="M243" i="24"/>
  <c r="S242" i="24"/>
  <c r="M242" i="24"/>
  <c r="S241" i="24"/>
  <c r="N241" i="24"/>
  <c r="M241" i="24"/>
  <c r="S240" i="24"/>
  <c r="M240" i="24"/>
  <c r="S239" i="24"/>
  <c r="M239" i="24"/>
  <c r="S238" i="24"/>
  <c r="M238" i="24"/>
  <c r="T237" i="24"/>
  <c r="S237" i="24"/>
  <c r="M237" i="24"/>
  <c r="S236" i="24"/>
  <c r="M236" i="24"/>
  <c r="T235" i="24"/>
  <c r="S235" i="24" s="1"/>
  <c r="M235" i="24"/>
  <c r="S234" i="24"/>
  <c r="M234" i="24"/>
  <c r="S233" i="24"/>
  <c r="M233" i="24"/>
  <c r="S232" i="24"/>
  <c r="M232" i="24"/>
  <c r="S231" i="24"/>
  <c r="M231" i="24"/>
  <c r="S230" i="24"/>
  <c r="M230" i="24"/>
  <c r="S229" i="24"/>
  <c r="M229" i="24"/>
  <c r="S228" i="24"/>
  <c r="M228" i="24"/>
  <c r="S225" i="24"/>
  <c r="M225" i="24"/>
  <c r="S224" i="24"/>
  <c r="M224" i="24"/>
  <c r="S223" i="24"/>
  <c r="M223" i="24"/>
  <c r="S222" i="24"/>
  <c r="M222" i="24"/>
  <c r="M221" i="24"/>
  <c r="S220" i="24"/>
  <c r="M220" i="24"/>
  <c r="S219" i="24"/>
  <c r="M219" i="24"/>
  <c r="S218" i="24"/>
  <c r="M218" i="24"/>
  <c r="S217" i="24"/>
  <c r="M217" i="24"/>
  <c r="S216" i="24"/>
  <c r="M216" i="24"/>
  <c r="S215" i="24"/>
  <c r="M215" i="24"/>
  <c r="S214" i="24"/>
  <c r="M214" i="24"/>
  <c r="S213" i="24"/>
  <c r="M213" i="24"/>
  <c r="S212" i="24"/>
  <c r="M212" i="24"/>
  <c r="T211" i="24"/>
  <c r="S211" i="24" s="1"/>
  <c r="M211" i="24"/>
  <c r="S210" i="24"/>
  <c r="M210" i="24"/>
  <c r="T209" i="24"/>
  <c r="S209" i="24"/>
  <c r="N209" i="24"/>
  <c r="M209" i="24"/>
  <c r="S208" i="24"/>
  <c r="M208" i="24"/>
  <c r="S207" i="24"/>
  <c r="M207" i="24"/>
  <c r="S206" i="24"/>
  <c r="M206" i="24"/>
  <c r="M205" i="24"/>
  <c r="S204" i="24"/>
  <c r="M204" i="24"/>
  <c r="T203" i="24"/>
  <c r="S203" i="24" s="1"/>
  <c r="M203" i="24"/>
  <c r="S202" i="24"/>
  <c r="M202" i="24"/>
  <c r="S201" i="24"/>
  <c r="M201" i="24"/>
  <c r="S200" i="24"/>
  <c r="M200" i="24"/>
  <c r="S199" i="24"/>
  <c r="M199" i="24"/>
  <c r="S198" i="24"/>
  <c r="M198" i="24"/>
  <c r="S197" i="24"/>
  <c r="M197" i="24"/>
  <c r="T196" i="24"/>
  <c r="S196" i="24"/>
  <c r="N196" i="24"/>
  <c r="M196" i="24"/>
  <c r="S195" i="24"/>
  <c r="M195" i="24"/>
  <c r="S194" i="24"/>
  <c r="M194" i="24"/>
  <c r="S193" i="24"/>
  <c r="M193" i="24"/>
  <c r="S192" i="24"/>
  <c r="M192" i="24"/>
  <c r="S191" i="24"/>
  <c r="M191" i="24"/>
  <c r="S190" i="24"/>
  <c r="M190" i="24"/>
  <c r="S189" i="24"/>
  <c r="M189" i="24"/>
  <c r="S188" i="24"/>
  <c r="M188" i="24"/>
  <c r="S187" i="24"/>
  <c r="M187" i="24"/>
  <c r="T186" i="24"/>
  <c r="S186" i="24"/>
  <c r="N186" i="24"/>
  <c r="M186" i="24"/>
  <c r="S185" i="24"/>
  <c r="M185" i="24"/>
  <c r="M184" i="24"/>
  <c r="S183" i="24"/>
  <c r="M183" i="24"/>
  <c r="S182" i="24"/>
  <c r="M182" i="24"/>
  <c r="S181" i="24"/>
  <c r="M181" i="24"/>
  <c r="T180" i="24"/>
  <c r="S180" i="24" s="1"/>
  <c r="M180" i="24"/>
  <c r="S179" i="24"/>
  <c r="M179" i="24"/>
  <c r="T178" i="24"/>
  <c r="S178" i="24"/>
  <c r="M178" i="24"/>
  <c r="S177" i="24"/>
  <c r="M177" i="24"/>
  <c r="T176" i="24"/>
  <c r="S176" i="24" s="1"/>
  <c r="N176" i="24"/>
  <c r="M176" i="24" s="1"/>
  <c r="S175" i="24"/>
  <c r="M175" i="24"/>
  <c r="S174" i="24"/>
  <c r="M174" i="24"/>
  <c r="S173" i="24"/>
  <c r="M173" i="24"/>
  <c r="S172" i="24"/>
  <c r="M172" i="24"/>
  <c r="S171" i="24"/>
  <c r="M171" i="24"/>
  <c r="S170" i="24"/>
  <c r="M170" i="24"/>
  <c r="S169" i="24"/>
  <c r="M169" i="24"/>
  <c r="S168" i="24"/>
  <c r="M168" i="24"/>
  <c r="S167" i="24"/>
  <c r="M167" i="24"/>
  <c r="T166" i="24"/>
  <c r="S166" i="24" s="1"/>
  <c r="N166" i="24"/>
  <c r="M166" i="24" s="1"/>
  <c r="S165" i="24"/>
  <c r="M165" i="24"/>
  <c r="T164" i="24"/>
  <c r="S164" i="24" s="1"/>
  <c r="M164" i="24"/>
  <c r="S163" i="24"/>
  <c r="M163" i="24"/>
  <c r="T162" i="24"/>
  <c r="S162" i="24"/>
  <c r="N162" i="24"/>
  <c r="M162" i="24"/>
  <c r="S161" i="24"/>
  <c r="M161" i="24"/>
  <c r="T160" i="24"/>
  <c r="S160" i="24"/>
  <c r="N160" i="24"/>
  <c r="M160" i="24"/>
  <c r="S159" i="24"/>
  <c r="M159" i="24"/>
  <c r="S158" i="24"/>
  <c r="M158" i="24"/>
  <c r="T157" i="24"/>
  <c r="S157" i="24"/>
  <c r="M157" i="24"/>
  <c r="S156" i="24"/>
  <c r="M156" i="24"/>
  <c r="S155" i="24"/>
  <c r="M155" i="24"/>
  <c r="S154" i="24"/>
  <c r="M154" i="24"/>
  <c r="S153" i="24"/>
  <c r="M153" i="24"/>
  <c r="T152" i="24"/>
  <c r="S152" i="24" s="1"/>
  <c r="N152" i="24"/>
  <c r="M152" i="24" s="1"/>
  <c r="S151" i="24"/>
  <c r="M151" i="24"/>
  <c r="S149" i="24"/>
  <c r="M149" i="24"/>
  <c r="S148" i="24"/>
  <c r="M148" i="24"/>
  <c r="S147" i="24"/>
  <c r="M147" i="24"/>
  <c r="T146" i="24"/>
  <c r="S146" i="24" s="1"/>
  <c r="N146" i="24"/>
  <c r="M146" i="24" s="1"/>
  <c r="S145" i="24"/>
  <c r="M145" i="24"/>
  <c r="T144" i="24"/>
  <c r="S144" i="24" s="1"/>
  <c r="N144" i="24"/>
  <c r="M144" i="24" s="1"/>
  <c r="S143" i="24"/>
  <c r="M143" i="24"/>
  <c r="T142" i="24"/>
  <c r="S142" i="24" s="1"/>
  <c r="M142" i="24"/>
  <c r="S141" i="24"/>
  <c r="M141" i="24"/>
  <c r="S140" i="24"/>
  <c r="M140" i="24"/>
  <c r="S139" i="24"/>
  <c r="M139" i="24"/>
  <c r="S138" i="24"/>
  <c r="M138" i="24"/>
  <c r="S137" i="24"/>
  <c r="M137" i="24"/>
  <c r="S136" i="24"/>
  <c r="M136" i="24"/>
  <c r="M135" i="24"/>
  <c r="S134" i="24"/>
  <c r="M134" i="24"/>
  <c r="S133" i="24"/>
  <c r="M133" i="24"/>
  <c r="S132" i="24"/>
  <c r="M132" i="24"/>
  <c r="S131" i="24"/>
  <c r="M131" i="24"/>
  <c r="S130" i="24"/>
  <c r="M130" i="24"/>
  <c r="S129" i="24"/>
  <c r="M129" i="24"/>
  <c r="S128" i="24"/>
  <c r="M128" i="24"/>
  <c r="S127" i="24"/>
  <c r="M127" i="24"/>
  <c r="S126" i="24"/>
  <c r="M126" i="24"/>
  <c r="T125" i="24"/>
  <c r="S125" i="24" s="1"/>
  <c r="N125" i="24"/>
  <c r="M125" i="24" s="1"/>
  <c r="S124" i="24"/>
  <c r="M124" i="24"/>
  <c r="S123" i="24"/>
  <c r="M123" i="24"/>
  <c r="S122" i="24"/>
  <c r="M122" i="24"/>
  <c r="S121" i="24"/>
  <c r="M121" i="24"/>
  <c r="S120" i="24"/>
  <c r="M120" i="24"/>
  <c r="S119" i="24"/>
  <c r="T118" i="24"/>
  <c r="S118" i="24"/>
  <c r="N118" i="24"/>
  <c r="M118" i="24"/>
  <c r="S117" i="24"/>
  <c r="M117" i="24"/>
  <c r="T116" i="24"/>
  <c r="S116" i="24"/>
  <c r="M116" i="24"/>
  <c r="S115" i="24"/>
  <c r="M115" i="24"/>
  <c r="S114" i="24"/>
  <c r="M114" i="24"/>
  <c r="S113" i="24"/>
  <c r="M113" i="24"/>
  <c r="T112" i="24"/>
  <c r="S112" i="24" s="1"/>
  <c r="N112" i="24"/>
  <c r="M112" i="24" s="1"/>
  <c r="S111" i="24"/>
  <c r="M111" i="24"/>
  <c r="T110" i="24"/>
  <c r="S110" i="24" s="1"/>
  <c r="N110" i="24"/>
  <c r="M110" i="24" s="1"/>
  <c r="S109" i="24"/>
  <c r="M109" i="24"/>
  <c r="S108" i="24"/>
  <c r="N108" i="24"/>
  <c r="M108" i="24"/>
  <c r="S107" i="24"/>
  <c r="M107" i="24"/>
  <c r="T106" i="24"/>
  <c r="S106" i="24"/>
  <c r="N106" i="24"/>
  <c r="M106" i="24"/>
  <c r="S105" i="24"/>
  <c r="M105" i="24"/>
  <c r="S104" i="24"/>
  <c r="N104" i="24"/>
  <c r="M104" i="24" s="1"/>
  <c r="S103" i="24"/>
  <c r="M103" i="24"/>
  <c r="M102" i="24"/>
  <c r="S101" i="24"/>
  <c r="M101" i="24"/>
  <c r="S100" i="24"/>
  <c r="M100" i="24"/>
  <c r="S99" i="24"/>
  <c r="M99" i="24"/>
  <c r="S98" i="24"/>
  <c r="M98" i="24"/>
  <c r="S97" i="24"/>
  <c r="M97" i="24"/>
  <c r="S96" i="24"/>
  <c r="M96" i="24"/>
  <c r="S95" i="24"/>
  <c r="M95" i="24"/>
  <c r="S93" i="24"/>
  <c r="M93" i="24"/>
  <c r="S92" i="24"/>
  <c r="M92" i="24"/>
  <c r="S91" i="24"/>
  <c r="M91" i="24"/>
  <c r="S90" i="24"/>
  <c r="M90" i="24"/>
  <c r="S89" i="24"/>
  <c r="M89" i="24"/>
  <c r="S88" i="24"/>
  <c r="M88" i="24"/>
  <c r="S87" i="24"/>
  <c r="M87" i="24"/>
  <c r="S86" i="24"/>
  <c r="M86" i="24"/>
  <c r="S85" i="24"/>
  <c r="M85" i="24"/>
  <c r="S84" i="24"/>
  <c r="M84" i="24"/>
  <c r="S83" i="24"/>
  <c r="M83" i="24"/>
  <c r="S82" i="24"/>
  <c r="M82" i="24"/>
  <c r="S81" i="24"/>
  <c r="M81" i="24"/>
  <c r="S80" i="24"/>
  <c r="M80" i="24"/>
  <c r="S79" i="24"/>
  <c r="M79" i="24"/>
  <c r="S78" i="24"/>
  <c r="M78" i="24"/>
  <c r="S77" i="24"/>
  <c r="M77" i="24"/>
  <c r="S76" i="24"/>
  <c r="S75" i="24"/>
  <c r="M75" i="24"/>
  <c r="S74" i="24"/>
  <c r="M74" i="24"/>
  <c r="S73" i="24"/>
  <c r="M73" i="24"/>
  <c r="S72" i="24"/>
  <c r="M72" i="24"/>
  <c r="S71" i="24"/>
  <c r="M71" i="24"/>
  <c r="S70" i="24"/>
  <c r="M70" i="24"/>
  <c r="S69" i="24"/>
  <c r="M69" i="24"/>
  <c r="S68" i="24"/>
  <c r="M68" i="24"/>
  <c r="S67" i="24"/>
  <c r="M67" i="24"/>
  <c r="S66" i="24"/>
  <c r="M66" i="24"/>
  <c r="S65" i="24"/>
  <c r="M65" i="24"/>
  <c r="S64" i="24"/>
  <c r="M64" i="24"/>
  <c r="S63" i="24"/>
  <c r="M63" i="24"/>
  <c r="S62" i="24"/>
  <c r="M62" i="24"/>
  <c r="S61" i="24"/>
  <c r="M61" i="24"/>
  <c r="S60" i="24"/>
  <c r="M60" i="24"/>
  <c r="S59" i="24"/>
  <c r="M59" i="24"/>
  <c r="S58" i="24"/>
  <c r="M58" i="24"/>
  <c r="S57" i="24"/>
  <c r="M57" i="24"/>
  <c r="S56" i="24"/>
  <c r="M56" i="24"/>
  <c r="S55" i="24"/>
  <c r="M55" i="24"/>
  <c r="T54" i="24"/>
  <c r="S54" i="24" s="1"/>
  <c r="M54" i="24"/>
  <c r="S53" i="24"/>
  <c r="M53" i="24"/>
  <c r="S52" i="24"/>
  <c r="M52" i="24"/>
  <c r="S51" i="24"/>
  <c r="M51" i="24"/>
  <c r="S50" i="24"/>
  <c r="M50" i="24"/>
  <c r="S49" i="24"/>
  <c r="M49" i="24"/>
  <c r="S48" i="24"/>
  <c r="M48" i="24"/>
  <c r="S47" i="24"/>
  <c r="M47" i="24"/>
  <c r="S46" i="24"/>
  <c r="M46" i="24"/>
  <c r="S45" i="24"/>
  <c r="M45" i="24"/>
  <c r="S44" i="24"/>
  <c r="M44" i="24"/>
  <c r="S43" i="24"/>
  <c r="M43" i="24"/>
  <c r="S42" i="24"/>
  <c r="M42" i="24"/>
  <c r="S41" i="24"/>
  <c r="M41" i="24"/>
  <c r="S40" i="24"/>
  <c r="M40" i="24"/>
  <c r="S39" i="24"/>
  <c r="M39" i="24"/>
  <c r="S38" i="24"/>
  <c r="M38" i="24"/>
  <c r="S37" i="24"/>
  <c r="M37" i="24"/>
  <c r="T36" i="24"/>
  <c r="S36" i="24"/>
  <c r="N36" i="24"/>
  <c r="M36" i="24"/>
  <c r="S35" i="24"/>
  <c r="M35" i="24"/>
  <c r="S34" i="24"/>
  <c r="M34" i="24"/>
  <c r="S33" i="24"/>
  <c r="M33" i="24"/>
  <c r="S31" i="24"/>
  <c r="M31" i="24"/>
  <c r="S30" i="24"/>
  <c r="M30" i="24"/>
  <c r="S29" i="24"/>
  <c r="M29" i="24"/>
  <c r="T28" i="24"/>
  <c r="S28" i="24"/>
  <c r="N28" i="24"/>
  <c r="M289" i="24" s="1"/>
  <c r="M28" i="24"/>
  <c r="S27" i="24"/>
  <c r="M27" i="24"/>
  <c r="T26" i="24"/>
  <c r="S26" i="24"/>
  <c r="M26" i="24"/>
  <c r="S25" i="24"/>
  <c r="M25" i="24"/>
  <c r="T24" i="24"/>
  <c r="S24" i="24" s="1"/>
  <c r="M24" i="24"/>
  <c r="S23" i="24"/>
  <c r="M23" i="24"/>
  <c r="S22" i="24"/>
  <c r="M22" i="24"/>
  <c r="S21" i="24"/>
  <c r="M21" i="24"/>
  <c r="T20" i="24"/>
  <c r="S20" i="24"/>
  <c r="M20" i="24"/>
  <c r="S19" i="24"/>
  <c r="M19" i="24"/>
  <c r="S18" i="24"/>
  <c r="M18" i="24"/>
  <c r="S17" i="24"/>
  <c r="M17" i="24"/>
  <c r="S16" i="24"/>
  <c r="M16" i="24"/>
  <c r="S15" i="24"/>
  <c r="M15" i="24"/>
  <c r="T14" i="24"/>
  <c r="S14" i="24" s="1"/>
  <c r="M14" i="24"/>
  <c r="S13" i="24"/>
  <c r="M13" i="24"/>
  <c r="S12" i="24"/>
  <c r="R289" i="24" s="1"/>
  <c r="M12" i="24"/>
  <c r="S11" i="24"/>
  <c r="M11" i="24"/>
  <c r="S10" i="24"/>
  <c r="R290" i="24" s="1"/>
  <c r="M10" i="24"/>
  <c r="L290" i="24" s="1"/>
  <c r="S9" i="24"/>
  <c r="R288" i="24" s="1"/>
  <c r="M9" i="24"/>
  <c r="L288" i="24" s="1"/>
  <c r="T290" i="23"/>
  <c r="T291" i="23" s="1"/>
  <c r="S290" i="23"/>
  <c r="Q290" i="23"/>
  <c r="Q291" i="23" s="1"/>
  <c r="P290" i="23"/>
  <c r="P291" i="23" s="1"/>
  <c r="O290" i="23"/>
  <c r="O291" i="23" s="1"/>
  <c r="N290" i="23"/>
  <c r="N291" i="23" s="1"/>
  <c r="M290" i="23"/>
  <c r="K290" i="23"/>
  <c r="K291" i="23" s="1"/>
  <c r="J290" i="23"/>
  <c r="J291" i="23" s="1"/>
  <c r="I290" i="23"/>
  <c r="I291" i="23" s="1"/>
  <c r="H290" i="23"/>
  <c r="H291" i="23" s="1"/>
  <c r="G290" i="23"/>
  <c r="G291" i="23" s="1"/>
  <c r="T289" i="23"/>
  <c r="Q289" i="23"/>
  <c r="P289" i="23"/>
  <c r="O289" i="23"/>
  <c r="N289" i="23"/>
  <c r="K289" i="23"/>
  <c r="J289" i="23"/>
  <c r="I289" i="23"/>
  <c r="H289" i="23"/>
  <c r="G289" i="23"/>
  <c r="T288" i="23"/>
  <c r="S288" i="23"/>
  <c r="U288" i="23" s="1"/>
  <c r="Q288" i="23"/>
  <c r="P288" i="23"/>
  <c r="O288" i="23"/>
  <c r="N288" i="23"/>
  <c r="M288" i="23"/>
  <c r="K288" i="23"/>
  <c r="J288" i="23"/>
  <c r="V288" i="23" s="1"/>
  <c r="I288" i="23"/>
  <c r="H288" i="23"/>
  <c r="G288" i="23"/>
  <c r="U282" i="23"/>
  <c r="R282" i="23"/>
  <c r="Q282" i="23"/>
  <c r="P282" i="23"/>
  <c r="O282" i="23"/>
  <c r="L282" i="23"/>
  <c r="K282" i="23"/>
  <c r="J282" i="23"/>
  <c r="I282" i="23"/>
  <c r="H282" i="23"/>
  <c r="M281" i="23"/>
  <c r="S280" i="23"/>
  <c r="M280" i="23"/>
  <c r="S279" i="23"/>
  <c r="M279" i="23"/>
  <c r="S278" i="23"/>
  <c r="M278" i="23"/>
  <c r="T277" i="23"/>
  <c r="S277" i="23"/>
  <c r="M277" i="23"/>
  <c r="S276" i="23"/>
  <c r="M276" i="23"/>
  <c r="M275" i="23"/>
  <c r="S274" i="23"/>
  <c r="M274" i="23"/>
  <c r="S273" i="23"/>
  <c r="M273" i="23"/>
  <c r="S272" i="23"/>
  <c r="M272" i="23"/>
  <c r="S271" i="23"/>
  <c r="M271" i="23"/>
  <c r="S270" i="23"/>
  <c r="M270" i="23"/>
  <c r="S269" i="23"/>
  <c r="M269" i="23"/>
  <c r="S268" i="23"/>
  <c r="M268" i="23"/>
  <c r="S267" i="23"/>
  <c r="M267" i="23"/>
  <c r="S266" i="23"/>
  <c r="M266" i="23"/>
  <c r="T265" i="23"/>
  <c r="S265" i="23"/>
  <c r="N265" i="23"/>
  <c r="M265" i="23"/>
  <c r="S264" i="23"/>
  <c r="M264" i="23"/>
  <c r="T263" i="23"/>
  <c r="S263" i="23"/>
  <c r="M263" i="23"/>
  <c r="S262" i="23"/>
  <c r="M262" i="23"/>
  <c r="T261" i="23"/>
  <c r="S261" i="23" s="1"/>
  <c r="N261" i="23"/>
  <c r="M261" i="23" s="1"/>
  <c r="S260" i="23"/>
  <c r="M260" i="23"/>
  <c r="T259" i="23"/>
  <c r="S259" i="23" s="1"/>
  <c r="M259" i="23"/>
  <c r="S258" i="23"/>
  <c r="M258" i="23"/>
  <c r="S257" i="23"/>
  <c r="N257" i="23"/>
  <c r="M257" i="23" s="1"/>
  <c r="S256" i="23"/>
  <c r="M256" i="23"/>
  <c r="T255" i="23"/>
  <c r="S255" i="23" s="1"/>
  <c r="M255" i="23"/>
  <c r="S254" i="23"/>
  <c r="M254" i="23"/>
  <c r="S253" i="23"/>
  <c r="M253" i="23"/>
  <c r="S252" i="23"/>
  <c r="M252" i="23"/>
  <c r="S251" i="23"/>
  <c r="M251" i="23"/>
  <c r="S250" i="23"/>
  <c r="M250" i="23"/>
  <c r="S249" i="23"/>
  <c r="M249" i="23"/>
  <c r="S248" i="23"/>
  <c r="M248" i="23"/>
  <c r="M247" i="23"/>
  <c r="S246" i="23"/>
  <c r="M246" i="23"/>
  <c r="S245" i="23"/>
  <c r="M245" i="23"/>
  <c r="S244" i="23"/>
  <c r="M244" i="23"/>
  <c r="T243" i="23"/>
  <c r="S243" i="23" s="1"/>
  <c r="M243" i="23"/>
  <c r="S242" i="23"/>
  <c r="M242" i="23"/>
  <c r="S241" i="23"/>
  <c r="M241" i="23"/>
  <c r="S240" i="23"/>
  <c r="M240" i="23"/>
  <c r="S239" i="23"/>
  <c r="M239" i="23"/>
  <c r="S238" i="23"/>
  <c r="M238" i="23"/>
  <c r="T237" i="23"/>
  <c r="S237" i="23"/>
  <c r="M237" i="23"/>
  <c r="S236" i="23"/>
  <c r="M236" i="23"/>
  <c r="T235" i="23"/>
  <c r="S235" i="23" s="1"/>
  <c r="M235" i="23"/>
  <c r="S234" i="23"/>
  <c r="M234" i="23"/>
  <c r="S233" i="23"/>
  <c r="M233" i="23"/>
  <c r="S232" i="23"/>
  <c r="M232" i="23"/>
  <c r="S231" i="23"/>
  <c r="M231" i="23"/>
  <c r="S230" i="23"/>
  <c r="M230" i="23"/>
  <c r="S229" i="23"/>
  <c r="M229" i="23"/>
  <c r="S228" i="23"/>
  <c r="M228" i="23"/>
  <c r="S225" i="23"/>
  <c r="M225" i="23"/>
  <c r="S224" i="23"/>
  <c r="M224" i="23"/>
  <c r="S223" i="23"/>
  <c r="M223" i="23"/>
  <c r="S222" i="23"/>
  <c r="M222" i="23"/>
  <c r="M221" i="23"/>
  <c r="S220" i="23"/>
  <c r="M220" i="23"/>
  <c r="S219" i="23"/>
  <c r="M219" i="23"/>
  <c r="S218" i="23"/>
  <c r="M218" i="23"/>
  <c r="S217" i="23"/>
  <c r="M217" i="23"/>
  <c r="S216" i="23"/>
  <c r="M216" i="23"/>
  <c r="S215" i="23"/>
  <c r="M215" i="23"/>
  <c r="S214" i="23"/>
  <c r="M214" i="23"/>
  <c r="S213" i="23"/>
  <c r="M213" i="23"/>
  <c r="S212" i="23"/>
  <c r="M212" i="23"/>
  <c r="T211" i="23"/>
  <c r="S211" i="23" s="1"/>
  <c r="M211" i="23"/>
  <c r="S210" i="23"/>
  <c r="M210" i="23"/>
  <c r="T209" i="23"/>
  <c r="S209" i="23"/>
  <c r="N209" i="23"/>
  <c r="M209" i="23"/>
  <c r="S208" i="23"/>
  <c r="M208" i="23"/>
  <c r="S207" i="23"/>
  <c r="M207" i="23"/>
  <c r="S206" i="23"/>
  <c r="M206" i="23"/>
  <c r="M205" i="23"/>
  <c r="S204" i="23"/>
  <c r="M204" i="23"/>
  <c r="T203" i="23"/>
  <c r="S203" i="23" s="1"/>
  <c r="M203" i="23"/>
  <c r="S202" i="23"/>
  <c r="M202" i="23"/>
  <c r="S201" i="23"/>
  <c r="M201" i="23"/>
  <c r="S200" i="23"/>
  <c r="M200" i="23"/>
  <c r="S199" i="23"/>
  <c r="M199" i="23"/>
  <c r="S198" i="23"/>
  <c r="M198" i="23"/>
  <c r="S197" i="23"/>
  <c r="M197" i="23"/>
  <c r="T196" i="23"/>
  <c r="S196" i="23"/>
  <c r="N196" i="23"/>
  <c r="M196" i="23"/>
  <c r="S195" i="23"/>
  <c r="M195" i="23"/>
  <c r="S194" i="23"/>
  <c r="M194" i="23"/>
  <c r="S193" i="23"/>
  <c r="M193" i="23"/>
  <c r="S192" i="23"/>
  <c r="M192" i="23"/>
  <c r="S191" i="23"/>
  <c r="M191" i="23"/>
  <c r="S190" i="23"/>
  <c r="M190" i="23"/>
  <c r="S189" i="23"/>
  <c r="M189" i="23"/>
  <c r="S188" i="23"/>
  <c r="M188" i="23"/>
  <c r="S187" i="23"/>
  <c r="M187" i="23"/>
  <c r="S186" i="23"/>
  <c r="M186" i="23"/>
  <c r="S185" i="23"/>
  <c r="M185" i="23"/>
  <c r="M184" i="23"/>
  <c r="S183" i="23"/>
  <c r="M183" i="23"/>
  <c r="S182" i="23"/>
  <c r="M182" i="23"/>
  <c r="S181" i="23"/>
  <c r="M181" i="23"/>
  <c r="T180" i="23"/>
  <c r="S180" i="23" s="1"/>
  <c r="M180" i="23"/>
  <c r="S179" i="23"/>
  <c r="M179" i="23"/>
  <c r="T178" i="23"/>
  <c r="S178" i="23"/>
  <c r="M178" i="23"/>
  <c r="S177" i="23"/>
  <c r="M177" i="23"/>
  <c r="T176" i="23"/>
  <c r="S176" i="23" s="1"/>
  <c r="N176" i="23"/>
  <c r="M176" i="23" s="1"/>
  <c r="S175" i="23"/>
  <c r="M175" i="23"/>
  <c r="S174" i="23"/>
  <c r="M174" i="23"/>
  <c r="S173" i="23"/>
  <c r="M173" i="23"/>
  <c r="S172" i="23"/>
  <c r="M172" i="23"/>
  <c r="S171" i="23"/>
  <c r="M171" i="23"/>
  <c r="S170" i="23"/>
  <c r="M170" i="23"/>
  <c r="S169" i="23"/>
  <c r="M169" i="23"/>
  <c r="S168" i="23"/>
  <c r="M168" i="23"/>
  <c r="S167" i="23"/>
  <c r="M167" i="23"/>
  <c r="T166" i="23"/>
  <c r="S166" i="23" s="1"/>
  <c r="N166" i="23"/>
  <c r="M166" i="23" s="1"/>
  <c r="S165" i="23"/>
  <c r="M165" i="23"/>
  <c r="T164" i="23"/>
  <c r="S164" i="23" s="1"/>
  <c r="M164" i="23"/>
  <c r="S163" i="23"/>
  <c r="M163" i="23"/>
  <c r="T162" i="23"/>
  <c r="S162" i="23"/>
  <c r="N162" i="23"/>
  <c r="M162" i="23"/>
  <c r="S161" i="23"/>
  <c r="M161" i="23"/>
  <c r="T160" i="23"/>
  <c r="S160" i="23"/>
  <c r="M160" i="23"/>
  <c r="S159" i="23"/>
  <c r="M159" i="23"/>
  <c r="S158" i="23"/>
  <c r="M158" i="23"/>
  <c r="T157" i="23"/>
  <c r="S157" i="23" s="1"/>
  <c r="M157" i="23"/>
  <c r="S156" i="23"/>
  <c r="M156" i="23"/>
  <c r="S155" i="23"/>
  <c r="M155" i="23"/>
  <c r="S154" i="23"/>
  <c r="M154" i="23"/>
  <c r="S153" i="23"/>
  <c r="M153" i="23"/>
  <c r="T152" i="23"/>
  <c r="S152" i="23"/>
  <c r="M152" i="23"/>
  <c r="S151" i="23"/>
  <c r="M151" i="23"/>
  <c r="M150" i="23"/>
  <c r="S149" i="23"/>
  <c r="M149" i="23"/>
  <c r="S148" i="23"/>
  <c r="M148" i="23"/>
  <c r="S147" i="23"/>
  <c r="M147" i="23"/>
  <c r="S146" i="23"/>
  <c r="N146" i="23"/>
  <c r="M146" i="23" s="1"/>
  <c r="S145" i="23"/>
  <c r="M145" i="23"/>
  <c r="T144" i="23"/>
  <c r="S144" i="23" s="1"/>
  <c r="N144" i="23"/>
  <c r="M144" i="23" s="1"/>
  <c r="S143" i="23"/>
  <c r="M143" i="23"/>
  <c r="T142" i="23"/>
  <c r="S142" i="23" s="1"/>
  <c r="M142" i="23"/>
  <c r="S141" i="23"/>
  <c r="M141" i="23"/>
  <c r="S140" i="23"/>
  <c r="M140" i="23"/>
  <c r="S139" i="23"/>
  <c r="M139" i="23"/>
  <c r="S138" i="23"/>
  <c r="M138" i="23"/>
  <c r="S137" i="23"/>
  <c r="M137" i="23"/>
  <c r="S136" i="23"/>
  <c r="M136" i="23"/>
  <c r="M135" i="23"/>
  <c r="S134" i="23"/>
  <c r="M134" i="23"/>
  <c r="S133" i="23"/>
  <c r="M133" i="23"/>
  <c r="S132" i="23"/>
  <c r="M132" i="23"/>
  <c r="S131" i="23"/>
  <c r="M131" i="23"/>
  <c r="S130" i="23"/>
  <c r="M130" i="23"/>
  <c r="S129" i="23"/>
  <c r="M129" i="23"/>
  <c r="S128" i="23"/>
  <c r="M128" i="23"/>
  <c r="S127" i="23"/>
  <c r="M127" i="23"/>
  <c r="S126" i="23"/>
  <c r="M126" i="23"/>
  <c r="T125" i="23"/>
  <c r="S125" i="23" s="1"/>
  <c r="N125" i="23"/>
  <c r="M125" i="23" s="1"/>
  <c r="S124" i="23"/>
  <c r="M124" i="23"/>
  <c r="S123" i="23"/>
  <c r="M123" i="23"/>
  <c r="S122" i="23"/>
  <c r="M122" i="23"/>
  <c r="S121" i="23"/>
  <c r="M121" i="23"/>
  <c r="S120" i="23"/>
  <c r="M120" i="23"/>
  <c r="S119" i="23"/>
  <c r="M119" i="23"/>
  <c r="T118" i="23"/>
  <c r="S118" i="23" s="1"/>
  <c r="N118" i="23"/>
  <c r="M118" i="23" s="1"/>
  <c r="S117" i="23"/>
  <c r="M117" i="23"/>
  <c r="T116" i="23"/>
  <c r="S116" i="23" s="1"/>
  <c r="M116" i="23"/>
  <c r="S115" i="23"/>
  <c r="M115" i="23"/>
  <c r="S114" i="23"/>
  <c r="M114" i="23"/>
  <c r="S113" i="23"/>
  <c r="M113" i="23"/>
  <c r="T112" i="23"/>
  <c r="S112" i="23"/>
  <c r="N112" i="23"/>
  <c r="M112" i="23"/>
  <c r="S111" i="23"/>
  <c r="M111" i="23"/>
  <c r="T110" i="23"/>
  <c r="S110" i="23"/>
  <c r="N110" i="23"/>
  <c r="M110" i="23"/>
  <c r="S109" i="23"/>
  <c r="M109" i="23"/>
  <c r="S108" i="23"/>
  <c r="M108" i="23"/>
  <c r="S107" i="23"/>
  <c r="M107" i="23"/>
  <c r="T106" i="23"/>
  <c r="S106" i="23"/>
  <c r="N106" i="23"/>
  <c r="M106" i="23"/>
  <c r="S105" i="23"/>
  <c r="M105" i="23"/>
  <c r="S104" i="23"/>
  <c r="N104" i="23"/>
  <c r="M104" i="23" s="1"/>
  <c r="S103" i="23"/>
  <c r="M103" i="23"/>
  <c r="M102" i="23"/>
  <c r="S101" i="23"/>
  <c r="M101" i="23"/>
  <c r="S100" i="23"/>
  <c r="M100" i="23"/>
  <c r="S99" i="23"/>
  <c r="M99" i="23"/>
  <c r="S98" i="23"/>
  <c r="M98" i="23"/>
  <c r="S97" i="23"/>
  <c r="M97" i="23"/>
  <c r="S96" i="23"/>
  <c r="M96" i="23"/>
  <c r="S95" i="23"/>
  <c r="M95" i="23"/>
  <c r="S93" i="23"/>
  <c r="M93" i="23"/>
  <c r="S92" i="23"/>
  <c r="M92" i="23"/>
  <c r="S91" i="23"/>
  <c r="M91" i="23"/>
  <c r="S90" i="23"/>
  <c r="M90" i="23"/>
  <c r="S89" i="23"/>
  <c r="M89" i="23"/>
  <c r="S88" i="23"/>
  <c r="M88" i="23"/>
  <c r="S87" i="23"/>
  <c r="M87" i="23"/>
  <c r="S86" i="23"/>
  <c r="M86" i="23"/>
  <c r="S85" i="23"/>
  <c r="M85" i="23"/>
  <c r="S84" i="23"/>
  <c r="M84" i="23"/>
  <c r="S83" i="23"/>
  <c r="M83" i="23"/>
  <c r="S82" i="23"/>
  <c r="M82" i="23"/>
  <c r="S81" i="23"/>
  <c r="M81" i="23"/>
  <c r="S80" i="23"/>
  <c r="M80" i="23"/>
  <c r="S79" i="23"/>
  <c r="M79" i="23"/>
  <c r="S78" i="23"/>
  <c r="M78" i="23"/>
  <c r="S77" i="23"/>
  <c r="M77" i="23"/>
  <c r="S76" i="23"/>
  <c r="S75" i="23"/>
  <c r="M75" i="23"/>
  <c r="S74" i="23"/>
  <c r="M74" i="23"/>
  <c r="S73" i="23"/>
  <c r="M73" i="23"/>
  <c r="S72" i="23"/>
  <c r="M72" i="23"/>
  <c r="S71" i="23"/>
  <c r="M71" i="23"/>
  <c r="S70" i="23"/>
  <c r="M70" i="23"/>
  <c r="S69" i="23"/>
  <c r="M69" i="23"/>
  <c r="S68" i="23"/>
  <c r="M68" i="23"/>
  <c r="S67" i="23"/>
  <c r="M67" i="23"/>
  <c r="S66" i="23"/>
  <c r="M66" i="23"/>
  <c r="S65" i="23"/>
  <c r="M65" i="23"/>
  <c r="S64" i="23"/>
  <c r="M64" i="23"/>
  <c r="S63" i="23"/>
  <c r="M63" i="23"/>
  <c r="S62" i="23"/>
  <c r="M62" i="23"/>
  <c r="S61" i="23"/>
  <c r="M61" i="23"/>
  <c r="S60" i="23"/>
  <c r="M60" i="23"/>
  <c r="S59" i="23"/>
  <c r="M59" i="23"/>
  <c r="S58" i="23"/>
  <c r="M58" i="23"/>
  <c r="S57" i="23"/>
  <c r="M57" i="23"/>
  <c r="S56" i="23"/>
  <c r="M56" i="23"/>
  <c r="S55" i="23"/>
  <c r="M55" i="23"/>
  <c r="T54" i="23"/>
  <c r="S54" i="23" s="1"/>
  <c r="M54" i="23"/>
  <c r="S53" i="23"/>
  <c r="M53" i="23"/>
  <c r="S52" i="23"/>
  <c r="M52" i="23"/>
  <c r="S51" i="23"/>
  <c r="M51" i="23"/>
  <c r="S50" i="23"/>
  <c r="M50" i="23"/>
  <c r="S49" i="23"/>
  <c r="M49" i="23"/>
  <c r="S48" i="23"/>
  <c r="M48" i="23"/>
  <c r="S47" i="23"/>
  <c r="M47" i="23"/>
  <c r="S46" i="23"/>
  <c r="M46" i="23"/>
  <c r="S45" i="23"/>
  <c r="M45" i="23"/>
  <c r="S44" i="23"/>
  <c r="M44" i="23"/>
  <c r="S43" i="23"/>
  <c r="M43" i="23"/>
  <c r="S42" i="23"/>
  <c r="M42" i="23"/>
  <c r="S41" i="23"/>
  <c r="M41" i="23"/>
  <c r="S40" i="23"/>
  <c r="M40" i="23"/>
  <c r="S39" i="23"/>
  <c r="M39" i="23"/>
  <c r="S38" i="23"/>
  <c r="M38" i="23"/>
  <c r="S37" i="23"/>
  <c r="M37" i="23"/>
  <c r="T36" i="23"/>
  <c r="S36" i="23"/>
  <c r="N36" i="23"/>
  <c r="M36" i="23"/>
  <c r="S35" i="23"/>
  <c r="M35" i="23"/>
  <c r="S34" i="23"/>
  <c r="M34" i="23"/>
  <c r="S33" i="23"/>
  <c r="M33" i="23"/>
  <c r="S31" i="23"/>
  <c r="M31" i="23"/>
  <c r="S30" i="23"/>
  <c r="M30" i="23"/>
  <c r="S29" i="23"/>
  <c r="M29" i="23"/>
  <c r="T28" i="23"/>
  <c r="S28" i="23"/>
  <c r="N28" i="23"/>
  <c r="M289" i="23" s="1"/>
  <c r="M28" i="23"/>
  <c r="S27" i="23"/>
  <c r="M27" i="23"/>
  <c r="T26" i="23"/>
  <c r="S26" i="23"/>
  <c r="M26" i="23"/>
  <c r="S25" i="23"/>
  <c r="M25" i="23"/>
  <c r="T24" i="23"/>
  <c r="S24" i="23" s="1"/>
  <c r="M24" i="23"/>
  <c r="S23" i="23"/>
  <c r="M23" i="23"/>
  <c r="S22" i="23"/>
  <c r="M22" i="23"/>
  <c r="S21" i="23"/>
  <c r="M21" i="23"/>
  <c r="T20" i="23"/>
  <c r="S20" i="23"/>
  <c r="M20" i="23"/>
  <c r="S19" i="23"/>
  <c r="M19" i="23"/>
  <c r="S18" i="23"/>
  <c r="M18" i="23"/>
  <c r="S17" i="23"/>
  <c r="M17" i="23"/>
  <c r="S16" i="23"/>
  <c r="M16" i="23"/>
  <c r="S15" i="23"/>
  <c r="M15" i="23"/>
  <c r="T14" i="23"/>
  <c r="S289" i="23" s="1"/>
  <c r="U289" i="23" s="1"/>
  <c r="M14" i="23"/>
  <c r="S13" i="23"/>
  <c r="M13" i="23"/>
  <c r="S12" i="23"/>
  <c r="M12" i="23"/>
  <c r="S11" i="23"/>
  <c r="M11" i="23"/>
  <c r="S10" i="23"/>
  <c r="R290" i="23" s="1"/>
  <c r="M10" i="23"/>
  <c r="L290" i="23" s="1"/>
  <c r="S9" i="23"/>
  <c r="R288" i="23" s="1"/>
  <c r="M9" i="23"/>
  <c r="L288" i="23" s="1"/>
  <c r="T290" i="22"/>
  <c r="T291" i="22" s="1"/>
  <c r="S290" i="22"/>
  <c r="Q290" i="22"/>
  <c r="Q291" i="22" s="1"/>
  <c r="P290" i="22"/>
  <c r="P291" i="22" s="1"/>
  <c r="O290" i="22"/>
  <c r="O291" i="22" s="1"/>
  <c r="N290" i="22"/>
  <c r="N291" i="22" s="1"/>
  <c r="M290" i="22"/>
  <c r="K290" i="22"/>
  <c r="K291" i="22" s="1"/>
  <c r="J290" i="22"/>
  <c r="J291" i="22" s="1"/>
  <c r="I290" i="22"/>
  <c r="I291" i="22" s="1"/>
  <c r="H290" i="22"/>
  <c r="H291" i="22" s="1"/>
  <c r="G290" i="22"/>
  <c r="G291" i="22" s="1"/>
  <c r="T289" i="22"/>
  <c r="Q289" i="22"/>
  <c r="P289" i="22"/>
  <c r="O289" i="22"/>
  <c r="N289" i="22"/>
  <c r="K289" i="22"/>
  <c r="J289" i="22"/>
  <c r="I289" i="22"/>
  <c r="H289" i="22"/>
  <c r="G289" i="22"/>
  <c r="T288" i="22"/>
  <c r="S288" i="22"/>
  <c r="U288" i="22" s="1"/>
  <c r="Q288" i="22"/>
  <c r="P288" i="22"/>
  <c r="O288" i="22"/>
  <c r="N288" i="22"/>
  <c r="M288" i="22"/>
  <c r="K288" i="22"/>
  <c r="J288" i="22"/>
  <c r="V288" i="22" s="1"/>
  <c r="I288" i="22"/>
  <c r="H288" i="22"/>
  <c r="G288" i="22"/>
  <c r="U282" i="22"/>
  <c r="R282" i="22"/>
  <c r="Q282" i="22"/>
  <c r="P282" i="22"/>
  <c r="O282" i="22"/>
  <c r="L282" i="22"/>
  <c r="K282" i="22"/>
  <c r="J282" i="22"/>
  <c r="I282" i="22"/>
  <c r="H282" i="22"/>
  <c r="M281" i="22"/>
  <c r="S280" i="22"/>
  <c r="M280" i="22"/>
  <c r="S279" i="22"/>
  <c r="M279" i="22"/>
  <c r="S278" i="22"/>
  <c r="M278" i="22"/>
  <c r="T277" i="22"/>
  <c r="S277" i="22" s="1"/>
  <c r="M277" i="22"/>
  <c r="S276" i="22"/>
  <c r="M276" i="22"/>
  <c r="M275" i="22"/>
  <c r="S274" i="22"/>
  <c r="M274" i="22"/>
  <c r="S273" i="22"/>
  <c r="M273" i="22"/>
  <c r="S272" i="22"/>
  <c r="M272" i="22"/>
  <c r="S271" i="22"/>
  <c r="M271" i="22"/>
  <c r="S270" i="22"/>
  <c r="M270" i="22"/>
  <c r="S269" i="22"/>
  <c r="M269" i="22"/>
  <c r="S268" i="22"/>
  <c r="M268" i="22"/>
  <c r="S267" i="22"/>
  <c r="M267" i="22"/>
  <c r="S266" i="22"/>
  <c r="M266" i="22"/>
  <c r="T265" i="22"/>
  <c r="S265" i="22" s="1"/>
  <c r="N265" i="22"/>
  <c r="M265" i="22" s="1"/>
  <c r="S264" i="22"/>
  <c r="M264" i="22"/>
  <c r="T263" i="22"/>
  <c r="S263" i="22" s="1"/>
  <c r="M263" i="22"/>
  <c r="S262" i="22"/>
  <c r="M262" i="22"/>
  <c r="T261" i="22"/>
  <c r="S261" i="22"/>
  <c r="N261" i="22"/>
  <c r="M261" i="22"/>
  <c r="S260" i="22"/>
  <c r="M260" i="22"/>
  <c r="T259" i="22"/>
  <c r="S259" i="22"/>
  <c r="M259" i="22"/>
  <c r="S258" i="22"/>
  <c r="M258" i="22"/>
  <c r="S257" i="22"/>
  <c r="N257" i="22"/>
  <c r="M257" i="22"/>
  <c r="S256" i="22"/>
  <c r="M256" i="22"/>
  <c r="T255" i="22"/>
  <c r="S255" i="22"/>
  <c r="M255" i="22"/>
  <c r="S254" i="22"/>
  <c r="M254" i="22"/>
  <c r="S253" i="22"/>
  <c r="M253" i="22"/>
  <c r="S252" i="22"/>
  <c r="M252" i="22"/>
  <c r="S251" i="22"/>
  <c r="M251" i="22"/>
  <c r="S250" i="22"/>
  <c r="M250" i="22"/>
  <c r="S249" i="22"/>
  <c r="M249" i="22"/>
  <c r="S248" i="22"/>
  <c r="M248" i="22"/>
  <c r="M247" i="22"/>
  <c r="S246" i="22"/>
  <c r="M246" i="22"/>
  <c r="S245" i="22"/>
  <c r="M245" i="22"/>
  <c r="S244" i="22"/>
  <c r="M244" i="22"/>
  <c r="T243" i="22"/>
  <c r="S243" i="22"/>
  <c r="M243" i="22"/>
  <c r="S242" i="22"/>
  <c r="M242" i="22"/>
  <c r="S241" i="22"/>
  <c r="M241" i="22"/>
  <c r="S240" i="22"/>
  <c r="M240" i="22"/>
  <c r="S239" i="22"/>
  <c r="M239" i="22"/>
  <c r="S238" i="22"/>
  <c r="M238" i="22"/>
  <c r="T237" i="22"/>
  <c r="S237" i="22" s="1"/>
  <c r="M237" i="22"/>
  <c r="S236" i="22"/>
  <c r="M236" i="22"/>
  <c r="T235" i="22"/>
  <c r="S235" i="22"/>
  <c r="M235" i="22"/>
  <c r="S234" i="22"/>
  <c r="M234" i="22"/>
  <c r="S233" i="22"/>
  <c r="M233" i="22"/>
  <c r="S232" i="22"/>
  <c r="M232" i="22"/>
  <c r="S231" i="22"/>
  <c r="M231" i="22"/>
  <c r="S230" i="22"/>
  <c r="M230" i="22"/>
  <c r="S229" i="22"/>
  <c r="M229" i="22"/>
  <c r="S228" i="22"/>
  <c r="M228" i="22"/>
  <c r="S225" i="22"/>
  <c r="M225" i="22"/>
  <c r="S224" i="22"/>
  <c r="M224" i="22"/>
  <c r="S223" i="22"/>
  <c r="M223" i="22"/>
  <c r="S222" i="22"/>
  <c r="M222" i="22"/>
  <c r="M221" i="22"/>
  <c r="S220" i="22"/>
  <c r="M220" i="22"/>
  <c r="S219" i="22"/>
  <c r="M219" i="22"/>
  <c r="S218" i="22"/>
  <c r="M218" i="22"/>
  <c r="S217" i="22"/>
  <c r="M217" i="22"/>
  <c r="S216" i="22"/>
  <c r="M216" i="22"/>
  <c r="S215" i="22"/>
  <c r="M215" i="22"/>
  <c r="S214" i="22"/>
  <c r="M214" i="22"/>
  <c r="S213" i="22"/>
  <c r="M213" i="22"/>
  <c r="S212" i="22"/>
  <c r="M212" i="22"/>
  <c r="T211" i="22"/>
  <c r="S211" i="22"/>
  <c r="M211" i="22"/>
  <c r="S210" i="22"/>
  <c r="M210" i="22"/>
  <c r="T209" i="22"/>
  <c r="S209" i="22" s="1"/>
  <c r="N209" i="22"/>
  <c r="M209" i="22" s="1"/>
  <c r="S208" i="22"/>
  <c r="M208" i="22"/>
  <c r="S207" i="22"/>
  <c r="M207" i="22"/>
  <c r="S206" i="22"/>
  <c r="M206" i="22"/>
  <c r="M205" i="22"/>
  <c r="S204" i="22"/>
  <c r="M204" i="22"/>
  <c r="T203" i="22"/>
  <c r="S203" i="22"/>
  <c r="M203" i="22"/>
  <c r="S202" i="22"/>
  <c r="M202" i="22"/>
  <c r="S201" i="22"/>
  <c r="M201" i="22"/>
  <c r="S200" i="22"/>
  <c r="M200" i="22"/>
  <c r="S199" i="22"/>
  <c r="M199" i="22"/>
  <c r="S198" i="22"/>
  <c r="M198" i="22"/>
  <c r="S197" i="22"/>
  <c r="M197" i="22"/>
  <c r="T196" i="22"/>
  <c r="S196" i="22" s="1"/>
  <c r="N196" i="22"/>
  <c r="M196" i="22" s="1"/>
  <c r="S195" i="22"/>
  <c r="M195" i="22"/>
  <c r="S194" i="22"/>
  <c r="M194" i="22"/>
  <c r="S193" i="22"/>
  <c r="M193" i="22"/>
  <c r="S192" i="22"/>
  <c r="M192" i="22"/>
  <c r="S191" i="22"/>
  <c r="M191" i="22"/>
  <c r="S190" i="22"/>
  <c r="M190" i="22"/>
  <c r="S189" i="22"/>
  <c r="M189" i="22"/>
  <c r="S188" i="22"/>
  <c r="M188" i="22"/>
  <c r="S187" i="22"/>
  <c r="M187" i="22"/>
  <c r="S186" i="22"/>
  <c r="M186" i="22"/>
  <c r="S185" i="22"/>
  <c r="M185" i="22"/>
  <c r="M184" i="22"/>
  <c r="S183" i="22"/>
  <c r="M183" i="22"/>
  <c r="S182" i="22"/>
  <c r="M182" i="22"/>
  <c r="S181" i="22"/>
  <c r="M181" i="22"/>
  <c r="T180" i="22"/>
  <c r="S180" i="22"/>
  <c r="M180" i="22"/>
  <c r="S179" i="22"/>
  <c r="M179" i="22"/>
  <c r="T178" i="22"/>
  <c r="S178" i="22" s="1"/>
  <c r="M178" i="22"/>
  <c r="S177" i="22"/>
  <c r="M177" i="22"/>
  <c r="T176" i="22"/>
  <c r="S176" i="22"/>
  <c r="N176" i="22"/>
  <c r="M176" i="22"/>
  <c r="S175" i="22"/>
  <c r="M175" i="22"/>
  <c r="S174" i="22"/>
  <c r="M174" i="22"/>
  <c r="S173" i="22"/>
  <c r="M173" i="22"/>
  <c r="S172" i="22"/>
  <c r="M172" i="22"/>
  <c r="S171" i="22"/>
  <c r="M171" i="22"/>
  <c r="S170" i="22"/>
  <c r="M170" i="22"/>
  <c r="S169" i="22"/>
  <c r="M169" i="22"/>
  <c r="S168" i="22"/>
  <c r="M168" i="22"/>
  <c r="S167" i="22"/>
  <c r="M167" i="22"/>
  <c r="T166" i="22"/>
  <c r="S166" i="22"/>
  <c r="N166" i="22"/>
  <c r="M166" i="22"/>
  <c r="S165" i="22"/>
  <c r="M165" i="22"/>
  <c r="T164" i="22"/>
  <c r="S164" i="22"/>
  <c r="M164" i="22"/>
  <c r="S163" i="22"/>
  <c r="M163" i="22"/>
  <c r="T162" i="22"/>
  <c r="S162" i="22" s="1"/>
  <c r="N162" i="22"/>
  <c r="M162" i="22" s="1"/>
  <c r="S161" i="22"/>
  <c r="M161" i="22"/>
  <c r="T160" i="22"/>
  <c r="S160" i="22" s="1"/>
  <c r="M160" i="22"/>
  <c r="S159" i="22"/>
  <c r="M159" i="22"/>
  <c r="S158" i="22"/>
  <c r="M158" i="22"/>
  <c r="T157" i="22"/>
  <c r="S157" i="22"/>
  <c r="M157" i="22"/>
  <c r="S156" i="22"/>
  <c r="M156" i="22"/>
  <c r="S155" i="22"/>
  <c r="M155" i="22"/>
  <c r="S154" i="22"/>
  <c r="M154" i="22"/>
  <c r="S153" i="22"/>
  <c r="M153" i="22"/>
  <c r="T152" i="22"/>
  <c r="S152" i="22" s="1"/>
  <c r="M152" i="22"/>
  <c r="S151" i="22"/>
  <c r="M151" i="22"/>
  <c r="M150" i="22"/>
  <c r="S149" i="22"/>
  <c r="M149" i="22"/>
  <c r="S148" i="22"/>
  <c r="M148" i="22"/>
  <c r="S147" i="22"/>
  <c r="M147" i="22"/>
  <c r="S146" i="22"/>
  <c r="N146" i="22"/>
  <c r="M146" i="22"/>
  <c r="S145" i="22"/>
  <c r="M145" i="22"/>
  <c r="T144" i="22"/>
  <c r="S144" i="22"/>
  <c r="N144" i="22"/>
  <c r="M144" i="22"/>
  <c r="S143" i="22"/>
  <c r="M143" i="22"/>
  <c r="T142" i="22"/>
  <c r="S142" i="22"/>
  <c r="M142" i="22"/>
  <c r="S141" i="22"/>
  <c r="M141" i="22"/>
  <c r="S140" i="22"/>
  <c r="M140" i="22"/>
  <c r="S139" i="22"/>
  <c r="M139" i="22"/>
  <c r="S138" i="22"/>
  <c r="M138" i="22"/>
  <c r="S137" i="22"/>
  <c r="M137" i="22"/>
  <c r="S136" i="22"/>
  <c r="M136" i="22"/>
  <c r="M135" i="22"/>
  <c r="S134" i="22"/>
  <c r="M134" i="22"/>
  <c r="S133" i="22"/>
  <c r="M133" i="22"/>
  <c r="S132" i="22"/>
  <c r="M132" i="22"/>
  <c r="S131" i="22"/>
  <c r="M131" i="22"/>
  <c r="S130" i="22"/>
  <c r="M130" i="22"/>
  <c r="S129" i="22"/>
  <c r="M129" i="22"/>
  <c r="S128" i="22"/>
  <c r="M128" i="22"/>
  <c r="S127" i="22"/>
  <c r="M127" i="22"/>
  <c r="S126" i="22"/>
  <c r="M126" i="22"/>
  <c r="T125" i="22"/>
  <c r="S125" i="22"/>
  <c r="N125" i="22"/>
  <c r="M125" i="22"/>
  <c r="S124" i="22"/>
  <c r="M124" i="22"/>
  <c r="S123" i="22"/>
  <c r="M123" i="22"/>
  <c r="S122" i="22"/>
  <c r="M122" i="22"/>
  <c r="S121" i="22"/>
  <c r="M121" i="22"/>
  <c r="S120" i="22"/>
  <c r="M120" i="22"/>
  <c r="S119" i="22"/>
  <c r="M119" i="22"/>
  <c r="T118" i="22"/>
  <c r="S118" i="22"/>
  <c r="N118" i="22"/>
  <c r="M118" i="22"/>
  <c r="S117" i="22"/>
  <c r="M117" i="22"/>
  <c r="T116" i="22"/>
  <c r="S116" i="22"/>
  <c r="M116" i="22"/>
  <c r="S115" i="22"/>
  <c r="M115" i="22"/>
  <c r="S114" i="22"/>
  <c r="M114" i="22"/>
  <c r="S113" i="22"/>
  <c r="M113" i="22"/>
  <c r="T112" i="22"/>
  <c r="S112" i="22" s="1"/>
  <c r="N112" i="22"/>
  <c r="M112" i="22" s="1"/>
  <c r="S111" i="22"/>
  <c r="M111" i="22"/>
  <c r="T110" i="22"/>
  <c r="S110" i="22" s="1"/>
  <c r="N110" i="22"/>
  <c r="M110" i="22" s="1"/>
  <c r="S109" i="22"/>
  <c r="M109" i="22"/>
  <c r="S108" i="22"/>
  <c r="M108" i="22"/>
  <c r="S107" i="22"/>
  <c r="M107" i="22"/>
  <c r="T106" i="22"/>
  <c r="S106" i="22" s="1"/>
  <c r="N106" i="22"/>
  <c r="M106" i="22" s="1"/>
  <c r="S105" i="22"/>
  <c r="M105" i="22"/>
  <c r="S104" i="22"/>
  <c r="N104" i="22"/>
  <c r="M104" i="22"/>
  <c r="S103" i="22"/>
  <c r="M103" i="22"/>
  <c r="M102" i="22"/>
  <c r="S101" i="22"/>
  <c r="M101" i="22"/>
  <c r="S100" i="22"/>
  <c r="M100" i="22"/>
  <c r="S99" i="22"/>
  <c r="M99" i="22"/>
  <c r="S98" i="22"/>
  <c r="M98" i="22"/>
  <c r="S97" i="22"/>
  <c r="M97" i="22"/>
  <c r="S96" i="22"/>
  <c r="M96" i="22"/>
  <c r="S95" i="22"/>
  <c r="M95" i="22"/>
  <c r="S93" i="22"/>
  <c r="M93" i="22"/>
  <c r="S92" i="22"/>
  <c r="M92" i="22"/>
  <c r="S91" i="22"/>
  <c r="M91" i="22"/>
  <c r="S90" i="22"/>
  <c r="M90" i="22"/>
  <c r="S89" i="22"/>
  <c r="M89" i="22"/>
  <c r="S88" i="22"/>
  <c r="M88" i="22"/>
  <c r="S87" i="22"/>
  <c r="M87" i="22"/>
  <c r="S86" i="22"/>
  <c r="M86" i="22"/>
  <c r="S85" i="22"/>
  <c r="M85" i="22"/>
  <c r="S84" i="22"/>
  <c r="M84" i="22"/>
  <c r="S83" i="22"/>
  <c r="M83" i="22"/>
  <c r="S82" i="22"/>
  <c r="M82" i="22"/>
  <c r="S81" i="22"/>
  <c r="M81" i="22"/>
  <c r="S80" i="22"/>
  <c r="M80" i="22"/>
  <c r="S79" i="22"/>
  <c r="M79" i="22"/>
  <c r="S78" i="22"/>
  <c r="M78" i="22"/>
  <c r="S77" i="22"/>
  <c r="M77" i="22"/>
  <c r="S76" i="22"/>
  <c r="S75" i="22"/>
  <c r="M75" i="22"/>
  <c r="S74" i="22"/>
  <c r="M74" i="22"/>
  <c r="S73" i="22"/>
  <c r="M73" i="22"/>
  <c r="S72" i="22"/>
  <c r="M72" i="22"/>
  <c r="S71" i="22"/>
  <c r="M71" i="22"/>
  <c r="S70" i="22"/>
  <c r="M70" i="22"/>
  <c r="S69" i="22"/>
  <c r="M69" i="22"/>
  <c r="S68" i="22"/>
  <c r="M68" i="22"/>
  <c r="S67" i="22"/>
  <c r="M67" i="22"/>
  <c r="S66" i="22"/>
  <c r="M66" i="22"/>
  <c r="S65" i="22"/>
  <c r="M65" i="22"/>
  <c r="S64" i="22"/>
  <c r="M64" i="22"/>
  <c r="S63" i="22"/>
  <c r="M63" i="22"/>
  <c r="S62" i="22"/>
  <c r="M62" i="22"/>
  <c r="S61" i="22"/>
  <c r="M61" i="22"/>
  <c r="S60" i="22"/>
  <c r="M60" i="22"/>
  <c r="S59" i="22"/>
  <c r="M59" i="22"/>
  <c r="S58" i="22"/>
  <c r="M58" i="22"/>
  <c r="S57" i="22"/>
  <c r="M57" i="22"/>
  <c r="S56" i="22"/>
  <c r="M56" i="22"/>
  <c r="S55" i="22"/>
  <c r="M55" i="22"/>
  <c r="T54" i="22"/>
  <c r="S54" i="22"/>
  <c r="M54" i="22"/>
  <c r="S53" i="22"/>
  <c r="M53" i="22"/>
  <c r="S52" i="22"/>
  <c r="M52" i="22"/>
  <c r="S51" i="22"/>
  <c r="M51" i="22"/>
  <c r="S50" i="22"/>
  <c r="M50" i="22"/>
  <c r="S49" i="22"/>
  <c r="M49" i="22"/>
  <c r="S48" i="22"/>
  <c r="M48" i="22"/>
  <c r="S47" i="22"/>
  <c r="M47" i="22"/>
  <c r="S46" i="22"/>
  <c r="M46" i="22"/>
  <c r="S45" i="22"/>
  <c r="M45" i="22"/>
  <c r="S44" i="22"/>
  <c r="M44" i="22"/>
  <c r="S43" i="22"/>
  <c r="M43" i="22"/>
  <c r="S42" i="22"/>
  <c r="M42" i="22"/>
  <c r="S41" i="22"/>
  <c r="M41" i="22"/>
  <c r="S40" i="22"/>
  <c r="M40" i="22"/>
  <c r="S39" i="22"/>
  <c r="M39" i="22"/>
  <c r="S38" i="22"/>
  <c r="M38" i="22"/>
  <c r="S37" i="22"/>
  <c r="M37" i="22"/>
  <c r="T36" i="22"/>
  <c r="S36" i="22" s="1"/>
  <c r="N36" i="22"/>
  <c r="M36" i="22" s="1"/>
  <c r="S35" i="22"/>
  <c r="M35" i="22"/>
  <c r="S34" i="22"/>
  <c r="M34" i="22"/>
  <c r="S33" i="22"/>
  <c r="M33" i="22"/>
  <c r="S31" i="22"/>
  <c r="M31" i="22"/>
  <c r="S30" i="22"/>
  <c r="M30" i="22"/>
  <c r="S29" i="22"/>
  <c r="M29" i="22"/>
  <c r="T28" i="22"/>
  <c r="S28" i="22" s="1"/>
  <c r="N28" i="22"/>
  <c r="M289" i="22" s="1"/>
  <c r="S27" i="22"/>
  <c r="M27" i="22"/>
  <c r="T26" i="22"/>
  <c r="S26" i="22" s="1"/>
  <c r="M26" i="22"/>
  <c r="S25" i="22"/>
  <c r="M25" i="22"/>
  <c r="T24" i="22"/>
  <c r="S24" i="22"/>
  <c r="M24" i="22"/>
  <c r="S23" i="22"/>
  <c r="M23" i="22"/>
  <c r="S22" i="22"/>
  <c r="M22" i="22"/>
  <c r="S21" i="22"/>
  <c r="M21" i="22"/>
  <c r="T20" i="22"/>
  <c r="T282" i="22" s="1"/>
  <c r="M20" i="22"/>
  <c r="S19" i="22"/>
  <c r="M19" i="22"/>
  <c r="S18" i="22"/>
  <c r="M18" i="22"/>
  <c r="S17" i="22"/>
  <c r="M17" i="22"/>
  <c r="S16" i="22"/>
  <c r="M16" i="22"/>
  <c r="S15" i="22"/>
  <c r="M15" i="22"/>
  <c r="T14" i="22"/>
  <c r="S289" i="22" s="1"/>
  <c r="U289" i="22" s="1"/>
  <c r="S14" i="22"/>
  <c r="M14" i="22"/>
  <c r="S13" i="22"/>
  <c r="M13" i="22"/>
  <c r="S12" i="22"/>
  <c r="M12" i="22"/>
  <c r="S11" i="22"/>
  <c r="M11" i="22"/>
  <c r="S10" i="22"/>
  <c r="R290" i="22" s="1"/>
  <c r="M10" i="22"/>
  <c r="L290" i="22" s="1"/>
  <c r="S9" i="22"/>
  <c r="R288" i="22" s="1"/>
  <c r="M9" i="22"/>
  <c r="L288" i="22" s="1"/>
  <c r="T288" i="21"/>
  <c r="T289" i="21" s="1"/>
  <c r="S288" i="21"/>
  <c r="Q288" i="21"/>
  <c r="Q289" i="21" s="1"/>
  <c r="P288" i="21"/>
  <c r="P289" i="21" s="1"/>
  <c r="O288" i="21"/>
  <c r="O289" i="21" s="1"/>
  <c r="N288" i="21"/>
  <c r="N289" i="21" s="1"/>
  <c r="M288" i="21"/>
  <c r="K288" i="21"/>
  <c r="K289" i="21" s="1"/>
  <c r="J288" i="21"/>
  <c r="J289" i="21" s="1"/>
  <c r="I288" i="21"/>
  <c r="I289" i="21" s="1"/>
  <c r="H288" i="21"/>
  <c r="H289" i="21" s="1"/>
  <c r="G288" i="21"/>
  <c r="G289" i="21" s="1"/>
  <c r="T287" i="21"/>
  <c r="Q287" i="21"/>
  <c r="P287" i="21"/>
  <c r="O287" i="21"/>
  <c r="N287" i="21"/>
  <c r="K287" i="21"/>
  <c r="J287" i="21"/>
  <c r="I287" i="21"/>
  <c r="H287" i="21"/>
  <c r="G287" i="21"/>
  <c r="T286" i="21"/>
  <c r="S286" i="21"/>
  <c r="U286" i="21" s="1"/>
  <c r="Q286" i="21"/>
  <c r="P286" i="21"/>
  <c r="O286" i="21"/>
  <c r="N286" i="21"/>
  <c r="M286" i="21"/>
  <c r="K286" i="21"/>
  <c r="J286" i="21"/>
  <c r="V286" i="21" s="1"/>
  <c r="I286" i="21"/>
  <c r="H286" i="21"/>
  <c r="G286" i="21"/>
  <c r="U280" i="21"/>
  <c r="R280" i="21"/>
  <c r="Q280" i="21"/>
  <c r="P280" i="21"/>
  <c r="O280" i="21"/>
  <c r="L280" i="21"/>
  <c r="K280" i="21"/>
  <c r="J280" i="21"/>
  <c r="I280" i="21"/>
  <c r="H280" i="21"/>
  <c r="M279" i="21"/>
  <c r="S278" i="21"/>
  <c r="M278" i="21"/>
  <c r="S277" i="21"/>
  <c r="M277" i="21"/>
  <c r="S276" i="21"/>
  <c r="M276" i="21"/>
  <c r="T275" i="21"/>
  <c r="S275" i="21"/>
  <c r="M275" i="21"/>
  <c r="S274" i="21"/>
  <c r="M274" i="21"/>
  <c r="M273" i="21"/>
  <c r="S272" i="21"/>
  <c r="M272" i="21"/>
  <c r="S271" i="21"/>
  <c r="M271" i="21"/>
  <c r="S270" i="21"/>
  <c r="M270" i="21"/>
  <c r="S269" i="21"/>
  <c r="M269" i="21"/>
  <c r="S268" i="21"/>
  <c r="M268" i="21"/>
  <c r="S267" i="21"/>
  <c r="M267" i="21"/>
  <c r="S266" i="21"/>
  <c r="M266" i="21"/>
  <c r="S265" i="21"/>
  <c r="M265" i="21"/>
  <c r="S264" i="21"/>
  <c r="M264" i="21"/>
  <c r="T263" i="21"/>
  <c r="S263" i="21"/>
  <c r="N263" i="21"/>
  <c r="M263" i="21"/>
  <c r="S262" i="21"/>
  <c r="M262" i="21"/>
  <c r="S261" i="21"/>
  <c r="M261" i="21"/>
  <c r="S260" i="21"/>
  <c r="M260" i="21"/>
  <c r="T259" i="21"/>
  <c r="S259" i="21"/>
  <c r="N259" i="21"/>
  <c r="M259" i="21"/>
  <c r="S258" i="21"/>
  <c r="M258" i="21"/>
  <c r="T257" i="21"/>
  <c r="S257" i="21"/>
  <c r="M257" i="21"/>
  <c r="S256" i="21"/>
  <c r="M256" i="21"/>
  <c r="S255" i="21"/>
  <c r="N255" i="21"/>
  <c r="M255" i="21"/>
  <c r="S254" i="21"/>
  <c r="M254" i="21"/>
  <c r="T253" i="21"/>
  <c r="S253" i="21"/>
  <c r="M253" i="21"/>
  <c r="S252" i="21"/>
  <c r="M252" i="21"/>
  <c r="S251" i="21"/>
  <c r="M251" i="21"/>
  <c r="S250" i="21"/>
  <c r="M250" i="21"/>
  <c r="S249" i="21"/>
  <c r="M249" i="21"/>
  <c r="S248" i="21"/>
  <c r="M248" i="21"/>
  <c r="S247" i="21"/>
  <c r="M247" i="21"/>
  <c r="S246" i="21"/>
  <c r="M246" i="21"/>
  <c r="M245" i="21"/>
  <c r="S244" i="21"/>
  <c r="M244" i="21"/>
  <c r="S243" i="21"/>
  <c r="M243" i="21"/>
  <c r="S242" i="21"/>
  <c r="M242" i="21"/>
  <c r="S241" i="21"/>
  <c r="M241" i="21"/>
  <c r="S240" i="21"/>
  <c r="M240" i="21"/>
  <c r="S239" i="21"/>
  <c r="M239" i="21"/>
  <c r="S238" i="21"/>
  <c r="M238" i="21"/>
  <c r="S237" i="21"/>
  <c r="M237" i="21"/>
  <c r="S236" i="21"/>
  <c r="M236" i="21"/>
  <c r="T235" i="21"/>
  <c r="S235" i="21"/>
  <c r="M235" i="21"/>
  <c r="S234" i="21"/>
  <c r="M234" i="21"/>
  <c r="S233" i="21"/>
  <c r="M233" i="21"/>
  <c r="S232" i="21"/>
  <c r="M232" i="21"/>
  <c r="S231" i="21"/>
  <c r="M231" i="21"/>
  <c r="S230" i="21"/>
  <c r="M230" i="21"/>
  <c r="S229" i="21"/>
  <c r="M229" i="21"/>
  <c r="S228" i="21"/>
  <c r="M228" i="21"/>
  <c r="S227" i="21"/>
  <c r="M227" i="21"/>
  <c r="S226" i="21"/>
  <c r="M226" i="21"/>
  <c r="S225" i="21"/>
  <c r="M225" i="21"/>
  <c r="S224" i="21"/>
  <c r="M224" i="21"/>
  <c r="S223" i="21"/>
  <c r="M223" i="21"/>
  <c r="S222" i="21"/>
  <c r="M222" i="21"/>
  <c r="M221" i="21"/>
  <c r="S220" i="21"/>
  <c r="M220" i="21"/>
  <c r="S219" i="21"/>
  <c r="M219" i="21"/>
  <c r="S218" i="21"/>
  <c r="M218" i="21"/>
  <c r="S217" i="21"/>
  <c r="M217" i="21"/>
  <c r="S216" i="21"/>
  <c r="M216" i="21"/>
  <c r="S215" i="21"/>
  <c r="M215" i="21"/>
  <c r="S214" i="21"/>
  <c r="M214" i="21"/>
  <c r="S213" i="21"/>
  <c r="M213" i="21"/>
  <c r="S212" i="21"/>
  <c r="M212" i="21"/>
  <c r="S211" i="21"/>
  <c r="M211" i="21"/>
  <c r="S210" i="21"/>
  <c r="M210" i="21"/>
  <c r="T209" i="21"/>
  <c r="S209" i="21"/>
  <c r="M209" i="21"/>
  <c r="S208" i="21"/>
  <c r="M208" i="21"/>
  <c r="S207" i="21"/>
  <c r="M207" i="21"/>
  <c r="S206" i="21"/>
  <c r="M206" i="21"/>
  <c r="M205" i="21"/>
  <c r="S204" i="21"/>
  <c r="M204" i="21"/>
  <c r="T203" i="21"/>
  <c r="S203" i="21"/>
  <c r="M203" i="21"/>
  <c r="S202" i="21"/>
  <c r="M202" i="21"/>
  <c r="S201" i="21"/>
  <c r="M201" i="21"/>
  <c r="S200" i="21"/>
  <c r="M200" i="21"/>
  <c r="S199" i="21"/>
  <c r="M199" i="21"/>
  <c r="S198" i="21"/>
  <c r="M198" i="21"/>
  <c r="S197" i="21"/>
  <c r="M197" i="21"/>
  <c r="T196" i="21"/>
  <c r="S196" i="21" s="1"/>
  <c r="N196" i="21"/>
  <c r="M196" i="21" s="1"/>
  <c r="S195" i="21"/>
  <c r="M195" i="21"/>
  <c r="S194" i="21"/>
  <c r="M194" i="21"/>
  <c r="S193" i="21"/>
  <c r="M193" i="21"/>
  <c r="S192" i="21"/>
  <c r="M192" i="21"/>
  <c r="S191" i="21"/>
  <c r="M191" i="21"/>
  <c r="S190" i="21"/>
  <c r="M190" i="21"/>
  <c r="S189" i="21"/>
  <c r="M189" i="21"/>
  <c r="S188" i="21"/>
  <c r="M188" i="21"/>
  <c r="S187" i="21"/>
  <c r="M187" i="21"/>
  <c r="S186" i="21"/>
  <c r="M186" i="21"/>
  <c r="S185" i="21"/>
  <c r="M185" i="21"/>
  <c r="M184" i="21"/>
  <c r="S183" i="21"/>
  <c r="M183" i="21"/>
  <c r="S182" i="21"/>
  <c r="M182" i="21"/>
  <c r="S181" i="21"/>
  <c r="M181" i="21"/>
  <c r="T180" i="21"/>
  <c r="S180" i="21"/>
  <c r="M180" i="21"/>
  <c r="S179" i="21"/>
  <c r="M179" i="21"/>
  <c r="T178" i="21"/>
  <c r="S178" i="21" s="1"/>
  <c r="M178" i="21"/>
  <c r="S177" i="21"/>
  <c r="M177" i="21"/>
  <c r="T176" i="21"/>
  <c r="S176" i="21"/>
  <c r="N176" i="21"/>
  <c r="M176" i="21"/>
  <c r="S175" i="21"/>
  <c r="M175" i="21"/>
  <c r="S174" i="21"/>
  <c r="M174" i="21"/>
  <c r="S173" i="21"/>
  <c r="M173" i="21"/>
  <c r="S172" i="21"/>
  <c r="M172" i="21"/>
  <c r="S171" i="21"/>
  <c r="M171" i="21"/>
  <c r="S170" i="21"/>
  <c r="M170" i="21"/>
  <c r="S169" i="21"/>
  <c r="M169" i="21"/>
  <c r="S168" i="21"/>
  <c r="M168" i="21"/>
  <c r="S167" i="21"/>
  <c r="M167" i="21"/>
  <c r="T166" i="21"/>
  <c r="S166" i="21"/>
  <c r="N166" i="21"/>
  <c r="M166" i="21"/>
  <c r="S165" i="21"/>
  <c r="M165" i="21"/>
  <c r="T164" i="21"/>
  <c r="S164" i="21"/>
  <c r="M164" i="21"/>
  <c r="S163" i="21"/>
  <c r="M163" i="21"/>
  <c r="T162" i="21"/>
  <c r="S162" i="21" s="1"/>
  <c r="N162" i="21"/>
  <c r="M162" i="21" s="1"/>
  <c r="S161" i="21"/>
  <c r="M161" i="21"/>
  <c r="T160" i="21"/>
  <c r="S160" i="21" s="1"/>
  <c r="M160" i="21"/>
  <c r="S159" i="21"/>
  <c r="M159" i="21"/>
  <c r="S158" i="21"/>
  <c r="M158" i="21"/>
  <c r="T157" i="21"/>
  <c r="S157" i="21"/>
  <c r="M157" i="21"/>
  <c r="S156" i="21"/>
  <c r="M156" i="21"/>
  <c r="S155" i="21"/>
  <c r="M155" i="21"/>
  <c r="S154" i="21"/>
  <c r="M154" i="21"/>
  <c r="S153" i="21"/>
  <c r="M153" i="21"/>
  <c r="T152" i="21"/>
  <c r="S152" i="21" s="1"/>
  <c r="M152" i="21"/>
  <c r="S151" i="21"/>
  <c r="M151" i="21"/>
  <c r="M150" i="21"/>
  <c r="S149" i="21"/>
  <c r="M149" i="21"/>
  <c r="S148" i="21"/>
  <c r="M148" i="21"/>
  <c r="S147" i="21"/>
  <c r="M147" i="21"/>
  <c r="S146" i="21"/>
  <c r="N146" i="21"/>
  <c r="M146" i="21"/>
  <c r="S145" i="21"/>
  <c r="M145" i="21"/>
  <c r="T144" i="21"/>
  <c r="S144" i="21"/>
  <c r="N144" i="21"/>
  <c r="M144" i="21"/>
  <c r="S143" i="21"/>
  <c r="M143" i="21"/>
  <c r="T142" i="21"/>
  <c r="S142" i="21"/>
  <c r="M142" i="21"/>
  <c r="S141" i="21"/>
  <c r="M141" i="21"/>
  <c r="S140" i="21"/>
  <c r="M140" i="21"/>
  <c r="S139" i="21"/>
  <c r="M139" i="21"/>
  <c r="S138" i="21"/>
  <c r="M138" i="21"/>
  <c r="S137" i="21"/>
  <c r="M137" i="21"/>
  <c r="S136" i="21"/>
  <c r="M136" i="21"/>
  <c r="M135" i="21"/>
  <c r="S134" i="21"/>
  <c r="M134" i="21"/>
  <c r="S133" i="21"/>
  <c r="M133" i="21"/>
  <c r="S132" i="21"/>
  <c r="M132" i="21"/>
  <c r="S131" i="21"/>
  <c r="M131" i="21"/>
  <c r="S130" i="21"/>
  <c r="M130" i="21"/>
  <c r="S129" i="21"/>
  <c r="M129" i="21"/>
  <c r="S128" i="21"/>
  <c r="M128" i="21"/>
  <c r="S127" i="21"/>
  <c r="M127" i="21"/>
  <c r="S126" i="21"/>
  <c r="M126" i="21"/>
  <c r="T125" i="21"/>
  <c r="S125" i="21"/>
  <c r="N125" i="21"/>
  <c r="M125" i="21"/>
  <c r="S124" i="21"/>
  <c r="M124" i="21"/>
  <c r="S123" i="21"/>
  <c r="M123" i="21"/>
  <c r="S122" i="21"/>
  <c r="M122" i="21"/>
  <c r="S121" i="21"/>
  <c r="M121" i="21"/>
  <c r="S120" i="21"/>
  <c r="M120" i="21"/>
  <c r="S119" i="21"/>
  <c r="M119" i="21"/>
  <c r="T118" i="21"/>
  <c r="S118" i="21"/>
  <c r="N118" i="21"/>
  <c r="M118" i="21"/>
  <c r="S117" i="21"/>
  <c r="M117" i="21"/>
  <c r="S116" i="21"/>
  <c r="M116" i="21"/>
  <c r="S115" i="21"/>
  <c r="M115" i="21"/>
  <c r="S114" i="21"/>
  <c r="M114" i="21"/>
  <c r="S113" i="21"/>
  <c r="M113" i="21"/>
  <c r="T112" i="21"/>
  <c r="S112" i="21"/>
  <c r="N112" i="21"/>
  <c r="M112" i="21"/>
  <c r="S111" i="21"/>
  <c r="M111" i="21"/>
  <c r="T110" i="21"/>
  <c r="S110" i="21"/>
  <c r="N110" i="21"/>
  <c r="M110" i="21"/>
  <c r="S109" i="21"/>
  <c r="M109" i="21"/>
  <c r="S108" i="21"/>
  <c r="M108" i="21"/>
  <c r="S107" i="21"/>
  <c r="M107" i="21"/>
  <c r="T106" i="21"/>
  <c r="S106" i="21"/>
  <c r="N106" i="21"/>
  <c r="M106" i="21"/>
  <c r="S105" i="21"/>
  <c r="M105" i="21"/>
  <c r="S104" i="21"/>
  <c r="N104" i="21"/>
  <c r="M104" i="21" s="1"/>
  <c r="S103" i="21"/>
  <c r="M103" i="21"/>
  <c r="M102" i="21"/>
  <c r="S101" i="21"/>
  <c r="M101" i="21"/>
  <c r="S100" i="21"/>
  <c r="M100" i="21"/>
  <c r="S99" i="21"/>
  <c r="M99" i="21"/>
  <c r="S98" i="21"/>
  <c r="M98" i="21"/>
  <c r="S97" i="21"/>
  <c r="M97" i="21"/>
  <c r="S96" i="21"/>
  <c r="M96" i="21"/>
  <c r="S95" i="21"/>
  <c r="M95" i="21"/>
  <c r="S93" i="21"/>
  <c r="M93" i="21"/>
  <c r="S92" i="21"/>
  <c r="M92" i="21"/>
  <c r="S91" i="21"/>
  <c r="M91" i="21"/>
  <c r="S90" i="21"/>
  <c r="M90" i="21"/>
  <c r="S89" i="21"/>
  <c r="M89" i="21"/>
  <c r="S88" i="21"/>
  <c r="M88" i="21"/>
  <c r="S87" i="21"/>
  <c r="M87" i="21"/>
  <c r="S86" i="21"/>
  <c r="M86" i="21"/>
  <c r="S85" i="21"/>
  <c r="M85" i="21"/>
  <c r="S84" i="21"/>
  <c r="M84" i="21"/>
  <c r="S83" i="21"/>
  <c r="M83" i="21"/>
  <c r="S82" i="21"/>
  <c r="M82" i="21"/>
  <c r="S81" i="21"/>
  <c r="M81" i="21"/>
  <c r="S80" i="21"/>
  <c r="M80" i="21"/>
  <c r="S79" i="21"/>
  <c r="M79" i="21"/>
  <c r="S78" i="21"/>
  <c r="M78" i="21"/>
  <c r="S77" i="21"/>
  <c r="M77" i="21"/>
  <c r="S76" i="21"/>
  <c r="S75" i="21"/>
  <c r="M75" i="21"/>
  <c r="S74" i="21"/>
  <c r="M74" i="21"/>
  <c r="S73" i="21"/>
  <c r="M73" i="21"/>
  <c r="S72" i="21"/>
  <c r="M72" i="21"/>
  <c r="S71" i="21"/>
  <c r="M71" i="21"/>
  <c r="S70" i="21"/>
  <c r="M70" i="21"/>
  <c r="S69" i="21"/>
  <c r="M69" i="21"/>
  <c r="S68" i="21"/>
  <c r="M68" i="21"/>
  <c r="S67" i="21"/>
  <c r="M67" i="21"/>
  <c r="S66" i="21"/>
  <c r="M66" i="21"/>
  <c r="S65" i="21"/>
  <c r="M65" i="21"/>
  <c r="S64" i="21"/>
  <c r="M64" i="21"/>
  <c r="S63" i="21"/>
  <c r="M63" i="21"/>
  <c r="S62" i="21"/>
  <c r="M62" i="21"/>
  <c r="S61" i="21"/>
  <c r="M61" i="21"/>
  <c r="S60" i="21"/>
  <c r="M60" i="21"/>
  <c r="S59" i="21"/>
  <c r="M59" i="21"/>
  <c r="S58" i="21"/>
  <c r="M58" i="21"/>
  <c r="S57" i="21"/>
  <c r="M57" i="21"/>
  <c r="S56" i="21"/>
  <c r="M56" i="21"/>
  <c r="S55" i="21"/>
  <c r="M55" i="21"/>
  <c r="T54" i="21"/>
  <c r="S54" i="21" s="1"/>
  <c r="M54" i="21"/>
  <c r="S53" i="21"/>
  <c r="M53" i="21"/>
  <c r="S52" i="21"/>
  <c r="M52" i="21"/>
  <c r="S51" i="21"/>
  <c r="M51" i="21"/>
  <c r="S50" i="21"/>
  <c r="M50" i="21"/>
  <c r="S49" i="21"/>
  <c r="M49" i="21"/>
  <c r="S48" i="21"/>
  <c r="M48" i="21"/>
  <c r="S47" i="21"/>
  <c r="M47" i="21"/>
  <c r="S46" i="21"/>
  <c r="M46" i="21"/>
  <c r="S45" i="21"/>
  <c r="M45" i="21"/>
  <c r="S44" i="21"/>
  <c r="M44" i="21"/>
  <c r="S43" i="21"/>
  <c r="M43" i="21"/>
  <c r="S42" i="21"/>
  <c r="M42" i="21"/>
  <c r="S41" i="21"/>
  <c r="M41" i="21"/>
  <c r="S40" i="21"/>
  <c r="M40" i="21"/>
  <c r="S39" i="21"/>
  <c r="M39" i="21"/>
  <c r="S38" i="21"/>
  <c r="M38" i="21"/>
  <c r="S37" i="21"/>
  <c r="M37" i="21"/>
  <c r="T36" i="21"/>
  <c r="S36" i="21"/>
  <c r="N36" i="21"/>
  <c r="M36" i="21"/>
  <c r="S35" i="21"/>
  <c r="M35" i="21"/>
  <c r="S34" i="21"/>
  <c r="M34" i="21"/>
  <c r="S33" i="21"/>
  <c r="M33" i="21"/>
  <c r="S31" i="21"/>
  <c r="M31" i="21"/>
  <c r="S30" i="21"/>
  <c r="M30" i="21"/>
  <c r="S29" i="21"/>
  <c r="M29" i="21"/>
  <c r="T28" i="21"/>
  <c r="S28" i="21"/>
  <c r="N28" i="21"/>
  <c r="M287" i="21" s="1"/>
  <c r="M28" i="21"/>
  <c r="S27" i="21"/>
  <c r="M27" i="21"/>
  <c r="T26" i="21"/>
  <c r="S26" i="21"/>
  <c r="M26" i="21"/>
  <c r="S25" i="21"/>
  <c r="M25" i="21"/>
  <c r="T24" i="21"/>
  <c r="S24" i="21" s="1"/>
  <c r="M24" i="21"/>
  <c r="S23" i="21"/>
  <c r="M23" i="21"/>
  <c r="S22" i="21"/>
  <c r="M22" i="21"/>
  <c r="S21" i="21"/>
  <c r="M21" i="21"/>
  <c r="T20" i="21"/>
  <c r="S20" i="21"/>
  <c r="M20" i="21"/>
  <c r="S19" i="21"/>
  <c r="M19" i="21"/>
  <c r="S18" i="21"/>
  <c r="M18" i="21"/>
  <c r="S17" i="21"/>
  <c r="M17" i="21"/>
  <c r="S16" i="21"/>
  <c r="M16" i="21"/>
  <c r="S15" i="21"/>
  <c r="M15" i="21"/>
  <c r="T14" i="21"/>
  <c r="S287" i="21" s="1"/>
  <c r="U287" i="21" s="1"/>
  <c r="M14" i="21"/>
  <c r="S13" i="21"/>
  <c r="M13" i="21"/>
  <c r="S12" i="21"/>
  <c r="M12" i="21"/>
  <c r="L287" i="21" s="1"/>
  <c r="S11" i="21"/>
  <c r="M11" i="21"/>
  <c r="S10" i="21"/>
  <c r="R288" i="21" s="1"/>
  <c r="M10" i="21"/>
  <c r="L288" i="21" s="1"/>
  <c r="S9" i="21"/>
  <c r="R286" i="21" s="1"/>
  <c r="M9" i="21"/>
  <c r="L286" i="21" s="1"/>
  <c r="T288" i="20"/>
  <c r="T289" i="20" s="1"/>
  <c r="S288" i="20"/>
  <c r="Q288" i="20"/>
  <c r="Q289" i="20" s="1"/>
  <c r="P288" i="20"/>
  <c r="P289" i="20" s="1"/>
  <c r="O288" i="20"/>
  <c r="O289" i="20" s="1"/>
  <c r="N288" i="20"/>
  <c r="N289" i="20" s="1"/>
  <c r="M288" i="20"/>
  <c r="K288" i="20"/>
  <c r="K289" i="20" s="1"/>
  <c r="J288" i="20"/>
  <c r="J289" i="20" s="1"/>
  <c r="I288" i="20"/>
  <c r="I289" i="20" s="1"/>
  <c r="H288" i="20"/>
  <c r="H289" i="20" s="1"/>
  <c r="G288" i="20"/>
  <c r="G289" i="20" s="1"/>
  <c r="T287" i="20"/>
  <c r="Q287" i="20"/>
  <c r="P287" i="20"/>
  <c r="O287" i="20"/>
  <c r="N287" i="20"/>
  <c r="K287" i="20"/>
  <c r="J287" i="20"/>
  <c r="I287" i="20"/>
  <c r="H287" i="20"/>
  <c r="G287" i="20"/>
  <c r="T286" i="20"/>
  <c r="S286" i="20"/>
  <c r="U286" i="20" s="1"/>
  <c r="Q286" i="20"/>
  <c r="P286" i="20"/>
  <c r="O286" i="20"/>
  <c r="N286" i="20"/>
  <c r="M286" i="20"/>
  <c r="K286" i="20"/>
  <c r="J286" i="20"/>
  <c r="V286" i="20" s="1"/>
  <c r="I286" i="20"/>
  <c r="H286" i="20"/>
  <c r="G286" i="20"/>
  <c r="U280" i="20"/>
  <c r="R280" i="20"/>
  <c r="Q280" i="20"/>
  <c r="P280" i="20"/>
  <c r="O280" i="20"/>
  <c r="L280" i="20"/>
  <c r="K280" i="20"/>
  <c r="J280" i="20"/>
  <c r="I280" i="20"/>
  <c r="H280" i="20"/>
  <c r="M279" i="20"/>
  <c r="S278" i="20"/>
  <c r="M278" i="20"/>
  <c r="S277" i="20"/>
  <c r="M277" i="20"/>
  <c r="S276" i="20"/>
  <c r="M276" i="20"/>
  <c r="T275" i="20"/>
  <c r="S275" i="20" s="1"/>
  <c r="M275" i="20"/>
  <c r="S274" i="20"/>
  <c r="M274" i="20"/>
  <c r="M273" i="20"/>
  <c r="S272" i="20"/>
  <c r="M272" i="20"/>
  <c r="S271" i="20"/>
  <c r="M271" i="20"/>
  <c r="S270" i="20"/>
  <c r="M270" i="20"/>
  <c r="S269" i="20"/>
  <c r="M269" i="20"/>
  <c r="S268" i="20"/>
  <c r="M268" i="20"/>
  <c r="S267" i="20"/>
  <c r="M267" i="20"/>
  <c r="S266" i="20"/>
  <c r="M266" i="20"/>
  <c r="S265" i="20"/>
  <c r="M265" i="20"/>
  <c r="S264" i="20"/>
  <c r="M264" i="20"/>
  <c r="T263" i="20"/>
  <c r="S263" i="20" s="1"/>
  <c r="N263" i="20"/>
  <c r="M263" i="20" s="1"/>
  <c r="S262" i="20"/>
  <c r="M262" i="20"/>
  <c r="S261" i="20"/>
  <c r="M261" i="20"/>
  <c r="S260" i="20"/>
  <c r="M260" i="20"/>
  <c r="T259" i="20"/>
  <c r="S259" i="20" s="1"/>
  <c r="N259" i="20"/>
  <c r="M259" i="20" s="1"/>
  <c r="S258" i="20"/>
  <c r="M258" i="20"/>
  <c r="T257" i="20"/>
  <c r="S257" i="20" s="1"/>
  <c r="M257" i="20"/>
  <c r="S256" i="20"/>
  <c r="M256" i="20"/>
  <c r="S255" i="20"/>
  <c r="N255" i="20"/>
  <c r="M255" i="20" s="1"/>
  <c r="S254" i="20"/>
  <c r="M254" i="20"/>
  <c r="T253" i="20"/>
  <c r="S253" i="20" s="1"/>
  <c r="M253" i="20"/>
  <c r="S252" i="20"/>
  <c r="M252" i="20"/>
  <c r="S251" i="20"/>
  <c r="M251" i="20"/>
  <c r="S250" i="20"/>
  <c r="M250" i="20"/>
  <c r="S249" i="20"/>
  <c r="M249" i="20"/>
  <c r="S248" i="20"/>
  <c r="M248" i="20"/>
  <c r="S247" i="20"/>
  <c r="M247" i="20"/>
  <c r="S246" i="20"/>
  <c r="M246" i="20"/>
  <c r="M245" i="20"/>
  <c r="S244" i="20"/>
  <c r="M244" i="20"/>
  <c r="S243" i="20"/>
  <c r="M243" i="20"/>
  <c r="S242" i="20"/>
  <c r="M242" i="20"/>
  <c r="S241" i="20"/>
  <c r="M241" i="20"/>
  <c r="S240" i="20"/>
  <c r="M240" i="20"/>
  <c r="S239" i="20"/>
  <c r="M239" i="20"/>
  <c r="S238" i="20"/>
  <c r="M238" i="20"/>
  <c r="S237" i="20"/>
  <c r="M237" i="20"/>
  <c r="S236" i="20"/>
  <c r="M236" i="20"/>
  <c r="T235" i="20"/>
  <c r="S235" i="20" s="1"/>
  <c r="M235" i="20"/>
  <c r="S234" i="20"/>
  <c r="M234" i="20"/>
  <c r="S233" i="20"/>
  <c r="M233" i="20"/>
  <c r="S232" i="20"/>
  <c r="M232" i="20"/>
  <c r="S231" i="20"/>
  <c r="M231" i="20"/>
  <c r="S230" i="20"/>
  <c r="M230" i="20"/>
  <c r="S229" i="20"/>
  <c r="M229" i="20"/>
  <c r="S228" i="20"/>
  <c r="M228" i="20"/>
  <c r="S227" i="20"/>
  <c r="M227" i="20"/>
  <c r="S226" i="20"/>
  <c r="M226" i="20"/>
  <c r="S225" i="20"/>
  <c r="M225" i="20"/>
  <c r="S224" i="20"/>
  <c r="M224" i="20"/>
  <c r="S223" i="20"/>
  <c r="M223" i="20"/>
  <c r="S222" i="20"/>
  <c r="M222" i="20"/>
  <c r="M221" i="20"/>
  <c r="S220" i="20"/>
  <c r="M220" i="20"/>
  <c r="S219" i="20"/>
  <c r="M219" i="20"/>
  <c r="S218" i="20"/>
  <c r="M218" i="20"/>
  <c r="S217" i="20"/>
  <c r="M217" i="20"/>
  <c r="S216" i="20"/>
  <c r="M216" i="20"/>
  <c r="S215" i="20"/>
  <c r="M215" i="20"/>
  <c r="S214" i="20"/>
  <c r="M214" i="20"/>
  <c r="S213" i="20"/>
  <c r="M213" i="20"/>
  <c r="S212" i="20"/>
  <c r="M212" i="20"/>
  <c r="S211" i="20"/>
  <c r="M211" i="20"/>
  <c r="S210" i="20"/>
  <c r="M210" i="20"/>
  <c r="T209" i="20"/>
  <c r="S209" i="20" s="1"/>
  <c r="M209" i="20"/>
  <c r="S208" i="20"/>
  <c r="M208" i="20"/>
  <c r="S207" i="20"/>
  <c r="M207" i="20"/>
  <c r="S206" i="20"/>
  <c r="M206" i="20"/>
  <c r="M205" i="20"/>
  <c r="S204" i="20"/>
  <c r="M204" i="20"/>
  <c r="T203" i="20"/>
  <c r="S203" i="20" s="1"/>
  <c r="M203" i="20"/>
  <c r="S202" i="20"/>
  <c r="M202" i="20"/>
  <c r="S201" i="20"/>
  <c r="M201" i="20"/>
  <c r="S200" i="20"/>
  <c r="M200" i="20"/>
  <c r="S199" i="20"/>
  <c r="M199" i="20"/>
  <c r="S198" i="20"/>
  <c r="M198" i="20"/>
  <c r="S197" i="20"/>
  <c r="M197" i="20"/>
  <c r="T196" i="20"/>
  <c r="S196" i="20"/>
  <c r="N196" i="20"/>
  <c r="M196" i="20"/>
  <c r="S195" i="20"/>
  <c r="M195" i="20"/>
  <c r="S194" i="20"/>
  <c r="M194" i="20"/>
  <c r="S193" i="20"/>
  <c r="M193" i="20"/>
  <c r="S192" i="20"/>
  <c r="M192" i="20"/>
  <c r="S191" i="20"/>
  <c r="M191" i="20"/>
  <c r="S190" i="20"/>
  <c r="M190" i="20"/>
  <c r="S189" i="20"/>
  <c r="M189" i="20"/>
  <c r="S188" i="20"/>
  <c r="M188" i="20"/>
  <c r="S187" i="20"/>
  <c r="M187" i="20"/>
  <c r="S186" i="20"/>
  <c r="M186" i="20"/>
  <c r="S185" i="20"/>
  <c r="M185" i="20"/>
  <c r="M184" i="20"/>
  <c r="S183" i="20"/>
  <c r="M183" i="20"/>
  <c r="S182" i="20"/>
  <c r="M182" i="20"/>
  <c r="S181" i="20"/>
  <c r="M181" i="20"/>
  <c r="T180" i="20"/>
  <c r="S180" i="20" s="1"/>
  <c r="M180" i="20"/>
  <c r="S179" i="20"/>
  <c r="M179" i="20"/>
  <c r="T178" i="20"/>
  <c r="S178" i="20"/>
  <c r="M178" i="20"/>
  <c r="S177" i="20"/>
  <c r="M177" i="20"/>
  <c r="T176" i="20"/>
  <c r="S176" i="20" s="1"/>
  <c r="N176" i="20"/>
  <c r="M176" i="20" s="1"/>
  <c r="S175" i="20"/>
  <c r="M175" i="20"/>
  <c r="S174" i="20"/>
  <c r="M174" i="20"/>
  <c r="S173" i="20"/>
  <c r="M173" i="20"/>
  <c r="S172" i="20"/>
  <c r="M172" i="20"/>
  <c r="S171" i="20"/>
  <c r="M171" i="20"/>
  <c r="S170" i="20"/>
  <c r="M170" i="20"/>
  <c r="S169" i="20"/>
  <c r="M169" i="20"/>
  <c r="S168" i="20"/>
  <c r="M168" i="20"/>
  <c r="S167" i="20"/>
  <c r="M167" i="20"/>
  <c r="T166" i="20"/>
  <c r="S166" i="20" s="1"/>
  <c r="N166" i="20"/>
  <c r="M166" i="20" s="1"/>
  <c r="S165" i="20"/>
  <c r="M165" i="20"/>
  <c r="T164" i="20"/>
  <c r="S164" i="20" s="1"/>
  <c r="M164" i="20"/>
  <c r="S163" i="20"/>
  <c r="M163" i="20"/>
  <c r="T162" i="20"/>
  <c r="S162" i="20"/>
  <c r="N162" i="20"/>
  <c r="M162" i="20"/>
  <c r="S161" i="20"/>
  <c r="M161" i="20"/>
  <c r="T160" i="20"/>
  <c r="S160" i="20"/>
  <c r="M160" i="20"/>
  <c r="S159" i="20"/>
  <c r="M159" i="20"/>
  <c r="S158" i="20"/>
  <c r="M158" i="20"/>
  <c r="T157" i="20"/>
  <c r="S157" i="20" s="1"/>
  <c r="M157" i="20"/>
  <c r="S156" i="20"/>
  <c r="M156" i="20"/>
  <c r="S155" i="20"/>
  <c r="M155" i="20"/>
  <c r="S154" i="20"/>
  <c r="M154" i="20"/>
  <c r="S153" i="20"/>
  <c r="M153" i="20"/>
  <c r="T152" i="20"/>
  <c r="S152" i="20"/>
  <c r="M152" i="20"/>
  <c r="S151" i="20"/>
  <c r="M151" i="20"/>
  <c r="M150" i="20"/>
  <c r="S149" i="20"/>
  <c r="M149" i="20"/>
  <c r="S148" i="20"/>
  <c r="M148" i="20"/>
  <c r="S147" i="20"/>
  <c r="M147" i="20"/>
  <c r="S146" i="20"/>
  <c r="N146" i="20"/>
  <c r="M146" i="20" s="1"/>
  <c r="S145" i="20"/>
  <c r="M145" i="20"/>
  <c r="T144" i="20"/>
  <c r="S144" i="20" s="1"/>
  <c r="N144" i="20"/>
  <c r="M144" i="20" s="1"/>
  <c r="S143" i="20"/>
  <c r="M143" i="20"/>
  <c r="T142" i="20"/>
  <c r="S142" i="20" s="1"/>
  <c r="M142" i="20"/>
  <c r="S141" i="20"/>
  <c r="M141" i="20"/>
  <c r="S140" i="20"/>
  <c r="M140" i="20"/>
  <c r="S139" i="20"/>
  <c r="M139" i="20"/>
  <c r="S138" i="20"/>
  <c r="M138" i="20"/>
  <c r="S137" i="20"/>
  <c r="M137" i="20"/>
  <c r="S136" i="20"/>
  <c r="M136" i="20"/>
  <c r="M135" i="20"/>
  <c r="S134" i="20"/>
  <c r="M134" i="20"/>
  <c r="S133" i="20"/>
  <c r="M133" i="20"/>
  <c r="S132" i="20"/>
  <c r="M132" i="20"/>
  <c r="S131" i="20"/>
  <c r="M131" i="20"/>
  <c r="S130" i="20"/>
  <c r="M130" i="20"/>
  <c r="S129" i="20"/>
  <c r="M129" i="20"/>
  <c r="S128" i="20"/>
  <c r="M128" i="20"/>
  <c r="S127" i="20"/>
  <c r="M127" i="20"/>
  <c r="S126" i="20"/>
  <c r="M126" i="20"/>
  <c r="T125" i="20"/>
  <c r="S125" i="20" s="1"/>
  <c r="N125" i="20"/>
  <c r="M125" i="20" s="1"/>
  <c r="S124" i="20"/>
  <c r="M124" i="20"/>
  <c r="S123" i="20"/>
  <c r="M123" i="20"/>
  <c r="S122" i="20"/>
  <c r="M122" i="20"/>
  <c r="S121" i="20"/>
  <c r="M121" i="20"/>
  <c r="S120" i="20"/>
  <c r="M120" i="20"/>
  <c r="S119" i="20"/>
  <c r="M119" i="20"/>
  <c r="T118" i="20"/>
  <c r="S118" i="20" s="1"/>
  <c r="N118" i="20"/>
  <c r="M118" i="20" s="1"/>
  <c r="S117" i="20"/>
  <c r="M117" i="20"/>
  <c r="S116" i="20"/>
  <c r="M116" i="20"/>
  <c r="S115" i="20"/>
  <c r="M115" i="20"/>
  <c r="S114" i="20"/>
  <c r="M114" i="20"/>
  <c r="S113" i="20"/>
  <c r="M113" i="20"/>
  <c r="T112" i="20"/>
  <c r="S112" i="20" s="1"/>
  <c r="N112" i="20"/>
  <c r="M112" i="20" s="1"/>
  <c r="S111" i="20"/>
  <c r="M111" i="20"/>
  <c r="T110" i="20"/>
  <c r="S110" i="20" s="1"/>
  <c r="N110" i="20"/>
  <c r="M110" i="20" s="1"/>
  <c r="S109" i="20"/>
  <c r="M109" i="20"/>
  <c r="S108" i="20"/>
  <c r="M108" i="20"/>
  <c r="S107" i="20"/>
  <c r="M107" i="20"/>
  <c r="T106" i="20"/>
  <c r="S106" i="20" s="1"/>
  <c r="N106" i="20"/>
  <c r="M106" i="20" s="1"/>
  <c r="S105" i="20"/>
  <c r="M105" i="20"/>
  <c r="S104" i="20"/>
  <c r="N104" i="20"/>
  <c r="M104" i="20"/>
  <c r="S103" i="20"/>
  <c r="M103" i="20"/>
  <c r="M102" i="20"/>
  <c r="S101" i="20"/>
  <c r="M101" i="20"/>
  <c r="S100" i="20"/>
  <c r="M100" i="20"/>
  <c r="S99" i="20"/>
  <c r="M99" i="20"/>
  <c r="S98" i="20"/>
  <c r="M98" i="20"/>
  <c r="S97" i="20"/>
  <c r="M97" i="20"/>
  <c r="S96" i="20"/>
  <c r="M96" i="20"/>
  <c r="S95" i="20"/>
  <c r="M95" i="20"/>
  <c r="S93" i="20"/>
  <c r="M93" i="20"/>
  <c r="S92" i="20"/>
  <c r="M92" i="20"/>
  <c r="S91" i="20"/>
  <c r="M91" i="20"/>
  <c r="S90" i="20"/>
  <c r="M90" i="20"/>
  <c r="S89" i="20"/>
  <c r="M89" i="20"/>
  <c r="S88" i="20"/>
  <c r="M88" i="20"/>
  <c r="S87" i="20"/>
  <c r="M87" i="20"/>
  <c r="S86" i="20"/>
  <c r="M86" i="20"/>
  <c r="S85" i="20"/>
  <c r="M85" i="20"/>
  <c r="S84" i="20"/>
  <c r="M84" i="20"/>
  <c r="S83" i="20"/>
  <c r="M83" i="20"/>
  <c r="S82" i="20"/>
  <c r="M82" i="20"/>
  <c r="S81" i="20"/>
  <c r="M81" i="20"/>
  <c r="S80" i="20"/>
  <c r="M80" i="20"/>
  <c r="S79" i="20"/>
  <c r="M79" i="20"/>
  <c r="S78" i="20"/>
  <c r="M78" i="20"/>
  <c r="S77" i="20"/>
  <c r="M77" i="20"/>
  <c r="S76" i="20"/>
  <c r="S75" i="20"/>
  <c r="M75" i="20"/>
  <c r="S74" i="20"/>
  <c r="M74" i="20"/>
  <c r="S73" i="20"/>
  <c r="M73" i="20"/>
  <c r="S72" i="20"/>
  <c r="M72" i="20"/>
  <c r="S71" i="20"/>
  <c r="M71" i="20"/>
  <c r="S70" i="20"/>
  <c r="M70" i="20"/>
  <c r="S69" i="20"/>
  <c r="M69" i="20"/>
  <c r="S68" i="20"/>
  <c r="M68" i="20"/>
  <c r="S67" i="20"/>
  <c r="M67" i="20"/>
  <c r="S66" i="20"/>
  <c r="M66" i="20"/>
  <c r="S65" i="20"/>
  <c r="M65" i="20"/>
  <c r="S64" i="20"/>
  <c r="M64" i="20"/>
  <c r="S63" i="20"/>
  <c r="M63" i="20"/>
  <c r="S62" i="20"/>
  <c r="M62" i="20"/>
  <c r="S61" i="20"/>
  <c r="M61" i="20"/>
  <c r="S60" i="20"/>
  <c r="M60" i="20"/>
  <c r="S59" i="20"/>
  <c r="M59" i="20"/>
  <c r="S58" i="20"/>
  <c r="M58" i="20"/>
  <c r="S57" i="20"/>
  <c r="M57" i="20"/>
  <c r="S56" i="20"/>
  <c r="M56" i="20"/>
  <c r="S55" i="20"/>
  <c r="M55" i="20"/>
  <c r="T54" i="20"/>
  <c r="S54" i="20"/>
  <c r="M54" i="20"/>
  <c r="S53" i="20"/>
  <c r="M53" i="20"/>
  <c r="S52" i="20"/>
  <c r="M52" i="20"/>
  <c r="S51" i="20"/>
  <c r="M51" i="20"/>
  <c r="S50" i="20"/>
  <c r="M50" i="20"/>
  <c r="S49" i="20"/>
  <c r="M49" i="20"/>
  <c r="S48" i="20"/>
  <c r="M48" i="20"/>
  <c r="S47" i="20"/>
  <c r="M47" i="20"/>
  <c r="S46" i="20"/>
  <c r="M46" i="20"/>
  <c r="S45" i="20"/>
  <c r="M45" i="20"/>
  <c r="S44" i="20"/>
  <c r="M44" i="20"/>
  <c r="S43" i="20"/>
  <c r="M43" i="20"/>
  <c r="S42" i="20"/>
  <c r="M42" i="20"/>
  <c r="S41" i="20"/>
  <c r="M41" i="20"/>
  <c r="S40" i="20"/>
  <c r="M40" i="20"/>
  <c r="S39" i="20"/>
  <c r="M39" i="20"/>
  <c r="S38" i="20"/>
  <c r="M38" i="20"/>
  <c r="S37" i="20"/>
  <c r="M37" i="20"/>
  <c r="T36" i="20"/>
  <c r="S36" i="20" s="1"/>
  <c r="N36" i="20"/>
  <c r="M36" i="20" s="1"/>
  <c r="S35" i="20"/>
  <c r="M35" i="20"/>
  <c r="S34" i="20"/>
  <c r="M34" i="20"/>
  <c r="S33" i="20"/>
  <c r="M33" i="20"/>
  <c r="S31" i="20"/>
  <c r="M31" i="20"/>
  <c r="S30" i="20"/>
  <c r="M30" i="20"/>
  <c r="S29" i="20"/>
  <c r="M29" i="20"/>
  <c r="T28" i="20"/>
  <c r="S28" i="20" s="1"/>
  <c r="N28" i="20"/>
  <c r="M287" i="20" s="1"/>
  <c r="S27" i="20"/>
  <c r="M27" i="20"/>
  <c r="T26" i="20"/>
  <c r="S26" i="20" s="1"/>
  <c r="M26" i="20"/>
  <c r="S25" i="20"/>
  <c r="M25" i="20"/>
  <c r="T24" i="20"/>
  <c r="S24" i="20"/>
  <c r="M24" i="20"/>
  <c r="S23" i="20"/>
  <c r="M23" i="20"/>
  <c r="S22" i="20"/>
  <c r="M22" i="20"/>
  <c r="S21" i="20"/>
  <c r="M21" i="20"/>
  <c r="T20" i="20"/>
  <c r="T280" i="20" s="1"/>
  <c r="M20" i="20"/>
  <c r="S19" i="20"/>
  <c r="M19" i="20"/>
  <c r="S18" i="20"/>
  <c r="M18" i="20"/>
  <c r="S17" i="20"/>
  <c r="M17" i="20"/>
  <c r="S16" i="20"/>
  <c r="M16" i="20"/>
  <c r="S15" i="20"/>
  <c r="M15" i="20"/>
  <c r="T14" i="20"/>
  <c r="S287" i="20" s="1"/>
  <c r="U287" i="20" s="1"/>
  <c r="S14" i="20"/>
  <c r="M14" i="20"/>
  <c r="S13" i="20"/>
  <c r="M13" i="20"/>
  <c r="S12" i="20"/>
  <c r="M12" i="20"/>
  <c r="S11" i="20"/>
  <c r="M11" i="20"/>
  <c r="S10" i="20"/>
  <c r="R288" i="20" s="1"/>
  <c r="M10" i="20"/>
  <c r="L288" i="20" s="1"/>
  <c r="S9" i="20"/>
  <c r="R286" i="20" s="1"/>
  <c r="M9" i="20"/>
  <c r="L286" i="20" s="1"/>
  <c r="T288" i="19"/>
  <c r="S288" i="19"/>
  <c r="Q288" i="19"/>
  <c r="Q289" i="19" s="1"/>
  <c r="P288" i="19"/>
  <c r="P289" i="19" s="1"/>
  <c r="O288" i="19"/>
  <c r="O289" i="19" s="1"/>
  <c r="N288" i="19"/>
  <c r="M288" i="19"/>
  <c r="K288" i="19"/>
  <c r="K289" i="19" s="1"/>
  <c r="J288" i="19"/>
  <c r="J289" i="19" s="1"/>
  <c r="I288" i="19"/>
  <c r="I289" i="19" s="1"/>
  <c r="H288" i="19"/>
  <c r="H289" i="19" s="1"/>
  <c r="G288" i="19"/>
  <c r="G289" i="19" s="1"/>
  <c r="Q287" i="19"/>
  <c r="P287" i="19"/>
  <c r="O287" i="19"/>
  <c r="K287" i="19"/>
  <c r="J287" i="19"/>
  <c r="I287" i="19"/>
  <c r="H287" i="19"/>
  <c r="G287" i="19"/>
  <c r="T286" i="19"/>
  <c r="S286" i="19"/>
  <c r="U286" i="19" s="1"/>
  <c r="Q286" i="19"/>
  <c r="P286" i="19"/>
  <c r="O286" i="19"/>
  <c r="N286" i="19"/>
  <c r="M286" i="19"/>
  <c r="K286" i="19"/>
  <c r="J286" i="19"/>
  <c r="V286" i="19" s="1"/>
  <c r="I286" i="19"/>
  <c r="H286" i="19"/>
  <c r="G286" i="19"/>
  <c r="R280" i="19"/>
  <c r="Q280" i="19"/>
  <c r="P280" i="19"/>
  <c r="N280" i="19"/>
  <c r="L280" i="19"/>
  <c r="K280" i="19"/>
  <c r="J280" i="19"/>
  <c r="I280" i="19"/>
  <c r="H280" i="19"/>
  <c r="M279" i="19"/>
  <c r="S278" i="19"/>
  <c r="M278" i="19"/>
  <c r="S277" i="19"/>
  <c r="M277" i="19"/>
  <c r="S276" i="19"/>
  <c r="M276" i="19"/>
  <c r="T275" i="19"/>
  <c r="S275" i="19" s="1"/>
  <c r="M275" i="19"/>
  <c r="S274" i="19"/>
  <c r="M274" i="19"/>
  <c r="M273" i="19"/>
  <c r="S272" i="19"/>
  <c r="M272" i="19"/>
  <c r="S271" i="19"/>
  <c r="M271" i="19"/>
  <c r="S270" i="19"/>
  <c r="M270" i="19"/>
  <c r="S269" i="19"/>
  <c r="M269" i="19"/>
  <c r="S268" i="19"/>
  <c r="M268" i="19"/>
  <c r="S267" i="19"/>
  <c r="M267" i="19"/>
  <c r="S266" i="19"/>
  <c r="M266" i="19"/>
  <c r="S265" i="19"/>
  <c r="M265" i="19"/>
  <c r="S264" i="19"/>
  <c r="M264" i="19"/>
  <c r="T263" i="19"/>
  <c r="S263" i="19" s="1"/>
  <c r="O263" i="19"/>
  <c r="M263" i="19" s="1"/>
  <c r="S262" i="19"/>
  <c r="M262" i="19"/>
  <c r="S261" i="19"/>
  <c r="M261" i="19"/>
  <c r="S260" i="19"/>
  <c r="M260" i="19"/>
  <c r="T259" i="19"/>
  <c r="S259" i="19" s="1"/>
  <c r="O259" i="19"/>
  <c r="N259" i="19"/>
  <c r="M259" i="19"/>
  <c r="S258" i="19"/>
  <c r="M258" i="19"/>
  <c r="T257" i="19"/>
  <c r="S257" i="19"/>
  <c r="M257" i="19"/>
  <c r="S256" i="19"/>
  <c r="M256" i="19"/>
  <c r="S255" i="19"/>
  <c r="O255" i="19"/>
  <c r="M255" i="19"/>
  <c r="S254" i="19"/>
  <c r="M254" i="19"/>
  <c r="T253" i="19"/>
  <c r="S253" i="19"/>
  <c r="M253" i="19"/>
  <c r="S252" i="19"/>
  <c r="M252" i="19"/>
  <c r="S251" i="19"/>
  <c r="M251" i="19"/>
  <c r="S250" i="19"/>
  <c r="M250" i="19"/>
  <c r="S249" i="19"/>
  <c r="M249" i="19"/>
  <c r="S248" i="19"/>
  <c r="M248" i="19"/>
  <c r="S247" i="19"/>
  <c r="M247" i="19"/>
  <c r="S246" i="19"/>
  <c r="M246" i="19"/>
  <c r="M245" i="19"/>
  <c r="S244" i="19"/>
  <c r="M244" i="19"/>
  <c r="S243" i="19"/>
  <c r="M243" i="19"/>
  <c r="S242" i="19"/>
  <c r="M242" i="19"/>
  <c r="S241" i="19"/>
  <c r="M241" i="19"/>
  <c r="S240" i="19"/>
  <c r="M240" i="19"/>
  <c r="S239" i="19"/>
  <c r="M239" i="19"/>
  <c r="S238" i="19"/>
  <c r="M238" i="19"/>
  <c r="S237" i="19"/>
  <c r="M237" i="19"/>
  <c r="S236" i="19"/>
  <c r="M236" i="19"/>
  <c r="T235" i="19"/>
  <c r="S235" i="19"/>
  <c r="M235" i="19"/>
  <c r="S234" i="19"/>
  <c r="M234" i="19"/>
  <c r="S233" i="19"/>
  <c r="M233" i="19"/>
  <c r="S232" i="19"/>
  <c r="M232" i="19"/>
  <c r="S231" i="19"/>
  <c r="M231" i="19"/>
  <c r="S230" i="19"/>
  <c r="M230" i="19"/>
  <c r="S229" i="19"/>
  <c r="M229" i="19"/>
  <c r="S228" i="19"/>
  <c r="M228" i="19"/>
  <c r="S227" i="19"/>
  <c r="M227" i="19"/>
  <c r="S226" i="19"/>
  <c r="M226" i="19"/>
  <c r="S225" i="19"/>
  <c r="M225" i="19"/>
  <c r="S224" i="19"/>
  <c r="M224" i="19"/>
  <c r="S223" i="19"/>
  <c r="M223" i="19"/>
  <c r="S222" i="19"/>
  <c r="M222" i="19"/>
  <c r="M221" i="19"/>
  <c r="S220" i="19"/>
  <c r="M220" i="19"/>
  <c r="S219" i="19"/>
  <c r="M219" i="19"/>
  <c r="S218" i="19"/>
  <c r="M218" i="19"/>
  <c r="S217" i="19"/>
  <c r="M217" i="19"/>
  <c r="S216" i="19"/>
  <c r="M216" i="19"/>
  <c r="S215" i="19"/>
  <c r="M215" i="19"/>
  <c r="S214" i="19"/>
  <c r="M214" i="19"/>
  <c r="S213" i="19"/>
  <c r="M213" i="19"/>
  <c r="S212" i="19"/>
  <c r="M212" i="19"/>
  <c r="S211" i="19"/>
  <c r="M211" i="19"/>
  <c r="S210" i="19"/>
  <c r="M210" i="19"/>
  <c r="T209" i="19"/>
  <c r="S209" i="19"/>
  <c r="M209" i="19"/>
  <c r="S208" i="19"/>
  <c r="M208" i="19"/>
  <c r="S207" i="19"/>
  <c r="M207" i="19"/>
  <c r="S206" i="19"/>
  <c r="M206" i="19"/>
  <c r="M205" i="19"/>
  <c r="S204" i="19"/>
  <c r="M204" i="19"/>
  <c r="T203" i="19"/>
  <c r="S203" i="19"/>
  <c r="M203" i="19"/>
  <c r="S202" i="19"/>
  <c r="M202" i="19"/>
  <c r="S201" i="19"/>
  <c r="M201" i="19"/>
  <c r="S200" i="19"/>
  <c r="M200" i="19"/>
  <c r="S199" i="19"/>
  <c r="M199" i="19"/>
  <c r="S198" i="19"/>
  <c r="M198" i="19"/>
  <c r="S197" i="19"/>
  <c r="M197" i="19"/>
  <c r="U196" i="19"/>
  <c r="S196" i="19" s="1"/>
  <c r="O196" i="19"/>
  <c r="M196" i="19" s="1"/>
  <c r="S195" i="19"/>
  <c r="M195" i="19"/>
  <c r="S194" i="19"/>
  <c r="M194" i="19"/>
  <c r="S193" i="19"/>
  <c r="M193" i="19"/>
  <c r="S192" i="19"/>
  <c r="M192" i="19"/>
  <c r="S191" i="19"/>
  <c r="M191" i="19"/>
  <c r="S190" i="19"/>
  <c r="M190" i="19"/>
  <c r="S189" i="19"/>
  <c r="M189" i="19"/>
  <c r="S188" i="19"/>
  <c r="M188" i="19"/>
  <c r="S187" i="19"/>
  <c r="M187" i="19"/>
  <c r="S186" i="19"/>
  <c r="M186" i="19"/>
  <c r="S185" i="19"/>
  <c r="M185" i="19"/>
  <c r="M184" i="19"/>
  <c r="S183" i="19"/>
  <c r="M183" i="19"/>
  <c r="S182" i="19"/>
  <c r="M182" i="19"/>
  <c r="S181" i="19"/>
  <c r="M181" i="19"/>
  <c r="U180" i="19"/>
  <c r="S180" i="19"/>
  <c r="M180" i="19"/>
  <c r="S179" i="19"/>
  <c r="M179" i="19"/>
  <c r="T178" i="19"/>
  <c r="S178" i="19" s="1"/>
  <c r="M178" i="19"/>
  <c r="S177" i="19"/>
  <c r="M177" i="19"/>
  <c r="U176" i="19"/>
  <c r="S176" i="19"/>
  <c r="O176" i="19"/>
  <c r="M176" i="19"/>
  <c r="S175" i="19"/>
  <c r="M175" i="19"/>
  <c r="S174" i="19"/>
  <c r="M174" i="19"/>
  <c r="S173" i="19"/>
  <c r="M173" i="19"/>
  <c r="S172" i="19"/>
  <c r="M172" i="19"/>
  <c r="S171" i="19"/>
  <c r="M171" i="19"/>
  <c r="S170" i="19"/>
  <c r="M170" i="19"/>
  <c r="S169" i="19"/>
  <c r="M169" i="19"/>
  <c r="S168" i="19"/>
  <c r="M168" i="19"/>
  <c r="S167" i="19"/>
  <c r="M167" i="19"/>
  <c r="T166" i="19"/>
  <c r="S166" i="19"/>
  <c r="N166" i="19"/>
  <c r="M166" i="19"/>
  <c r="S165" i="19"/>
  <c r="M165" i="19"/>
  <c r="T164" i="19"/>
  <c r="S164" i="19"/>
  <c r="M164" i="19"/>
  <c r="S163" i="19"/>
  <c r="M163" i="19"/>
  <c r="U162" i="19"/>
  <c r="S162" i="19" s="1"/>
  <c r="O162" i="19"/>
  <c r="M162" i="19" s="1"/>
  <c r="S161" i="19"/>
  <c r="M161" i="19"/>
  <c r="U160" i="19"/>
  <c r="T160" i="19"/>
  <c r="S160" i="19"/>
  <c r="M160" i="19"/>
  <c r="S159" i="19"/>
  <c r="M159" i="19"/>
  <c r="S158" i="19"/>
  <c r="M158" i="19"/>
  <c r="U157" i="19"/>
  <c r="S157" i="19" s="1"/>
  <c r="M157" i="19"/>
  <c r="S156" i="19"/>
  <c r="M156" i="19"/>
  <c r="S155" i="19"/>
  <c r="M155" i="19"/>
  <c r="S154" i="19"/>
  <c r="M154" i="19"/>
  <c r="S153" i="19"/>
  <c r="M153" i="19"/>
  <c r="U152" i="19"/>
  <c r="T152" i="19"/>
  <c r="S152" i="19" s="1"/>
  <c r="M152" i="19"/>
  <c r="S151" i="19"/>
  <c r="M151" i="19"/>
  <c r="M150" i="19"/>
  <c r="S149" i="19"/>
  <c r="M149" i="19"/>
  <c r="S148" i="19"/>
  <c r="M148" i="19"/>
  <c r="S147" i="19"/>
  <c r="M147" i="19"/>
  <c r="S146" i="19"/>
  <c r="N146" i="19"/>
  <c r="M146" i="19"/>
  <c r="S145" i="19"/>
  <c r="M145" i="19"/>
  <c r="T144" i="19"/>
  <c r="S144" i="19"/>
  <c r="N144" i="19"/>
  <c r="M144" i="19"/>
  <c r="S143" i="19"/>
  <c r="M143" i="19"/>
  <c r="U142" i="19"/>
  <c r="S142" i="19"/>
  <c r="M142" i="19"/>
  <c r="S141" i="19"/>
  <c r="M141" i="19"/>
  <c r="S140" i="19"/>
  <c r="M140" i="19"/>
  <c r="S139" i="19"/>
  <c r="M139" i="19"/>
  <c r="S138" i="19"/>
  <c r="M138" i="19"/>
  <c r="S137" i="19"/>
  <c r="M137" i="19"/>
  <c r="S136" i="19"/>
  <c r="M136" i="19"/>
  <c r="M135" i="19"/>
  <c r="S134" i="19"/>
  <c r="M134" i="19"/>
  <c r="S133" i="19"/>
  <c r="M133" i="19"/>
  <c r="S132" i="19"/>
  <c r="M132" i="19"/>
  <c r="S131" i="19"/>
  <c r="M131" i="19"/>
  <c r="S130" i="19"/>
  <c r="M130" i="19"/>
  <c r="S129" i="19"/>
  <c r="M129" i="19"/>
  <c r="S128" i="19"/>
  <c r="M128" i="19"/>
  <c r="S127" i="19"/>
  <c r="M127" i="19"/>
  <c r="S126" i="19"/>
  <c r="M126" i="19"/>
  <c r="T125" i="19"/>
  <c r="S125" i="19"/>
  <c r="O125" i="19"/>
  <c r="M125" i="19"/>
  <c r="S124" i="19"/>
  <c r="M124" i="19"/>
  <c r="S123" i="19"/>
  <c r="M123" i="19"/>
  <c r="S122" i="19"/>
  <c r="M122" i="19"/>
  <c r="S121" i="19"/>
  <c r="M121" i="19"/>
  <c r="S120" i="19"/>
  <c r="M120" i="19"/>
  <c r="S119" i="19"/>
  <c r="M119" i="19"/>
  <c r="T118" i="19"/>
  <c r="S118" i="19"/>
  <c r="O118" i="19"/>
  <c r="M118" i="19"/>
  <c r="S117" i="19"/>
  <c r="M117" i="19"/>
  <c r="S116" i="19"/>
  <c r="M116" i="19"/>
  <c r="S115" i="19"/>
  <c r="M115" i="19"/>
  <c r="S114" i="19"/>
  <c r="M114" i="19"/>
  <c r="S113" i="19"/>
  <c r="M113" i="19"/>
  <c r="U112" i="19"/>
  <c r="T112" i="19"/>
  <c r="S112" i="19" s="1"/>
  <c r="O112" i="19"/>
  <c r="M112" i="19" s="1"/>
  <c r="S111" i="19"/>
  <c r="M111" i="19"/>
  <c r="T110" i="19"/>
  <c r="S110" i="19" s="1"/>
  <c r="O110" i="19"/>
  <c r="M110" i="19" s="1"/>
  <c r="S109" i="19"/>
  <c r="M109" i="19"/>
  <c r="S108" i="19"/>
  <c r="M108" i="19"/>
  <c r="S107" i="19"/>
  <c r="M107" i="19"/>
  <c r="T106" i="19"/>
  <c r="S106" i="19" s="1"/>
  <c r="O106" i="19"/>
  <c r="M106" i="19" s="1"/>
  <c r="S105" i="19"/>
  <c r="M105" i="19"/>
  <c r="S104" i="19"/>
  <c r="O104" i="19"/>
  <c r="M104" i="19"/>
  <c r="S103" i="19"/>
  <c r="M103" i="19"/>
  <c r="M102" i="19"/>
  <c r="S101" i="19"/>
  <c r="M101" i="19"/>
  <c r="S100" i="19"/>
  <c r="M100" i="19"/>
  <c r="S99" i="19"/>
  <c r="M99" i="19"/>
  <c r="S98" i="19"/>
  <c r="M98" i="19"/>
  <c r="S97" i="19"/>
  <c r="M97" i="19"/>
  <c r="S96" i="19"/>
  <c r="M96" i="19"/>
  <c r="S95" i="19"/>
  <c r="M95" i="19"/>
  <c r="S93" i="19"/>
  <c r="M93" i="19"/>
  <c r="S92" i="19"/>
  <c r="M92" i="19"/>
  <c r="S91" i="19"/>
  <c r="M91" i="19"/>
  <c r="S90" i="19"/>
  <c r="M90" i="19"/>
  <c r="S89" i="19"/>
  <c r="M89" i="19"/>
  <c r="S88" i="19"/>
  <c r="M88" i="19"/>
  <c r="S87" i="19"/>
  <c r="M87" i="19"/>
  <c r="S86" i="19"/>
  <c r="M86" i="19"/>
  <c r="S85" i="19"/>
  <c r="M85" i="19"/>
  <c r="S84" i="19"/>
  <c r="M84" i="19"/>
  <c r="S83" i="19"/>
  <c r="M83" i="19"/>
  <c r="S82" i="19"/>
  <c r="M82" i="19"/>
  <c r="S81" i="19"/>
  <c r="M81" i="19"/>
  <c r="S80" i="19"/>
  <c r="M80" i="19"/>
  <c r="S79" i="19"/>
  <c r="M79" i="19"/>
  <c r="S78" i="19"/>
  <c r="M78" i="19"/>
  <c r="S77" i="19"/>
  <c r="M77" i="19"/>
  <c r="S76" i="19"/>
  <c r="S75" i="19"/>
  <c r="M75" i="19"/>
  <c r="S74" i="19"/>
  <c r="M74" i="19"/>
  <c r="S73" i="19"/>
  <c r="M73" i="19"/>
  <c r="S72" i="19"/>
  <c r="M72" i="19"/>
  <c r="S71" i="19"/>
  <c r="M71" i="19"/>
  <c r="S70" i="19"/>
  <c r="M70" i="19"/>
  <c r="S69" i="19"/>
  <c r="M69" i="19"/>
  <c r="S68" i="19"/>
  <c r="M68" i="19"/>
  <c r="S67" i="19"/>
  <c r="M67" i="19"/>
  <c r="S66" i="19"/>
  <c r="M66" i="19"/>
  <c r="S65" i="19"/>
  <c r="M65" i="19"/>
  <c r="S64" i="19"/>
  <c r="M64" i="19"/>
  <c r="S63" i="19"/>
  <c r="M63" i="19"/>
  <c r="S62" i="19"/>
  <c r="M62" i="19"/>
  <c r="S61" i="19"/>
  <c r="M61" i="19"/>
  <c r="S60" i="19"/>
  <c r="M60" i="19"/>
  <c r="S59" i="19"/>
  <c r="M59" i="19"/>
  <c r="S58" i="19"/>
  <c r="M58" i="19"/>
  <c r="S57" i="19"/>
  <c r="M57" i="19"/>
  <c r="S56" i="19"/>
  <c r="M56" i="19"/>
  <c r="S55" i="19"/>
  <c r="M55" i="19"/>
  <c r="U54" i="19"/>
  <c r="T54" i="19"/>
  <c r="S54" i="19" s="1"/>
  <c r="M54" i="19"/>
  <c r="S53" i="19"/>
  <c r="M53" i="19"/>
  <c r="S52" i="19"/>
  <c r="M52" i="19"/>
  <c r="S51" i="19"/>
  <c r="M51" i="19"/>
  <c r="S50" i="19"/>
  <c r="M50" i="19"/>
  <c r="S49" i="19"/>
  <c r="M49" i="19"/>
  <c r="S48" i="19"/>
  <c r="M48" i="19"/>
  <c r="S47" i="19"/>
  <c r="M47" i="19"/>
  <c r="S46" i="19"/>
  <c r="M46" i="19"/>
  <c r="S45" i="19"/>
  <c r="M45" i="19"/>
  <c r="S44" i="19"/>
  <c r="M44" i="19"/>
  <c r="S43" i="19"/>
  <c r="M43" i="19"/>
  <c r="S42" i="19"/>
  <c r="M42" i="19"/>
  <c r="S41" i="19"/>
  <c r="M41" i="19"/>
  <c r="S40" i="19"/>
  <c r="M40" i="19"/>
  <c r="S39" i="19"/>
  <c r="M39" i="19"/>
  <c r="S38" i="19"/>
  <c r="M38" i="19"/>
  <c r="S37" i="19"/>
  <c r="M37" i="19"/>
  <c r="T36" i="19"/>
  <c r="S36" i="19"/>
  <c r="N36" i="19"/>
  <c r="M287" i="19" s="1"/>
  <c r="M36" i="19"/>
  <c r="S35" i="19"/>
  <c r="M35" i="19"/>
  <c r="S34" i="19"/>
  <c r="M34" i="19"/>
  <c r="S33" i="19"/>
  <c r="M33" i="19"/>
  <c r="S31" i="19"/>
  <c r="M31" i="19"/>
  <c r="S30" i="19"/>
  <c r="M30" i="19"/>
  <c r="S29" i="19"/>
  <c r="M29" i="19"/>
  <c r="T28" i="19"/>
  <c r="S28" i="19"/>
  <c r="O28" i="19"/>
  <c r="N287" i="19" s="1"/>
  <c r="M28" i="19"/>
  <c r="S27" i="19"/>
  <c r="M27" i="19"/>
  <c r="U26" i="19"/>
  <c r="T287" i="19" s="1"/>
  <c r="T26" i="19"/>
  <c r="S26" i="19" s="1"/>
  <c r="M26" i="19"/>
  <c r="S25" i="19"/>
  <c r="M25" i="19"/>
  <c r="T24" i="19"/>
  <c r="S24" i="19"/>
  <c r="M24" i="19"/>
  <c r="S23" i="19"/>
  <c r="M23" i="19"/>
  <c r="S22" i="19"/>
  <c r="M22" i="19"/>
  <c r="S21" i="19"/>
  <c r="M21" i="19"/>
  <c r="T20" i="19"/>
  <c r="S20" i="19" s="1"/>
  <c r="M20" i="19"/>
  <c r="S19" i="19"/>
  <c r="M19" i="19"/>
  <c r="S18" i="19"/>
  <c r="M18" i="19"/>
  <c r="S17" i="19"/>
  <c r="M17" i="19"/>
  <c r="S16" i="19"/>
  <c r="M16" i="19"/>
  <c r="S15" i="19"/>
  <c r="M15" i="19"/>
  <c r="T14" i="19"/>
  <c r="S287" i="19" s="1"/>
  <c r="U287" i="19" s="1"/>
  <c r="S14" i="19"/>
  <c r="M14" i="19"/>
  <c r="S13" i="19"/>
  <c r="M13" i="19"/>
  <c r="S12" i="19"/>
  <c r="M12" i="19"/>
  <c r="L287" i="19" s="1"/>
  <c r="S11" i="19"/>
  <c r="M11" i="19"/>
  <c r="S10" i="19"/>
  <c r="R288" i="19" s="1"/>
  <c r="M10" i="19"/>
  <c r="L288" i="19" s="1"/>
  <c r="S9" i="19"/>
  <c r="R286" i="19" s="1"/>
  <c r="M9" i="19"/>
  <c r="L286" i="19" s="1"/>
  <c r="T288" i="18"/>
  <c r="T289" i="18" s="1"/>
  <c r="S288" i="18"/>
  <c r="S289" i="18" s="1"/>
  <c r="Q288" i="18"/>
  <c r="Q289" i="18" s="1"/>
  <c r="P288" i="18"/>
  <c r="P289" i="18" s="1"/>
  <c r="O288" i="18"/>
  <c r="O289" i="18" s="1"/>
  <c r="N288" i="18"/>
  <c r="N289" i="18" s="1"/>
  <c r="M288" i="18"/>
  <c r="K288" i="18"/>
  <c r="K289" i="18" s="1"/>
  <c r="J288" i="18"/>
  <c r="J289" i="18" s="1"/>
  <c r="I288" i="18"/>
  <c r="I289" i="18" s="1"/>
  <c r="H288" i="18"/>
  <c r="H289" i="18" s="1"/>
  <c r="G288" i="18"/>
  <c r="G289" i="18" s="1"/>
  <c r="T287" i="18"/>
  <c r="Q287" i="18"/>
  <c r="P287" i="18"/>
  <c r="O287" i="18"/>
  <c r="N287" i="18"/>
  <c r="K287" i="18"/>
  <c r="J287" i="18"/>
  <c r="I287" i="18"/>
  <c r="H287" i="18"/>
  <c r="G287" i="18"/>
  <c r="T286" i="18"/>
  <c r="S286" i="18"/>
  <c r="U286" i="18" s="1"/>
  <c r="Q286" i="18"/>
  <c r="P286" i="18"/>
  <c r="O286" i="18"/>
  <c r="N286" i="18"/>
  <c r="M286" i="18"/>
  <c r="K286" i="18"/>
  <c r="J286" i="18"/>
  <c r="V286" i="18" s="1"/>
  <c r="I286" i="18"/>
  <c r="H286" i="18"/>
  <c r="G286" i="18"/>
  <c r="U280" i="18"/>
  <c r="R280" i="18"/>
  <c r="Q280" i="18"/>
  <c r="P280" i="18"/>
  <c r="O280" i="18"/>
  <c r="L280" i="18"/>
  <c r="K280" i="18"/>
  <c r="J280" i="18"/>
  <c r="I280" i="18"/>
  <c r="H280" i="18"/>
  <c r="S279" i="18"/>
  <c r="M279" i="18"/>
  <c r="S278" i="18"/>
  <c r="M278" i="18"/>
  <c r="S277" i="18"/>
  <c r="M277" i="18"/>
  <c r="S276" i="18"/>
  <c r="M276" i="18"/>
  <c r="T275" i="18"/>
  <c r="S275" i="18"/>
  <c r="M275" i="18"/>
  <c r="S274" i="18"/>
  <c r="M274" i="18"/>
  <c r="M273" i="18"/>
  <c r="S272" i="18"/>
  <c r="M272" i="18"/>
  <c r="S271" i="18"/>
  <c r="M271" i="18"/>
  <c r="S270" i="18"/>
  <c r="M270" i="18"/>
  <c r="S269" i="18"/>
  <c r="M269" i="18"/>
  <c r="S268" i="18"/>
  <c r="M268" i="18"/>
  <c r="S267" i="18"/>
  <c r="M267" i="18"/>
  <c r="S266" i="18"/>
  <c r="M266" i="18"/>
  <c r="S265" i="18"/>
  <c r="M265" i="18"/>
  <c r="S264" i="18"/>
  <c r="M264" i="18"/>
  <c r="T263" i="18"/>
  <c r="S263" i="18"/>
  <c r="M263" i="18"/>
  <c r="S262" i="18"/>
  <c r="M262" i="18"/>
  <c r="S261" i="18"/>
  <c r="M261" i="18"/>
  <c r="S260" i="18"/>
  <c r="M260" i="18"/>
  <c r="T259" i="18"/>
  <c r="S259" i="18" s="1"/>
  <c r="N259" i="18"/>
  <c r="M259" i="18" s="1"/>
  <c r="S258" i="18"/>
  <c r="M258" i="18"/>
  <c r="T257" i="18"/>
  <c r="S257" i="18" s="1"/>
  <c r="M257" i="18"/>
  <c r="S256" i="18"/>
  <c r="M256" i="18"/>
  <c r="S255" i="18"/>
  <c r="M255" i="18"/>
  <c r="S254" i="18"/>
  <c r="M254" i="18"/>
  <c r="T253" i="18"/>
  <c r="S253" i="18"/>
  <c r="M253" i="18"/>
  <c r="S252" i="18"/>
  <c r="M252" i="18"/>
  <c r="S251" i="18"/>
  <c r="M251" i="18"/>
  <c r="S250" i="18"/>
  <c r="M250" i="18"/>
  <c r="S249" i="18"/>
  <c r="M249" i="18"/>
  <c r="S248" i="18"/>
  <c r="M248" i="18"/>
  <c r="S247" i="18"/>
  <c r="M247" i="18"/>
  <c r="S246" i="18"/>
  <c r="M246" i="18"/>
  <c r="S245" i="18"/>
  <c r="M245" i="18"/>
  <c r="S244" i="18"/>
  <c r="M244" i="18"/>
  <c r="S243" i="18"/>
  <c r="M243" i="18"/>
  <c r="S242" i="18"/>
  <c r="M242" i="18"/>
  <c r="S241" i="18"/>
  <c r="M241" i="18"/>
  <c r="S240" i="18"/>
  <c r="M240" i="18"/>
  <c r="S239" i="18"/>
  <c r="M239" i="18"/>
  <c r="S238" i="18"/>
  <c r="M238" i="18"/>
  <c r="S237" i="18"/>
  <c r="M237" i="18"/>
  <c r="S236" i="18"/>
  <c r="M236" i="18"/>
  <c r="S235" i="18"/>
  <c r="M235" i="18"/>
  <c r="S234" i="18"/>
  <c r="M234" i="18"/>
  <c r="S233" i="18"/>
  <c r="M233" i="18"/>
  <c r="S232" i="18"/>
  <c r="M232" i="18"/>
  <c r="S231" i="18"/>
  <c r="M231" i="18"/>
  <c r="S230" i="18"/>
  <c r="M230" i="18"/>
  <c r="S229" i="18"/>
  <c r="M229" i="18"/>
  <c r="S228" i="18"/>
  <c r="M228" i="18"/>
  <c r="S227" i="18"/>
  <c r="M227" i="18"/>
  <c r="S226" i="18"/>
  <c r="M226" i="18"/>
  <c r="S225" i="18"/>
  <c r="M225" i="18"/>
  <c r="S224" i="18"/>
  <c r="M224" i="18"/>
  <c r="S223" i="18"/>
  <c r="M223" i="18"/>
  <c r="S222" i="18"/>
  <c r="M222" i="18"/>
  <c r="M221" i="18"/>
  <c r="S220" i="18"/>
  <c r="M220" i="18"/>
  <c r="S219" i="18"/>
  <c r="M219" i="18"/>
  <c r="S218" i="18"/>
  <c r="M218" i="18"/>
  <c r="S217" i="18"/>
  <c r="M217" i="18"/>
  <c r="S216" i="18"/>
  <c r="M216" i="18"/>
  <c r="S215" i="18"/>
  <c r="M215" i="18"/>
  <c r="S214" i="18"/>
  <c r="M214" i="18"/>
  <c r="S213" i="18"/>
  <c r="M213" i="18"/>
  <c r="S212" i="18"/>
  <c r="M212" i="18"/>
  <c r="S211" i="18"/>
  <c r="M211" i="18"/>
  <c r="S210" i="18"/>
  <c r="M210" i="18"/>
  <c r="T209" i="18"/>
  <c r="S209" i="18"/>
  <c r="M209" i="18"/>
  <c r="S208" i="18"/>
  <c r="M208" i="18"/>
  <c r="S207" i="18"/>
  <c r="M207" i="18"/>
  <c r="S206" i="18"/>
  <c r="M206" i="18"/>
  <c r="M205" i="18"/>
  <c r="S204" i="18"/>
  <c r="M204" i="18"/>
  <c r="T203" i="18"/>
  <c r="S203" i="18"/>
  <c r="M203" i="18"/>
  <c r="S202" i="18"/>
  <c r="M202" i="18"/>
  <c r="S201" i="18"/>
  <c r="M201" i="18"/>
  <c r="S200" i="18"/>
  <c r="M200" i="18"/>
  <c r="S199" i="18"/>
  <c r="M199" i="18"/>
  <c r="S198" i="18"/>
  <c r="M198" i="18"/>
  <c r="S197" i="18"/>
  <c r="M197" i="18"/>
  <c r="S196" i="18"/>
  <c r="M196" i="18"/>
  <c r="S195" i="18"/>
  <c r="M195" i="18"/>
  <c r="S194" i="18"/>
  <c r="M194" i="18"/>
  <c r="S193" i="18"/>
  <c r="M193" i="18"/>
  <c r="S192" i="18"/>
  <c r="M192" i="18"/>
  <c r="S191" i="18"/>
  <c r="M191" i="18"/>
  <c r="S190" i="18"/>
  <c r="M190" i="18"/>
  <c r="S189" i="18"/>
  <c r="M189" i="18"/>
  <c r="S188" i="18"/>
  <c r="M188" i="18"/>
  <c r="S187" i="18"/>
  <c r="M187" i="18"/>
  <c r="S186" i="18"/>
  <c r="M186" i="18"/>
  <c r="S185" i="18"/>
  <c r="M185" i="18"/>
  <c r="M184" i="18"/>
  <c r="S183" i="18"/>
  <c r="M183" i="18"/>
  <c r="S182" i="18"/>
  <c r="M182" i="18"/>
  <c r="S181" i="18"/>
  <c r="M181" i="18"/>
  <c r="S180" i="18"/>
  <c r="M180" i="18"/>
  <c r="S179" i="18"/>
  <c r="M179" i="18"/>
  <c r="T178" i="18"/>
  <c r="S178" i="18"/>
  <c r="M178" i="18"/>
  <c r="S177" i="18"/>
  <c r="M177" i="18"/>
  <c r="S176" i="18"/>
  <c r="M176" i="18"/>
  <c r="S175" i="18"/>
  <c r="M175" i="18"/>
  <c r="S174" i="18"/>
  <c r="M174" i="18"/>
  <c r="S173" i="18"/>
  <c r="M173" i="18"/>
  <c r="S172" i="18"/>
  <c r="M172" i="18"/>
  <c r="S171" i="18"/>
  <c r="M171" i="18"/>
  <c r="S170" i="18"/>
  <c r="M170" i="18"/>
  <c r="S169" i="18"/>
  <c r="M169" i="18"/>
  <c r="S168" i="18"/>
  <c r="M168" i="18"/>
  <c r="S167" i="18"/>
  <c r="M167" i="18"/>
  <c r="S166" i="18"/>
  <c r="N166" i="18"/>
  <c r="M166" i="18"/>
  <c r="S165" i="18"/>
  <c r="M165" i="18"/>
  <c r="T164" i="18"/>
  <c r="S164" i="18"/>
  <c r="M164" i="18"/>
  <c r="S163" i="18"/>
  <c r="M163" i="18"/>
  <c r="S162" i="18"/>
  <c r="M162" i="18"/>
  <c r="S161" i="18"/>
  <c r="M161" i="18"/>
  <c r="T160" i="18"/>
  <c r="S160" i="18" s="1"/>
  <c r="M160" i="18"/>
  <c r="S159" i="18"/>
  <c r="M159" i="18"/>
  <c r="S158" i="18"/>
  <c r="M158" i="18"/>
  <c r="S157" i="18"/>
  <c r="M157" i="18"/>
  <c r="S156" i="18"/>
  <c r="M156" i="18"/>
  <c r="S155" i="18"/>
  <c r="M155" i="18"/>
  <c r="S154" i="18"/>
  <c r="M154" i="18"/>
  <c r="S153" i="18"/>
  <c r="M153" i="18"/>
  <c r="T152" i="18"/>
  <c r="S152" i="18"/>
  <c r="M152" i="18"/>
  <c r="S151" i="18"/>
  <c r="M151" i="18"/>
  <c r="S150" i="18"/>
  <c r="M150" i="18"/>
  <c r="S149" i="18"/>
  <c r="M149" i="18"/>
  <c r="S148" i="18"/>
  <c r="M148" i="18"/>
  <c r="S147" i="18"/>
  <c r="M147" i="18"/>
  <c r="S146" i="18"/>
  <c r="N146" i="18"/>
  <c r="M146" i="18"/>
  <c r="S145" i="18"/>
  <c r="M145" i="18"/>
  <c r="T144" i="18"/>
  <c r="S144" i="18"/>
  <c r="N144" i="18"/>
  <c r="M144" i="18"/>
  <c r="S143" i="18"/>
  <c r="M143" i="18"/>
  <c r="S142" i="18"/>
  <c r="M142" i="18"/>
  <c r="S141" i="18"/>
  <c r="M141" i="18"/>
  <c r="S140" i="18"/>
  <c r="M140" i="18"/>
  <c r="S139" i="18"/>
  <c r="M139" i="18"/>
  <c r="S138" i="18"/>
  <c r="M138" i="18"/>
  <c r="S137" i="18"/>
  <c r="M137" i="18"/>
  <c r="S136" i="18"/>
  <c r="M136" i="18"/>
  <c r="S135" i="18"/>
  <c r="M135" i="18"/>
  <c r="S134" i="18"/>
  <c r="M134" i="18"/>
  <c r="S133" i="18"/>
  <c r="M133" i="18"/>
  <c r="S132" i="18"/>
  <c r="M132" i="18"/>
  <c r="S131" i="18"/>
  <c r="M131" i="18"/>
  <c r="S130" i="18"/>
  <c r="M130" i="18"/>
  <c r="S129" i="18"/>
  <c r="M129" i="18"/>
  <c r="S128" i="18"/>
  <c r="M128" i="18"/>
  <c r="S127" i="18"/>
  <c r="M127" i="18"/>
  <c r="S126" i="18"/>
  <c r="M126" i="18"/>
  <c r="T125" i="18"/>
  <c r="S125" i="18"/>
  <c r="M125" i="18"/>
  <c r="S124" i="18"/>
  <c r="M124" i="18"/>
  <c r="S123" i="18"/>
  <c r="M123" i="18"/>
  <c r="S122" i="18"/>
  <c r="M122" i="18"/>
  <c r="S121" i="18"/>
  <c r="M121" i="18"/>
  <c r="S120" i="18"/>
  <c r="M120" i="18"/>
  <c r="S119" i="18"/>
  <c r="M119" i="18"/>
  <c r="T118" i="18"/>
  <c r="S118" i="18" s="1"/>
  <c r="M118" i="18"/>
  <c r="S117" i="18"/>
  <c r="M117" i="18"/>
  <c r="S116" i="18"/>
  <c r="M116" i="18"/>
  <c r="S115" i="18"/>
  <c r="M115" i="18"/>
  <c r="S114" i="18"/>
  <c r="M114" i="18"/>
  <c r="S113" i="18"/>
  <c r="M113" i="18"/>
  <c r="T112" i="18"/>
  <c r="S112" i="18"/>
  <c r="M112" i="18"/>
  <c r="S111" i="18"/>
  <c r="M111" i="18"/>
  <c r="T110" i="18"/>
  <c r="S110" i="18" s="1"/>
  <c r="M110" i="18"/>
  <c r="S109" i="18"/>
  <c r="M109" i="18"/>
  <c r="S108" i="18"/>
  <c r="M108" i="18"/>
  <c r="S107" i="18"/>
  <c r="M107" i="18"/>
  <c r="T106" i="18"/>
  <c r="S106" i="18"/>
  <c r="M106" i="18"/>
  <c r="S105" i="18"/>
  <c r="M105" i="18"/>
  <c r="S104" i="18"/>
  <c r="M104" i="18"/>
  <c r="S103" i="18"/>
  <c r="M103" i="18"/>
  <c r="S102" i="18"/>
  <c r="M102" i="18"/>
  <c r="S101" i="18"/>
  <c r="M101" i="18"/>
  <c r="S100" i="18"/>
  <c r="M100" i="18"/>
  <c r="S99" i="18"/>
  <c r="M99" i="18"/>
  <c r="S98" i="18"/>
  <c r="M98" i="18"/>
  <c r="S97" i="18"/>
  <c r="M97" i="18"/>
  <c r="S96" i="18"/>
  <c r="M96" i="18"/>
  <c r="S95" i="18"/>
  <c r="M95" i="18"/>
  <c r="M94" i="18"/>
  <c r="S93" i="18"/>
  <c r="M93" i="18"/>
  <c r="S92" i="18"/>
  <c r="M92" i="18"/>
  <c r="S91" i="18"/>
  <c r="M91" i="18"/>
  <c r="S90" i="18"/>
  <c r="M90" i="18"/>
  <c r="S89" i="18"/>
  <c r="M89" i="18"/>
  <c r="S88" i="18"/>
  <c r="M88" i="18"/>
  <c r="S87" i="18"/>
  <c r="M87" i="18"/>
  <c r="S86" i="18"/>
  <c r="M86" i="18"/>
  <c r="S85" i="18"/>
  <c r="M85" i="18"/>
  <c r="S84" i="18"/>
  <c r="M84" i="18"/>
  <c r="S83" i="18"/>
  <c r="M83" i="18"/>
  <c r="S82" i="18"/>
  <c r="M82" i="18"/>
  <c r="S81" i="18"/>
  <c r="M81" i="18"/>
  <c r="S80" i="18"/>
  <c r="M80" i="18"/>
  <c r="S79" i="18"/>
  <c r="M79" i="18"/>
  <c r="S78" i="18"/>
  <c r="M78" i="18"/>
  <c r="S77" i="18"/>
  <c r="M77" i="18"/>
  <c r="S76" i="18"/>
  <c r="M76" i="18"/>
  <c r="S75" i="18"/>
  <c r="M75" i="18"/>
  <c r="S74" i="18"/>
  <c r="M74" i="18"/>
  <c r="S73" i="18"/>
  <c r="M73" i="18"/>
  <c r="S72" i="18"/>
  <c r="M72" i="18"/>
  <c r="S71" i="18"/>
  <c r="M71" i="18"/>
  <c r="S70" i="18"/>
  <c r="M70" i="18"/>
  <c r="S69" i="18"/>
  <c r="M69" i="18"/>
  <c r="S68" i="18"/>
  <c r="M68" i="18"/>
  <c r="S67" i="18"/>
  <c r="M67" i="18"/>
  <c r="S66" i="18"/>
  <c r="M66" i="18"/>
  <c r="S65" i="18"/>
  <c r="M65" i="18"/>
  <c r="S64" i="18"/>
  <c r="M64" i="18"/>
  <c r="S63" i="18"/>
  <c r="M63" i="18"/>
  <c r="S62" i="18"/>
  <c r="M62" i="18"/>
  <c r="S61" i="18"/>
  <c r="M61" i="18"/>
  <c r="S60" i="18"/>
  <c r="M60" i="18"/>
  <c r="S59" i="18"/>
  <c r="M59" i="18"/>
  <c r="S58" i="18"/>
  <c r="M58" i="18"/>
  <c r="S57" i="18"/>
  <c r="M57" i="18"/>
  <c r="S56" i="18"/>
  <c r="M56" i="18"/>
  <c r="S55" i="18"/>
  <c r="M55" i="18"/>
  <c r="T54" i="18"/>
  <c r="S54" i="18"/>
  <c r="M54" i="18"/>
  <c r="S53" i="18"/>
  <c r="M53" i="18"/>
  <c r="S52" i="18"/>
  <c r="M52" i="18"/>
  <c r="S51" i="18"/>
  <c r="M51" i="18"/>
  <c r="S50" i="18"/>
  <c r="M50" i="18"/>
  <c r="S49" i="18"/>
  <c r="M49" i="18"/>
  <c r="S48" i="18"/>
  <c r="M48" i="18"/>
  <c r="S47" i="18"/>
  <c r="M47" i="18"/>
  <c r="S46" i="18"/>
  <c r="M46" i="18"/>
  <c r="S45" i="18"/>
  <c r="M45" i="18"/>
  <c r="S44" i="18"/>
  <c r="M44" i="18"/>
  <c r="S43" i="18"/>
  <c r="M43" i="18"/>
  <c r="S42" i="18"/>
  <c r="M42" i="18"/>
  <c r="S41" i="18"/>
  <c r="M41" i="18"/>
  <c r="S40" i="18"/>
  <c r="M40" i="18"/>
  <c r="S39" i="18"/>
  <c r="M39" i="18"/>
  <c r="S38" i="18"/>
  <c r="M38" i="18"/>
  <c r="S37" i="18"/>
  <c r="M37" i="18"/>
  <c r="T36" i="18"/>
  <c r="T280" i="18" s="1"/>
  <c r="N36" i="18"/>
  <c r="M287" i="18" s="1"/>
  <c r="S35" i="18"/>
  <c r="M35" i="18"/>
  <c r="S34" i="18"/>
  <c r="M34" i="18"/>
  <c r="S33" i="18"/>
  <c r="M33" i="18"/>
  <c r="M32" i="18"/>
  <c r="S31" i="18"/>
  <c r="M31" i="18"/>
  <c r="S30" i="18"/>
  <c r="M30" i="18"/>
  <c r="S29" i="18"/>
  <c r="M29" i="18"/>
  <c r="S28" i="18"/>
  <c r="M28" i="18"/>
  <c r="S27" i="18"/>
  <c r="M27" i="18"/>
  <c r="S26" i="18"/>
  <c r="M26" i="18"/>
  <c r="S25" i="18"/>
  <c r="M25" i="18"/>
  <c r="S24" i="18"/>
  <c r="M24" i="18"/>
  <c r="S23" i="18"/>
  <c r="M23" i="18"/>
  <c r="S22" i="18"/>
  <c r="M22" i="18"/>
  <c r="S21" i="18"/>
  <c r="M21" i="18"/>
  <c r="T20" i="18"/>
  <c r="S287" i="18" s="1"/>
  <c r="U287" i="18" s="1"/>
  <c r="S20" i="18"/>
  <c r="M20" i="18"/>
  <c r="S19" i="18"/>
  <c r="M19" i="18"/>
  <c r="S18" i="18"/>
  <c r="M18" i="18"/>
  <c r="S17" i="18"/>
  <c r="M17" i="18"/>
  <c r="S16" i="18"/>
  <c r="M16" i="18"/>
  <c r="S15" i="18"/>
  <c r="M15" i="18"/>
  <c r="S14" i="18"/>
  <c r="M14" i="18"/>
  <c r="S13" i="18"/>
  <c r="M13" i="18"/>
  <c r="S12" i="18"/>
  <c r="M12" i="18"/>
  <c r="S11" i="18"/>
  <c r="M11" i="18"/>
  <c r="S10" i="18"/>
  <c r="R288" i="18" s="1"/>
  <c r="M10" i="18"/>
  <c r="L288" i="18" s="1"/>
  <c r="S9" i="18"/>
  <c r="R286" i="18" s="1"/>
  <c r="M9" i="18"/>
  <c r="L286" i="18" s="1"/>
  <c r="T288" i="17"/>
  <c r="T289" i="17" s="1"/>
  <c r="S288" i="17"/>
  <c r="Q288" i="17"/>
  <c r="Q289" i="17" s="1"/>
  <c r="P288" i="17"/>
  <c r="P289" i="17" s="1"/>
  <c r="O288" i="17"/>
  <c r="O289" i="17" s="1"/>
  <c r="N288" i="17"/>
  <c r="N289" i="17" s="1"/>
  <c r="M288" i="17"/>
  <c r="M289" i="17" s="1"/>
  <c r="K288" i="17"/>
  <c r="K289" i="17" s="1"/>
  <c r="J288" i="17"/>
  <c r="J289" i="17" s="1"/>
  <c r="I288" i="17"/>
  <c r="I289" i="17" s="1"/>
  <c r="H288" i="17"/>
  <c r="H289" i="17" s="1"/>
  <c r="G288" i="17"/>
  <c r="G289" i="17" s="1"/>
  <c r="Q287" i="17"/>
  <c r="P287" i="17"/>
  <c r="O287" i="17"/>
  <c r="N287" i="17"/>
  <c r="K287" i="17"/>
  <c r="J287" i="17"/>
  <c r="I287" i="17"/>
  <c r="H287" i="17"/>
  <c r="G287" i="17"/>
  <c r="T286" i="17"/>
  <c r="S286" i="17"/>
  <c r="U286" i="17" s="1"/>
  <c r="Q286" i="17"/>
  <c r="P286" i="17"/>
  <c r="O286" i="17"/>
  <c r="N286" i="17"/>
  <c r="M286" i="17"/>
  <c r="K286" i="17"/>
  <c r="J286" i="17"/>
  <c r="V286" i="17" s="1"/>
  <c r="I286" i="17"/>
  <c r="H286" i="17"/>
  <c r="G286" i="17"/>
  <c r="R280" i="17"/>
  <c r="Q280" i="17"/>
  <c r="P280" i="17"/>
  <c r="O280" i="17"/>
  <c r="L280" i="17"/>
  <c r="K280" i="17"/>
  <c r="J280" i="17"/>
  <c r="I280" i="17"/>
  <c r="H280" i="17"/>
  <c r="S279" i="17"/>
  <c r="M279" i="17"/>
  <c r="S278" i="17"/>
  <c r="M278" i="17"/>
  <c r="S277" i="17"/>
  <c r="M277" i="17"/>
  <c r="S276" i="17"/>
  <c r="M276" i="17"/>
  <c r="T275" i="17"/>
  <c r="S275" i="17"/>
  <c r="M275" i="17"/>
  <c r="S274" i="17"/>
  <c r="M274" i="17"/>
  <c r="M273" i="17"/>
  <c r="S272" i="17"/>
  <c r="M272" i="17"/>
  <c r="S271" i="17"/>
  <c r="M271" i="17"/>
  <c r="S270" i="17"/>
  <c r="M270" i="17"/>
  <c r="S269" i="17"/>
  <c r="M269" i="17"/>
  <c r="S268" i="17"/>
  <c r="M268" i="17"/>
  <c r="S267" i="17"/>
  <c r="M267" i="17"/>
  <c r="S266" i="17"/>
  <c r="M266" i="17"/>
  <c r="S265" i="17"/>
  <c r="M265" i="17"/>
  <c r="S264" i="17"/>
  <c r="M264" i="17"/>
  <c r="T263" i="17"/>
  <c r="S263" i="17"/>
  <c r="M263" i="17"/>
  <c r="S262" i="17"/>
  <c r="M262" i="17"/>
  <c r="S261" i="17"/>
  <c r="M261" i="17"/>
  <c r="S260" i="17"/>
  <c r="M260" i="17"/>
  <c r="U259" i="17"/>
  <c r="T259" i="17"/>
  <c r="S259" i="17"/>
  <c r="N259" i="17"/>
  <c r="M259" i="17"/>
  <c r="S258" i="17"/>
  <c r="M258" i="17"/>
  <c r="T257" i="17"/>
  <c r="S257" i="17"/>
  <c r="M257" i="17"/>
  <c r="S256" i="17"/>
  <c r="M256" i="17"/>
  <c r="S255" i="17"/>
  <c r="M255" i="17"/>
  <c r="S254" i="17"/>
  <c r="M254" i="17"/>
  <c r="T253" i="17"/>
  <c r="S253" i="17" s="1"/>
  <c r="M253" i="17"/>
  <c r="S252" i="17"/>
  <c r="M252" i="17"/>
  <c r="S251" i="17"/>
  <c r="M251" i="17"/>
  <c r="S250" i="17"/>
  <c r="M250" i="17"/>
  <c r="S249" i="17"/>
  <c r="M249" i="17"/>
  <c r="S248" i="17"/>
  <c r="M248" i="17"/>
  <c r="S247" i="17"/>
  <c r="M247" i="17"/>
  <c r="S246" i="17"/>
  <c r="M246" i="17"/>
  <c r="S245" i="17"/>
  <c r="M245" i="17"/>
  <c r="S244" i="17"/>
  <c r="M244" i="17"/>
  <c r="S243" i="17"/>
  <c r="M243" i="17"/>
  <c r="S242" i="17"/>
  <c r="M242" i="17"/>
  <c r="S241" i="17"/>
  <c r="M241" i="17"/>
  <c r="S240" i="17"/>
  <c r="M240" i="17"/>
  <c r="S239" i="17"/>
  <c r="M239" i="17"/>
  <c r="S238" i="17"/>
  <c r="M238" i="17"/>
  <c r="S237" i="17"/>
  <c r="M237" i="17"/>
  <c r="S236" i="17"/>
  <c r="M236" i="17"/>
  <c r="T235" i="17"/>
  <c r="S235" i="17"/>
  <c r="M235" i="17"/>
  <c r="S234" i="17"/>
  <c r="M234" i="17"/>
  <c r="S233" i="17"/>
  <c r="M233" i="17"/>
  <c r="S232" i="17"/>
  <c r="M232" i="17"/>
  <c r="S231" i="17"/>
  <c r="M231" i="17"/>
  <c r="S230" i="17"/>
  <c r="M230" i="17"/>
  <c r="S229" i="17"/>
  <c r="M229" i="17"/>
  <c r="S228" i="17"/>
  <c r="M228" i="17"/>
  <c r="S227" i="17"/>
  <c r="M227" i="17"/>
  <c r="S226" i="17"/>
  <c r="M226" i="17"/>
  <c r="S225" i="17"/>
  <c r="M225" i="17"/>
  <c r="S224" i="17"/>
  <c r="M224" i="17"/>
  <c r="S223" i="17"/>
  <c r="M223" i="17"/>
  <c r="S222" i="17"/>
  <c r="M222" i="17"/>
  <c r="M221" i="17"/>
  <c r="S220" i="17"/>
  <c r="M220" i="17"/>
  <c r="S219" i="17"/>
  <c r="M219" i="17"/>
  <c r="S218" i="17"/>
  <c r="M218" i="17"/>
  <c r="S217" i="17"/>
  <c r="M217" i="17"/>
  <c r="S216" i="17"/>
  <c r="M216" i="17"/>
  <c r="S215" i="17"/>
  <c r="M215" i="17"/>
  <c r="S214" i="17"/>
  <c r="M214" i="17"/>
  <c r="S213" i="17"/>
  <c r="M213" i="17"/>
  <c r="S212" i="17"/>
  <c r="M212" i="17"/>
  <c r="S211" i="17"/>
  <c r="M211" i="17"/>
  <c r="S210" i="17"/>
  <c r="M210" i="17"/>
  <c r="T209" i="17"/>
  <c r="S209" i="17"/>
  <c r="M209" i="17"/>
  <c r="S208" i="17"/>
  <c r="M208" i="17"/>
  <c r="S207" i="17"/>
  <c r="M207" i="17"/>
  <c r="S206" i="17"/>
  <c r="M206" i="17"/>
  <c r="M205" i="17"/>
  <c r="S204" i="17"/>
  <c r="M204" i="17"/>
  <c r="T203" i="17"/>
  <c r="S203" i="17"/>
  <c r="M203" i="17"/>
  <c r="S202" i="17"/>
  <c r="M202" i="17"/>
  <c r="S201" i="17"/>
  <c r="M201" i="17"/>
  <c r="S200" i="17"/>
  <c r="M200" i="17"/>
  <c r="S199" i="17"/>
  <c r="M199" i="17"/>
  <c r="S198" i="17"/>
  <c r="M198" i="17"/>
  <c r="S197" i="17"/>
  <c r="M197" i="17"/>
  <c r="U196" i="17"/>
  <c r="S196" i="17" s="1"/>
  <c r="M196" i="17"/>
  <c r="S195" i="17"/>
  <c r="M195" i="17"/>
  <c r="S194" i="17"/>
  <c r="M194" i="17"/>
  <c r="S193" i="17"/>
  <c r="M193" i="17"/>
  <c r="S192" i="17"/>
  <c r="M192" i="17"/>
  <c r="S191" i="17"/>
  <c r="M191" i="17"/>
  <c r="S190" i="17"/>
  <c r="M190" i="17"/>
  <c r="S189" i="17"/>
  <c r="M189" i="17"/>
  <c r="S188" i="17"/>
  <c r="M188" i="17"/>
  <c r="S187" i="17"/>
  <c r="M187" i="17"/>
  <c r="S186" i="17"/>
  <c r="M186" i="17"/>
  <c r="S185" i="17"/>
  <c r="M185" i="17"/>
  <c r="M184" i="17"/>
  <c r="S183" i="17"/>
  <c r="M183" i="17"/>
  <c r="S182" i="17"/>
  <c r="M182" i="17"/>
  <c r="S181" i="17"/>
  <c r="M181" i="17"/>
  <c r="U180" i="17"/>
  <c r="S180" i="17" s="1"/>
  <c r="M180" i="17"/>
  <c r="S179" i="17"/>
  <c r="M179" i="17"/>
  <c r="T178" i="17"/>
  <c r="S178" i="17"/>
  <c r="M178" i="17"/>
  <c r="S177" i="17"/>
  <c r="M177" i="17"/>
  <c r="S176" i="17"/>
  <c r="M176" i="17"/>
  <c r="S175" i="17"/>
  <c r="M175" i="17"/>
  <c r="S174" i="17"/>
  <c r="M174" i="17"/>
  <c r="S173" i="17"/>
  <c r="M173" i="17"/>
  <c r="S172" i="17"/>
  <c r="M172" i="17"/>
  <c r="S171" i="17"/>
  <c r="M171" i="17"/>
  <c r="S170" i="17"/>
  <c r="M170" i="17"/>
  <c r="S169" i="17"/>
  <c r="M169" i="17"/>
  <c r="S168" i="17"/>
  <c r="M168" i="17"/>
  <c r="S167" i="17"/>
  <c r="M167" i="17"/>
  <c r="T166" i="17"/>
  <c r="S166" i="17" s="1"/>
  <c r="N166" i="17"/>
  <c r="M166" i="17" s="1"/>
  <c r="S165" i="17"/>
  <c r="M165" i="17"/>
  <c r="T164" i="17"/>
  <c r="S164" i="17" s="1"/>
  <c r="M164" i="17"/>
  <c r="S163" i="17"/>
  <c r="M163" i="17"/>
  <c r="U162" i="17"/>
  <c r="S162" i="17"/>
  <c r="M162" i="17"/>
  <c r="S161" i="17"/>
  <c r="M161" i="17"/>
  <c r="U160" i="17"/>
  <c r="T160" i="17"/>
  <c r="S160" i="17"/>
  <c r="M160" i="17"/>
  <c r="S159" i="17"/>
  <c r="M159" i="17"/>
  <c r="S158" i="17"/>
  <c r="M158" i="17"/>
  <c r="U157" i="17"/>
  <c r="S157" i="17" s="1"/>
  <c r="M157" i="17"/>
  <c r="S156" i="17"/>
  <c r="M156" i="17"/>
  <c r="S155" i="17"/>
  <c r="M155" i="17"/>
  <c r="S154" i="17"/>
  <c r="M154" i="17"/>
  <c r="S153" i="17"/>
  <c r="M153" i="17"/>
  <c r="U152" i="17"/>
  <c r="T287" i="17" s="1"/>
  <c r="T152" i="17"/>
  <c r="S152" i="17" s="1"/>
  <c r="M152" i="17"/>
  <c r="S151" i="17"/>
  <c r="M151" i="17"/>
  <c r="S150" i="17"/>
  <c r="M150" i="17"/>
  <c r="S149" i="17"/>
  <c r="M149" i="17"/>
  <c r="S148" i="17"/>
  <c r="M148" i="17"/>
  <c r="S147" i="17"/>
  <c r="M147" i="17"/>
  <c r="S146" i="17"/>
  <c r="N146" i="17"/>
  <c r="M146" i="17" s="1"/>
  <c r="S145" i="17"/>
  <c r="M145" i="17"/>
  <c r="T144" i="17"/>
  <c r="S144" i="17" s="1"/>
  <c r="N144" i="17"/>
  <c r="M144" i="17" s="1"/>
  <c r="S143" i="17"/>
  <c r="M143" i="17"/>
  <c r="S142" i="17"/>
  <c r="M142" i="17"/>
  <c r="S141" i="17"/>
  <c r="M141" i="17"/>
  <c r="S140" i="17"/>
  <c r="M140" i="17"/>
  <c r="S139" i="17"/>
  <c r="M139" i="17"/>
  <c r="S138" i="17"/>
  <c r="M138" i="17"/>
  <c r="S137" i="17"/>
  <c r="M137" i="17"/>
  <c r="S136" i="17"/>
  <c r="M136" i="17"/>
  <c r="S135" i="17"/>
  <c r="M135" i="17"/>
  <c r="S134" i="17"/>
  <c r="M134" i="17"/>
  <c r="S133" i="17"/>
  <c r="M133" i="17"/>
  <c r="S132" i="17"/>
  <c r="M132" i="17"/>
  <c r="S131" i="17"/>
  <c r="M131" i="17"/>
  <c r="S130" i="17"/>
  <c r="M130" i="17"/>
  <c r="S129" i="17"/>
  <c r="M129" i="17"/>
  <c r="S128" i="17"/>
  <c r="M128" i="17"/>
  <c r="S127" i="17"/>
  <c r="M127" i="17"/>
  <c r="S126" i="17"/>
  <c r="M126" i="17"/>
  <c r="T125" i="17"/>
  <c r="S125" i="17" s="1"/>
  <c r="M125" i="17"/>
  <c r="S124" i="17"/>
  <c r="M124" i="17"/>
  <c r="S123" i="17"/>
  <c r="M123" i="17"/>
  <c r="S122" i="17"/>
  <c r="M122" i="17"/>
  <c r="S121" i="17"/>
  <c r="M121" i="17"/>
  <c r="S120" i="17"/>
  <c r="M120" i="17"/>
  <c r="S119" i="17"/>
  <c r="M119" i="17"/>
  <c r="T118" i="17"/>
  <c r="S118" i="17"/>
  <c r="M118" i="17"/>
  <c r="S117" i="17"/>
  <c r="M117" i="17"/>
  <c r="S116" i="17"/>
  <c r="M116" i="17"/>
  <c r="S115" i="17"/>
  <c r="M115" i="17"/>
  <c r="S114" i="17"/>
  <c r="M114" i="17"/>
  <c r="S113" i="17"/>
  <c r="M113" i="17"/>
  <c r="T112" i="17"/>
  <c r="S112" i="17" s="1"/>
  <c r="M112" i="17"/>
  <c r="S111" i="17"/>
  <c r="M111" i="17"/>
  <c r="T110" i="17"/>
  <c r="S110" i="17"/>
  <c r="M110" i="17"/>
  <c r="S109" i="17"/>
  <c r="M109" i="17"/>
  <c r="S108" i="17"/>
  <c r="M108" i="17"/>
  <c r="S107" i="17"/>
  <c r="M107" i="17"/>
  <c r="T106" i="17"/>
  <c r="S106" i="17" s="1"/>
  <c r="M106" i="17"/>
  <c r="S105" i="17"/>
  <c r="M105" i="17"/>
  <c r="S104" i="17"/>
  <c r="M104" i="17"/>
  <c r="S103" i="17"/>
  <c r="M103" i="17"/>
  <c r="S102" i="17"/>
  <c r="M102" i="17"/>
  <c r="S101" i="17"/>
  <c r="M101" i="17"/>
  <c r="S100" i="17"/>
  <c r="M100" i="17"/>
  <c r="S99" i="17"/>
  <c r="M99" i="17"/>
  <c r="S98" i="17"/>
  <c r="M98" i="17"/>
  <c r="S97" i="17"/>
  <c r="M97" i="17"/>
  <c r="S96" i="17"/>
  <c r="M96" i="17"/>
  <c r="S95" i="17"/>
  <c r="M95" i="17"/>
  <c r="M94" i="17"/>
  <c r="S93" i="17"/>
  <c r="M93" i="17"/>
  <c r="S92" i="17"/>
  <c r="M92" i="17"/>
  <c r="S91" i="17"/>
  <c r="M91" i="17"/>
  <c r="S90" i="17"/>
  <c r="M90" i="17"/>
  <c r="S89" i="17"/>
  <c r="M89" i="17"/>
  <c r="S88" i="17"/>
  <c r="M88" i="17"/>
  <c r="S87" i="17"/>
  <c r="M87" i="17"/>
  <c r="S86" i="17"/>
  <c r="M86" i="17"/>
  <c r="S85" i="17"/>
  <c r="M85" i="17"/>
  <c r="S84" i="17"/>
  <c r="M84" i="17"/>
  <c r="S83" i="17"/>
  <c r="M83" i="17"/>
  <c r="S82" i="17"/>
  <c r="M82" i="17"/>
  <c r="S81" i="17"/>
  <c r="M81" i="17"/>
  <c r="S80" i="17"/>
  <c r="M80" i="17"/>
  <c r="S79" i="17"/>
  <c r="M79" i="17"/>
  <c r="S78" i="17"/>
  <c r="M78" i="17"/>
  <c r="S77" i="17"/>
  <c r="M77" i="17"/>
  <c r="S76" i="17"/>
  <c r="M76" i="17"/>
  <c r="S75" i="17"/>
  <c r="M75" i="17"/>
  <c r="S74" i="17"/>
  <c r="M74" i="17"/>
  <c r="S73" i="17"/>
  <c r="M73" i="17"/>
  <c r="S72" i="17"/>
  <c r="M72" i="17"/>
  <c r="S71" i="17"/>
  <c r="M71" i="17"/>
  <c r="S70" i="17"/>
  <c r="M70" i="17"/>
  <c r="S69" i="17"/>
  <c r="M69" i="17"/>
  <c r="S68" i="17"/>
  <c r="M68" i="17"/>
  <c r="S67" i="17"/>
  <c r="M67" i="17"/>
  <c r="S66" i="17"/>
  <c r="M66" i="17"/>
  <c r="S65" i="17"/>
  <c r="M65" i="17"/>
  <c r="S64" i="17"/>
  <c r="M64" i="17"/>
  <c r="S63" i="17"/>
  <c r="M63" i="17"/>
  <c r="S62" i="17"/>
  <c r="M62" i="17"/>
  <c r="S61" i="17"/>
  <c r="M61" i="17"/>
  <c r="S60" i="17"/>
  <c r="M60" i="17"/>
  <c r="S59" i="17"/>
  <c r="M59" i="17"/>
  <c r="S58" i="17"/>
  <c r="M58" i="17"/>
  <c r="S57" i="17"/>
  <c r="M57" i="17"/>
  <c r="S56" i="17"/>
  <c r="M56" i="17"/>
  <c r="S55" i="17"/>
  <c r="M55" i="17"/>
  <c r="T54" i="17"/>
  <c r="S54" i="17" s="1"/>
  <c r="M54" i="17"/>
  <c r="S53" i="17"/>
  <c r="M53" i="17"/>
  <c r="S52" i="17"/>
  <c r="M52" i="17"/>
  <c r="S51" i="17"/>
  <c r="M51" i="17"/>
  <c r="S50" i="17"/>
  <c r="M50" i="17"/>
  <c r="S49" i="17"/>
  <c r="M49" i="17"/>
  <c r="S48" i="17"/>
  <c r="M48" i="17"/>
  <c r="S47" i="17"/>
  <c r="M47" i="17"/>
  <c r="S46" i="17"/>
  <c r="M46" i="17"/>
  <c r="S45" i="17"/>
  <c r="M45" i="17"/>
  <c r="S44" i="17"/>
  <c r="M44" i="17"/>
  <c r="S43" i="17"/>
  <c r="M43" i="17"/>
  <c r="S42" i="17"/>
  <c r="M42" i="17"/>
  <c r="S41" i="17"/>
  <c r="M41" i="17"/>
  <c r="S40" i="17"/>
  <c r="M40" i="17"/>
  <c r="S39" i="17"/>
  <c r="M39" i="17"/>
  <c r="S38" i="17"/>
  <c r="M38" i="17"/>
  <c r="S37" i="17"/>
  <c r="M37" i="17"/>
  <c r="T36" i="17"/>
  <c r="S36" i="17"/>
  <c r="N36" i="17"/>
  <c r="M287" i="17" s="1"/>
  <c r="M36" i="17"/>
  <c r="S35" i="17"/>
  <c r="M35" i="17"/>
  <c r="S34" i="17"/>
  <c r="M34" i="17"/>
  <c r="S33" i="17"/>
  <c r="M33" i="17"/>
  <c r="M32" i="17"/>
  <c r="S31" i="17"/>
  <c r="M31" i="17"/>
  <c r="S30" i="17"/>
  <c r="M30" i="17"/>
  <c r="S29" i="17"/>
  <c r="M29" i="17"/>
  <c r="T28" i="17"/>
  <c r="S28" i="17" s="1"/>
  <c r="M28" i="17"/>
  <c r="S27" i="17"/>
  <c r="M27" i="17"/>
  <c r="T26" i="17"/>
  <c r="S26" i="17"/>
  <c r="M26" i="17"/>
  <c r="S25" i="17"/>
  <c r="M25" i="17"/>
  <c r="T24" i="17"/>
  <c r="S24" i="17" s="1"/>
  <c r="M24" i="17"/>
  <c r="S23" i="17"/>
  <c r="M23" i="17"/>
  <c r="S22" i="17"/>
  <c r="M22" i="17"/>
  <c r="S21" i="17"/>
  <c r="M21" i="17"/>
  <c r="T20" i="17"/>
  <c r="S20" i="17"/>
  <c r="M20" i="17"/>
  <c r="S19" i="17"/>
  <c r="M19" i="17"/>
  <c r="S18" i="17"/>
  <c r="M18" i="17"/>
  <c r="S17" i="17"/>
  <c r="M17" i="17"/>
  <c r="S16" i="17"/>
  <c r="M16" i="17"/>
  <c r="S15" i="17"/>
  <c r="M15" i="17"/>
  <c r="T14" i="17"/>
  <c r="S14" i="17" s="1"/>
  <c r="M14" i="17"/>
  <c r="S13" i="17"/>
  <c r="M13" i="17"/>
  <c r="S12" i="17"/>
  <c r="R287" i="17" s="1"/>
  <c r="M12" i="17"/>
  <c r="L287" i="17" s="1"/>
  <c r="S11" i="17"/>
  <c r="M11" i="17"/>
  <c r="S10" i="17"/>
  <c r="R288" i="17" s="1"/>
  <c r="M10" i="17"/>
  <c r="L288" i="17" s="1"/>
  <c r="S9" i="17"/>
  <c r="R286" i="17" s="1"/>
  <c r="M9" i="17"/>
  <c r="L286" i="17" s="1"/>
  <c r="T286" i="16"/>
  <c r="S286" i="16"/>
  <c r="S287" i="16" s="1"/>
  <c r="Q286" i="16"/>
  <c r="Q287" i="16" s="1"/>
  <c r="P286" i="16"/>
  <c r="P287" i="16" s="1"/>
  <c r="O286" i="16"/>
  <c r="O287" i="16" s="1"/>
  <c r="N286" i="16"/>
  <c r="M286" i="16"/>
  <c r="M287" i="16" s="1"/>
  <c r="K286" i="16"/>
  <c r="K287" i="16" s="1"/>
  <c r="J286" i="16"/>
  <c r="J287" i="16" s="1"/>
  <c r="I286" i="16"/>
  <c r="I287" i="16" s="1"/>
  <c r="H286" i="16"/>
  <c r="H287" i="16" s="1"/>
  <c r="G286" i="16"/>
  <c r="G287" i="16" s="1"/>
  <c r="S285" i="16"/>
  <c r="U285" i="16" s="1"/>
  <c r="Q285" i="16"/>
  <c r="P285" i="16"/>
  <c r="O285" i="16"/>
  <c r="M285" i="16"/>
  <c r="K285" i="16"/>
  <c r="J285" i="16"/>
  <c r="V285" i="16" s="1"/>
  <c r="I285" i="16"/>
  <c r="H285" i="16"/>
  <c r="G285" i="16"/>
  <c r="T284" i="16"/>
  <c r="S284" i="16"/>
  <c r="U284" i="16" s="1"/>
  <c r="Q284" i="16"/>
  <c r="P284" i="16"/>
  <c r="O284" i="16"/>
  <c r="N284" i="16"/>
  <c r="M284" i="16"/>
  <c r="K284" i="16"/>
  <c r="J284" i="16"/>
  <c r="V284" i="16" s="1"/>
  <c r="I284" i="16"/>
  <c r="H284" i="16"/>
  <c r="G284" i="16"/>
  <c r="T278" i="16"/>
  <c r="R278" i="16"/>
  <c r="Q278" i="16"/>
  <c r="P278" i="16"/>
  <c r="N278" i="16"/>
  <c r="L278" i="16"/>
  <c r="K278" i="16"/>
  <c r="J278" i="16"/>
  <c r="I278" i="16"/>
  <c r="H278" i="16"/>
  <c r="S277" i="16"/>
  <c r="M277" i="16"/>
  <c r="S276" i="16"/>
  <c r="M276" i="16"/>
  <c r="S275" i="16"/>
  <c r="M275" i="16"/>
  <c r="S274" i="16"/>
  <c r="M274" i="16"/>
  <c r="U273" i="16"/>
  <c r="S273" i="16"/>
  <c r="M273" i="16"/>
  <c r="S272" i="16"/>
  <c r="M272" i="16"/>
  <c r="M271" i="16"/>
  <c r="S270" i="16"/>
  <c r="M270" i="16"/>
  <c r="S269" i="16"/>
  <c r="M269" i="16"/>
  <c r="S268" i="16"/>
  <c r="M268" i="16"/>
  <c r="S267" i="16"/>
  <c r="M267" i="16"/>
  <c r="S266" i="16"/>
  <c r="M266" i="16"/>
  <c r="S265" i="16"/>
  <c r="M265" i="16"/>
  <c r="S264" i="16"/>
  <c r="M264" i="16"/>
  <c r="S263" i="16"/>
  <c r="M263" i="16"/>
  <c r="S262" i="16"/>
  <c r="M262" i="16"/>
  <c r="U261" i="16"/>
  <c r="S261" i="16"/>
  <c r="M261" i="16"/>
  <c r="S260" i="16"/>
  <c r="M260" i="16"/>
  <c r="S259" i="16"/>
  <c r="M259" i="16"/>
  <c r="S258" i="16"/>
  <c r="M258" i="16"/>
  <c r="U257" i="16"/>
  <c r="S257" i="16" s="1"/>
  <c r="M257" i="16"/>
  <c r="S256" i="16"/>
  <c r="M256" i="16"/>
  <c r="S255" i="16"/>
  <c r="M255" i="16"/>
  <c r="S254" i="16"/>
  <c r="M254" i="16"/>
  <c r="S253" i="16"/>
  <c r="M253" i="16"/>
  <c r="S252" i="16"/>
  <c r="M252" i="16"/>
  <c r="U251" i="16"/>
  <c r="S251" i="16"/>
  <c r="M251" i="16"/>
  <c r="S250" i="16"/>
  <c r="M250" i="16"/>
  <c r="S249" i="16"/>
  <c r="M249" i="16"/>
  <c r="S248" i="16"/>
  <c r="M248" i="16"/>
  <c r="S247" i="16"/>
  <c r="M247" i="16"/>
  <c r="S246" i="16"/>
  <c r="M246" i="16"/>
  <c r="S245" i="16"/>
  <c r="M245" i="16"/>
  <c r="S244" i="16"/>
  <c r="M244" i="16"/>
  <c r="S243" i="16"/>
  <c r="M243" i="16"/>
  <c r="S242" i="16"/>
  <c r="M242" i="16"/>
  <c r="S241" i="16"/>
  <c r="M241" i="16"/>
  <c r="S240" i="16"/>
  <c r="M240" i="16"/>
  <c r="S239" i="16"/>
  <c r="M239" i="16"/>
  <c r="S238" i="16"/>
  <c r="M238" i="16"/>
  <c r="S237" i="16"/>
  <c r="M237" i="16"/>
  <c r="S236" i="16"/>
  <c r="M236" i="16"/>
  <c r="S235" i="16"/>
  <c r="M235" i="16"/>
  <c r="S234" i="16"/>
  <c r="M234" i="16"/>
  <c r="S233" i="16"/>
  <c r="M233" i="16"/>
  <c r="S232" i="16"/>
  <c r="M232" i="16"/>
  <c r="S231" i="16"/>
  <c r="M231" i="16"/>
  <c r="S230" i="16"/>
  <c r="M230" i="16"/>
  <c r="S229" i="16"/>
  <c r="M229" i="16"/>
  <c r="S228" i="16"/>
  <c r="M228" i="16"/>
  <c r="S227" i="16"/>
  <c r="M227" i="16"/>
  <c r="S226" i="16"/>
  <c r="M226" i="16"/>
  <c r="S225" i="16"/>
  <c r="M225" i="16"/>
  <c r="S224" i="16"/>
  <c r="M224" i="16"/>
  <c r="S223" i="16"/>
  <c r="M223" i="16"/>
  <c r="S222" i="16"/>
  <c r="M222" i="16"/>
  <c r="M221" i="16"/>
  <c r="S220" i="16"/>
  <c r="M220" i="16"/>
  <c r="S219" i="16"/>
  <c r="M219" i="16"/>
  <c r="S218" i="16"/>
  <c r="M218" i="16"/>
  <c r="S217" i="16"/>
  <c r="M217" i="16"/>
  <c r="S216" i="16"/>
  <c r="M216" i="16"/>
  <c r="S215" i="16"/>
  <c r="M215" i="16"/>
  <c r="S214" i="16"/>
  <c r="M214" i="16"/>
  <c r="S213" i="16"/>
  <c r="M213" i="16"/>
  <c r="S212" i="16"/>
  <c r="M212" i="16"/>
  <c r="S211" i="16"/>
  <c r="M211" i="16"/>
  <c r="S210" i="16"/>
  <c r="M210" i="16"/>
  <c r="U209" i="16"/>
  <c r="S209" i="16"/>
  <c r="M209" i="16"/>
  <c r="S208" i="16"/>
  <c r="M208" i="16"/>
  <c r="S207" i="16"/>
  <c r="M207" i="16"/>
  <c r="S206" i="16"/>
  <c r="M206" i="16"/>
  <c r="M205" i="16"/>
  <c r="S204" i="16"/>
  <c r="M204" i="16"/>
  <c r="U203" i="16"/>
  <c r="S203" i="16"/>
  <c r="M203" i="16"/>
  <c r="S202" i="16"/>
  <c r="M202" i="16"/>
  <c r="S201" i="16"/>
  <c r="M201" i="16"/>
  <c r="S200" i="16"/>
  <c r="M200" i="16"/>
  <c r="S199" i="16"/>
  <c r="M199" i="16"/>
  <c r="S198" i="16"/>
  <c r="M198" i="16"/>
  <c r="S197" i="16"/>
  <c r="M197" i="16"/>
  <c r="S196" i="16"/>
  <c r="M196" i="16"/>
  <c r="S195" i="16"/>
  <c r="M195" i="16"/>
  <c r="S194" i="16"/>
  <c r="M194" i="16"/>
  <c r="S193" i="16"/>
  <c r="M193" i="16"/>
  <c r="S192" i="16"/>
  <c r="M192" i="16"/>
  <c r="S191" i="16"/>
  <c r="M191" i="16"/>
  <c r="S190" i="16"/>
  <c r="M190" i="16"/>
  <c r="S189" i="16"/>
  <c r="M189" i="16"/>
  <c r="S188" i="16"/>
  <c r="M188" i="16"/>
  <c r="S187" i="16"/>
  <c r="M187" i="16"/>
  <c r="S186" i="16"/>
  <c r="M186" i="16"/>
  <c r="S185" i="16"/>
  <c r="M185" i="16"/>
  <c r="M184" i="16"/>
  <c r="S183" i="16"/>
  <c r="M183" i="16"/>
  <c r="S182" i="16"/>
  <c r="M182" i="16"/>
  <c r="S181" i="16"/>
  <c r="M181" i="16"/>
  <c r="S180" i="16"/>
  <c r="M180" i="16"/>
  <c r="S179" i="16"/>
  <c r="M179" i="16"/>
  <c r="U178" i="16"/>
  <c r="S178" i="16"/>
  <c r="M178" i="16"/>
  <c r="S177" i="16"/>
  <c r="M177" i="16"/>
  <c r="S176" i="16"/>
  <c r="M176" i="16"/>
  <c r="S175" i="16"/>
  <c r="M175" i="16"/>
  <c r="S174" i="16"/>
  <c r="M174" i="16"/>
  <c r="S173" i="16"/>
  <c r="M173" i="16"/>
  <c r="S172" i="16"/>
  <c r="M172" i="16"/>
  <c r="S171" i="16"/>
  <c r="M171" i="16"/>
  <c r="S170" i="16"/>
  <c r="M170" i="16"/>
  <c r="S169" i="16"/>
  <c r="M169" i="16"/>
  <c r="S168" i="16"/>
  <c r="M168" i="16"/>
  <c r="S167" i="16"/>
  <c r="M167" i="16"/>
  <c r="S166" i="16"/>
  <c r="O166" i="16"/>
  <c r="M166" i="16"/>
  <c r="S165" i="16"/>
  <c r="M165" i="16"/>
  <c r="U164" i="16"/>
  <c r="S164" i="16"/>
  <c r="M164" i="16"/>
  <c r="S163" i="16"/>
  <c r="M163" i="16"/>
  <c r="S162" i="16"/>
  <c r="M162" i="16"/>
  <c r="S161" i="16"/>
  <c r="M161" i="16"/>
  <c r="U160" i="16"/>
  <c r="S160" i="16" s="1"/>
  <c r="M160" i="16"/>
  <c r="S159" i="16"/>
  <c r="M159" i="16"/>
  <c r="S158" i="16"/>
  <c r="M158" i="16"/>
  <c r="S157" i="16"/>
  <c r="M157" i="16"/>
  <c r="S156" i="16"/>
  <c r="M156" i="16"/>
  <c r="S155" i="16"/>
  <c r="M155" i="16"/>
  <c r="S154" i="16"/>
  <c r="M154" i="16"/>
  <c r="S153" i="16"/>
  <c r="M153" i="16"/>
  <c r="U152" i="16"/>
  <c r="S152" i="16"/>
  <c r="M152" i="16"/>
  <c r="S151" i="16"/>
  <c r="M151" i="16"/>
  <c r="S150" i="16"/>
  <c r="M150" i="16"/>
  <c r="S149" i="16"/>
  <c r="M149" i="16"/>
  <c r="S148" i="16"/>
  <c r="M148" i="16"/>
  <c r="S147" i="16"/>
  <c r="M147" i="16"/>
  <c r="S146" i="16"/>
  <c r="O146" i="16"/>
  <c r="M146" i="16"/>
  <c r="S145" i="16"/>
  <c r="M145" i="16"/>
  <c r="U144" i="16"/>
  <c r="S144" i="16"/>
  <c r="O144" i="16"/>
  <c r="M144" i="16"/>
  <c r="S143" i="16"/>
  <c r="M143" i="16"/>
  <c r="S142" i="16"/>
  <c r="M142" i="16"/>
  <c r="S141" i="16"/>
  <c r="M141" i="16"/>
  <c r="S140" i="16"/>
  <c r="M140" i="16"/>
  <c r="S139" i="16"/>
  <c r="M139" i="16"/>
  <c r="S138" i="16"/>
  <c r="M138" i="16"/>
  <c r="S137" i="16"/>
  <c r="M137" i="16"/>
  <c r="S136" i="16"/>
  <c r="M136" i="16"/>
  <c r="S135" i="16"/>
  <c r="M135" i="16"/>
  <c r="S134" i="16"/>
  <c r="M134" i="16"/>
  <c r="S133" i="16"/>
  <c r="M133" i="16"/>
  <c r="S132" i="16"/>
  <c r="M132" i="16"/>
  <c r="S131" i="16"/>
  <c r="M131" i="16"/>
  <c r="S130" i="16"/>
  <c r="M130" i="16"/>
  <c r="S129" i="16"/>
  <c r="M129" i="16"/>
  <c r="S128" i="16"/>
  <c r="M128" i="16"/>
  <c r="S127" i="16"/>
  <c r="M127" i="16"/>
  <c r="S126" i="16"/>
  <c r="M126" i="16"/>
  <c r="U125" i="16"/>
  <c r="S125" i="16"/>
  <c r="M125" i="16"/>
  <c r="S124" i="16"/>
  <c r="M124" i="16"/>
  <c r="S123" i="16"/>
  <c r="M123" i="16"/>
  <c r="S122" i="16"/>
  <c r="M122" i="16"/>
  <c r="S121" i="16"/>
  <c r="M121" i="16"/>
  <c r="S120" i="16"/>
  <c r="M120" i="16"/>
  <c r="S119" i="16"/>
  <c r="M119" i="16"/>
  <c r="U118" i="16"/>
  <c r="S118" i="16" s="1"/>
  <c r="M118" i="16"/>
  <c r="S117" i="16"/>
  <c r="M117" i="16"/>
  <c r="S116" i="16"/>
  <c r="M116" i="16"/>
  <c r="S115" i="16"/>
  <c r="M115" i="16"/>
  <c r="S114" i="16"/>
  <c r="M114" i="16"/>
  <c r="S113" i="16"/>
  <c r="M113" i="16"/>
  <c r="U112" i="16"/>
  <c r="S112" i="16"/>
  <c r="M112" i="16"/>
  <c r="S111" i="16"/>
  <c r="M111" i="16"/>
  <c r="U110" i="16"/>
  <c r="S110" i="16" s="1"/>
  <c r="M110" i="16"/>
  <c r="S109" i="16"/>
  <c r="M109" i="16"/>
  <c r="S108" i="16"/>
  <c r="M108" i="16"/>
  <c r="S107" i="16"/>
  <c r="M107" i="16"/>
  <c r="U106" i="16"/>
  <c r="S106" i="16"/>
  <c r="M106" i="16"/>
  <c r="S105" i="16"/>
  <c r="M105" i="16"/>
  <c r="S104" i="16"/>
  <c r="M104" i="16"/>
  <c r="S103" i="16"/>
  <c r="M103" i="16"/>
  <c r="S102" i="16"/>
  <c r="M102" i="16"/>
  <c r="S101" i="16"/>
  <c r="M101" i="16"/>
  <c r="S100" i="16"/>
  <c r="M100" i="16"/>
  <c r="S99" i="16"/>
  <c r="M99" i="16"/>
  <c r="S98" i="16"/>
  <c r="M98" i="16"/>
  <c r="S97" i="16"/>
  <c r="M97" i="16"/>
  <c r="S96" i="16"/>
  <c r="M96" i="16"/>
  <c r="S95" i="16"/>
  <c r="M95" i="16"/>
  <c r="M94" i="16"/>
  <c r="S93" i="16"/>
  <c r="M93" i="16"/>
  <c r="S92" i="16"/>
  <c r="M92" i="16"/>
  <c r="S91" i="16"/>
  <c r="M91" i="16"/>
  <c r="S90" i="16"/>
  <c r="M90" i="16"/>
  <c r="S89" i="16"/>
  <c r="M89" i="16"/>
  <c r="S88" i="16"/>
  <c r="M88" i="16"/>
  <c r="S87" i="16"/>
  <c r="M87" i="16"/>
  <c r="S86" i="16"/>
  <c r="M86" i="16"/>
  <c r="S85" i="16"/>
  <c r="M85" i="16"/>
  <c r="S84" i="16"/>
  <c r="M84" i="16"/>
  <c r="S83" i="16"/>
  <c r="M83" i="16"/>
  <c r="S82" i="16"/>
  <c r="M82" i="16"/>
  <c r="S81" i="16"/>
  <c r="M81" i="16"/>
  <c r="S80" i="16"/>
  <c r="M80" i="16"/>
  <c r="S79" i="16"/>
  <c r="M79" i="16"/>
  <c r="S78" i="16"/>
  <c r="M78" i="16"/>
  <c r="S77" i="16"/>
  <c r="M77" i="16"/>
  <c r="S76" i="16"/>
  <c r="M76" i="16"/>
  <c r="S75" i="16"/>
  <c r="M75" i="16"/>
  <c r="S74" i="16"/>
  <c r="M74" i="16"/>
  <c r="S73" i="16"/>
  <c r="M73" i="16"/>
  <c r="S72" i="16"/>
  <c r="M72" i="16"/>
  <c r="S71" i="16"/>
  <c r="M71" i="16"/>
  <c r="S70" i="16"/>
  <c r="M70" i="16"/>
  <c r="S69" i="16"/>
  <c r="M69" i="16"/>
  <c r="S68" i="16"/>
  <c r="M68" i="16"/>
  <c r="S67" i="16"/>
  <c r="M67" i="16"/>
  <c r="S66" i="16"/>
  <c r="M66" i="16"/>
  <c r="S65" i="16"/>
  <c r="M65" i="16"/>
  <c r="S64" i="16"/>
  <c r="M64" i="16"/>
  <c r="S63" i="16"/>
  <c r="M63" i="16"/>
  <c r="S62" i="16"/>
  <c r="M62" i="16"/>
  <c r="S61" i="16"/>
  <c r="M61" i="16"/>
  <c r="S60" i="16"/>
  <c r="M60" i="16"/>
  <c r="S59" i="16"/>
  <c r="M59" i="16"/>
  <c r="S58" i="16"/>
  <c r="M58" i="16"/>
  <c r="S57" i="16"/>
  <c r="M57" i="16"/>
  <c r="S56" i="16"/>
  <c r="M56" i="16"/>
  <c r="S55" i="16"/>
  <c r="M55" i="16"/>
  <c r="U54" i="16"/>
  <c r="S54" i="16"/>
  <c r="M54" i="16"/>
  <c r="S53" i="16"/>
  <c r="M53" i="16"/>
  <c r="S52" i="16"/>
  <c r="M52" i="16"/>
  <c r="S51" i="16"/>
  <c r="M51" i="16"/>
  <c r="S50" i="16"/>
  <c r="M50" i="16"/>
  <c r="S49" i="16"/>
  <c r="M49" i="16"/>
  <c r="S48" i="16"/>
  <c r="M48" i="16"/>
  <c r="S47" i="16"/>
  <c r="M47" i="16"/>
  <c r="S46" i="16"/>
  <c r="M46" i="16"/>
  <c r="S45" i="16"/>
  <c r="M45" i="16"/>
  <c r="S44" i="16"/>
  <c r="M44" i="16"/>
  <c r="S43" i="16"/>
  <c r="M43" i="16"/>
  <c r="S42" i="16"/>
  <c r="M42" i="16"/>
  <c r="S41" i="16"/>
  <c r="M41" i="16"/>
  <c r="S40" i="16"/>
  <c r="M40" i="16"/>
  <c r="S39" i="16"/>
  <c r="M39" i="16"/>
  <c r="S38" i="16"/>
  <c r="M38" i="16"/>
  <c r="S37" i="16"/>
  <c r="M37" i="16"/>
  <c r="U36" i="16"/>
  <c r="S36" i="16" s="1"/>
  <c r="O36" i="16"/>
  <c r="N285" i="16" s="1"/>
  <c r="S35" i="16"/>
  <c r="M35" i="16"/>
  <c r="S34" i="16"/>
  <c r="M34" i="16"/>
  <c r="S33" i="16"/>
  <c r="M33" i="16"/>
  <c r="M32" i="16"/>
  <c r="S31" i="16"/>
  <c r="M31" i="16"/>
  <c r="S30" i="16"/>
  <c r="M30" i="16"/>
  <c r="S29" i="16"/>
  <c r="M29" i="16"/>
  <c r="S28" i="16"/>
  <c r="M28" i="16"/>
  <c r="S27" i="16"/>
  <c r="M27" i="16"/>
  <c r="S26" i="16"/>
  <c r="M26" i="16"/>
  <c r="S25" i="16"/>
  <c r="M25" i="16"/>
  <c r="S24" i="16"/>
  <c r="M24" i="16"/>
  <c r="S23" i="16"/>
  <c r="M23" i="16"/>
  <c r="S22" i="16"/>
  <c r="M22" i="16"/>
  <c r="S21" i="16"/>
  <c r="M21" i="16"/>
  <c r="U20" i="16"/>
  <c r="T285" i="16" s="1"/>
  <c r="S20" i="16"/>
  <c r="M20" i="16"/>
  <c r="S19" i="16"/>
  <c r="M19" i="16"/>
  <c r="S18" i="16"/>
  <c r="M18" i="16"/>
  <c r="S17" i="16"/>
  <c r="M17" i="16"/>
  <c r="S16" i="16"/>
  <c r="M16" i="16"/>
  <c r="S15" i="16"/>
  <c r="M15" i="16"/>
  <c r="S14" i="16"/>
  <c r="M14" i="16"/>
  <c r="S13" i="16"/>
  <c r="M13" i="16"/>
  <c r="S12" i="16"/>
  <c r="M12" i="16"/>
  <c r="S11" i="16"/>
  <c r="M11" i="16"/>
  <c r="S10" i="16"/>
  <c r="R286" i="16" s="1"/>
  <c r="M10" i="16"/>
  <c r="L286" i="16" s="1"/>
  <c r="S9" i="16"/>
  <c r="R284" i="16" s="1"/>
  <c r="M9" i="16"/>
  <c r="L284" i="16" s="1"/>
  <c r="T288" i="15"/>
  <c r="T289" i="15" s="1"/>
  <c r="S288" i="15"/>
  <c r="S289" i="15" s="1"/>
  <c r="Q288" i="15"/>
  <c r="Q289" i="15" s="1"/>
  <c r="P288" i="15"/>
  <c r="P289" i="15" s="1"/>
  <c r="O288" i="15"/>
  <c r="O289" i="15" s="1"/>
  <c r="N288" i="15"/>
  <c r="N289" i="15" s="1"/>
  <c r="M288" i="15"/>
  <c r="K288" i="15"/>
  <c r="K289" i="15" s="1"/>
  <c r="J288" i="15"/>
  <c r="J289" i="15" s="1"/>
  <c r="I288" i="15"/>
  <c r="I289" i="15" s="1"/>
  <c r="H288" i="15"/>
  <c r="H289" i="15" s="1"/>
  <c r="G288" i="15"/>
  <c r="G289" i="15" s="1"/>
  <c r="T287" i="15"/>
  <c r="Q287" i="15"/>
  <c r="P287" i="15"/>
  <c r="O287" i="15"/>
  <c r="N287" i="15"/>
  <c r="K287" i="15"/>
  <c r="J287" i="15"/>
  <c r="I287" i="15"/>
  <c r="H287" i="15"/>
  <c r="G287" i="15"/>
  <c r="T286" i="15"/>
  <c r="S286" i="15"/>
  <c r="U286" i="15" s="1"/>
  <c r="Q286" i="15"/>
  <c r="P286" i="15"/>
  <c r="O286" i="15"/>
  <c r="N286" i="15"/>
  <c r="M286" i="15"/>
  <c r="K286" i="15"/>
  <c r="J286" i="15"/>
  <c r="V286" i="15" s="1"/>
  <c r="I286" i="15"/>
  <c r="H286" i="15"/>
  <c r="G286" i="15"/>
  <c r="U280" i="15"/>
  <c r="R280" i="15"/>
  <c r="Q280" i="15"/>
  <c r="P280" i="15"/>
  <c r="O280" i="15"/>
  <c r="L280" i="15"/>
  <c r="K280" i="15"/>
  <c r="J280" i="15"/>
  <c r="I280" i="15"/>
  <c r="H280" i="15"/>
  <c r="S279" i="15"/>
  <c r="M279" i="15"/>
  <c r="S278" i="15"/>
  <c r="M278" i="15"/>
  <c r="S277" i="15"/>
  <c r="M277" i="15"/>
  <c r="S276" i="15"/>
  <c r="M276" i="15"/>
  <c r="T275" i="15"/>
  <c r="S275" i="15" s="1"/>
  <c r="M275" i="15"/>
  <c r="S274" i="15"/>
  <c r="M274" i="15"/>
  <c r="M273" i="15"/>
  <c r="S272" i="15"/>
  <c r="M272" i="15"/>
  <c r="S271" i="15"/>
  <c r="M271" i="15"/>
  <c r="S270" i="15"/>
  <c r="M270" i="15"/>
  <c r="S269" i="15"/>
  <c r="M269" i="15"/>
  <c r="S268" i="15"/>
  <c r="M268" i="15"/>
  <c r="S267" i="15"/>
  <c r="M267" i="15"/>
  <c r="S266" i="15"/>
  <c r="M266" i="15"/>
  <c r="S265" i="15"/>
  <c r="M265" i="15"/>
  <c r="S264" i="15"/>
  <c r="M264" i="15"/>
  <c r="T263" i="15"/>
  <c r="S263" i="15" s="1"/>
  <c r="M263" i="15"/>
  <c r="S262" i="15"/>
  <c r="M262" i="15"/>
  <c r="S261" i="15"/>
  <c r="M261" i="15"/>
  <c r="S260" i="15"/>
  <c r="M260" i="15"/>
  <c r="T259" i="15"/>
  <c r="S259" i="15"/>
  <c r="N259" i="15"/>
  <c r="M259" i="15"/>
  <c r="S258" i="15"/>
  <c r="M258" i="15"/>
  <c r="T257" i="15"/>
  <c r="S257" i="15"/>
  <c r="M257" i="15"/>
  <c r="S256" i="15"/>
  <c r="M256" i="15"/>
  <c r="S255" i="15"/>
  <c r="M255" i="15"/>
  <c r="S254" i="15"/>
  <c r="M254" i="15"/>
  <c r="T253" i="15"/>
  <c r="S253" i="15" s="1"/>
  <c r="M253" i="15"/>
  <c r="S252" i="15"/>
  <c r="M252" i="15"/>
  <c r="S251" i="15"/>
  <c r="M251" i="15"/>
  <c r="S250" i="15"/>
  <c r="M250" i="15"/>
  <c r="S249" i="15"/>
  <c r="M249" i="15"/>
  <c r="S248" i="15"/>
  <c r="M248" i="15"/>
  <c r="S247" i="15"/>
  <c r="M247" i="15"/>
  <c r="S246" i="15"/>
  <c r="M246" i="15"/>
  <c r="S245" i="15"/>
  <c r="M245" i="15"/>
  <c r="S244" i="15"/>
  <c r="M244" i="15"/>
  <c r="S243" i="15"/>
  <c r="M243" i="15"/>
  <c r="S242" i="15"/>
  <c r="M242" i="15"/>
  <c r="S241" i="15"/>
  <c r="M241" i="15"/>
  <c r="S240" i="15"/>
  <c r="M240" i="15"/>
  <c r="S239" i="15"/>
  <c r="M239" i="15"/>
  <c r="S238" i="15"/>
  <c r="M238" i="15"/>
  <c r="S237" i="15"/>
  <c r="M237" i="15"/>
  <c r="S236" i="15"/>
  <c r="M236" i="15"/>
  <c r="S235" i="15"/>
  <c r="M235" i="15"/>
  <c r="S234" i="15"/>
  <c r="M234" i="15"/>
  <c r="S233" i="15"/>
  <c r="M233" i="15"/>
  <c r="S232" i="15"/>
  <c r="M232" i="15"/>
  <c r="S231" i="15"/>
  <c r="M231" i="15"/>
  <c r="S230" i="15"/>
  <c r="M230" i="15"/>
  <c r="S229" i="15"/>
  <c r="M229" i="15"/>
  <c r="S228" i="15"/>
  <c r="M228" i="15"/>
  <c r="S227" i="15"/>
  <c r="M227" i="15"/>
  <c r="S226" i="15"/>
  <c r="M226" i="15"/>
  <c r="S225" i="15"/>
  <c r="M225" i="15"/>
  <c r="S224" i="15"/>
  <c r="M224" i="15"/>
  <c r="S223" i="15"/>
  <c r="M223" i="15"/>
  <c r="S222" i="15"/>
  <c r="M222" i="15"/>
  <c r="M221" i="15"/>
  <c r="S220" i="15"/>
  <c r="M220" i="15"/>
  <c r="S219" i="15"/>
  <c r="M219" i="15"/>
  <c r="S218" i="15"/>
  <c r="M218" i="15"/>
  <c r="S217" i="15"/>
  <c r="M217" i="15"/>
  <c r="S216" i="15"/>
  <c r="M216" i="15"/>
  <c r="S215" i="15"/>
  <c r="M215" i="15"/>
  <c r="S214" i="15"/>
  <c r="M214" i="15"/>
  <c r="S213" i="15"/>
  <c r="M213" i="15"/>
  <c r="S212" i="15"/>
  <c r="M212" i="15"/>
  <c r="S211" i="15"/>
  <c r="M211" i="15"/>
  <c r="S210" i="15"/>
  <c r="M210" i="15"/>
  <c r="T209" i="15"/>
  <c r="S209" i="15" s="1"/>
  <c r="M209" i="15"/>
  <c r="S208" i="15"/>
  <c r="M208" i="15"/>
  <c r="S207" i="15"/>
  <c r="M207" i="15"/>
  <c r="S206" i="15"/>
  <c r="M206" i="15"/>
  <c r="M205" i="15"/>
  <c r="S204" i="15"/>
  <c r="M204" i="15"/>
  <c r="T203" i="15"/>
  <c r="S203" i="15" s="1"/>
  <c r="M203" i="15"/>
  <c r="S202" i="15"/>
  <c r="M202" i="15"/>
  <c r="S201" i="15"/>
  <c r="M201" i="15"/>
  <c r="S200" i="15"/>
  <c r="M200" i="15"/>
  <c r="S199" i="15"/>
  <c r="M199" i="15"/>
  <c r="S198" i="15"/>
  <c r="M198" i="15"/>
  <c r="S197" i="15"/>
  <c r="M197" i="15"/>
  <c r="S196" i="15"/>
  <c r="M196" i="15"/>
  <c r="S195" i="15"/>
  <c r="M195" i="15"/>
  <c r="S194" i="15"/>
  <c r="M194" i="15"/>
  <c r="S193" i="15"/>
  <c r="M193" i="15"/>
  <c r="S192" i="15"/>
  <c r="M192" i="15"/>
  <c r="S191" i="15"/>
  <c r="M191" i="15"/>
  <c r="S190" i="15"/>
  <c r="M190" i="15"/>
  <c r="S189" i="15"/>
  <c r="M189" i="15"/>
  <c r="S188" i="15"/>
  <c r="M188" i="15"/>
  <c r="S187" i="15"/>
  <c r="M187" i="15"/>
  <c r="S186" i="15"/>
  <c r="M186" i="15"/>
  <c r="S185" i="15"/>
  <c r="M185" i="15"/>
  <c r="M184" i="15"/>
  <c r="S183" i="15"/>
  <c r="M183" i="15"/>
  <c r="S182" i="15"/>
  <c r="M182" i="15"/>
  <c r="S181" i="15"/>
  <c r="M181" i="15"/>
  <c r="S180" i="15"/>
  <c r="M180" i="15"/>
  <c r="S179" i="15"/>
  <c r="M179" i="15"/>
  <c r="T178" i="15"/>
  <c r="S178" i="15" s="1"/>
  <c r="M178" i="15"/>
  <c r="S177" i="15"/>
  <c r="M177" i="15"/>
  <c r="S176" i="15"/>
  <c r="M176" i="15"/>
  <c r="S175" i="15"/>
  <c r="M175" i="15"/>
  <c r="S174" i="15"/>
  <c r="M174" i="15"/>
  <c r="S173" i="15"/>
  <c r="M173" i="15"/>
  <c r="S172" i="15"/>
  <c r="M172" i="15"/>
  <c r="S171" i="15"/>
  <c r="M171" i="15"/>
  <c r="S170" i="15"/>
  <c r="M170" i="15"/>
  <c r="S169" i="15"/>
  <c r="M169" i="15"/>
  <c r="S168" i="15"/>
  <c r="M168" i="15"/>
  <c r="S167" i="15"/>
  <c r="M167" i="15"/>
  <c r="S166" i="15"/>
  <c r="N166" i="15"/>
  <c r="M166" i="15" s="1"/>
  <c r="S165" i="15"/>
  <c r="M165" i="15"/>
  <c r="T164" i="15"/>
  <c r="S164" i="15" s="1"/>
  <c r="M164" i="15"/>
  <c r="S163" i="15"/>
  <c r="M163" i="15"/>
  <c r="S162" i="15"/>
  <c r="M162" i="15"/>
  <c r="S161" i="15"/>
  <c r="M161" i="15"/>
  <c r="T160" i="15"/>
  <c r="S160" i="15"/>
  <c r="M160" i="15"/>
  <c r="S159" i="15"/>
  <c r="M159" i="15"/>
  <c r="S158" i="15"/>
  <c r="M158" i="15"/>
  <c r="S157" i="15"/>
  <c r="M157" i="15"/>
  <c r="S156" i="15"/>
  <c r="M156" i="15"/>
  <c r="S155" i="15"/>
  <c r="M155" i="15"/>
  <c r="S154" i="15"/>
  <c r="M154" i="15"/>
  <c r="S153" i="15"/>
  <c r="M153" i="15"/>
  <c r="T152" i="15"/>
  <c r="S152" i="15" s="1"/>
  <c r="M152" i="15"/>
  <c r="S151" i="15"/>
  <c r="M151" i="15"/>
  <c r="S150" i="15"/>
  <c r="M150" i="15"/>
  <c r="S149" i="15"/>
  <c r="M149" i="15"/>
  <c r="S148" i="15"/>
  <c r="M148" i="15"/>
  <c r="S147" i="15"/>
  <c r="M147" i="15"/>
  <c r="S146" i="15"/>
  <c r="N146" i="15"/>
  <c r="M146" i="15" s="1"/>
  <c r="S145" i="15"/>
  <c r="M145" i="15"/>
  <c r="T144" i="15"/>
  <c r="S144" i="15" s="1"/>
  <c r="N144" i="15"/>
  <c r="M144" i="15" s="1"/>
  <c r="S143" i="15"/>
  <c r="M143" i="15"/>
  <c r="S142" i="15"/>
  <c r="M142" i="15"/>
  <c r="S141" i="15"/>
  <c r="M141" i="15"/>
  <c r="S140" i="15"/>
  <c r="M140" i="15"/>
  <c r="S139" i="15"/>
  <c r="M139" i="15"/>
  <c r="S138" i="15"/>
  <c r="M138" i="15"/>
  <c r="S137" i="15"/>
  <c r="M137" i="15"/>
  <c r="S136" i="15"/>
  <c r="M136" i="15"/>
  <c r="S135" i="15"/>
  <c r="M135" i="15"/>
  <c r="S134" i="15"/>
  <c r="M134" i="15"/>
  <c r="S133" i="15"/>
  <c r="M133" i="15"/>
  <c r="S132" i="15"/>
  <c r="M132" i="15"/>
  <c r="S131" i="15"/>
  <c r="M131" i="15"/>
  <c r="S130" i="15"/>
  <c r="M130" i="15"/>
  <c r="S129" i="15"/>
  <c r="M129" i="15"/>
  <c r="S128" i="15"/>
  <c r="M128" i="15"/>
  <c r="S127" i="15"/>
  <c r="M127" i="15"/>
  <c r="S126" i="15"/>
  <c r="M126" i="15"/>
  <c r="T125" i="15"/>
  <c r="S125" i="15" s="1"/>
  <c r="M125" i="15"/>
  <c r="S124" i="15"/>
  <c r="M124" i="15"/>
  <c r="S123" i="15"/>
  <c r="M123" i="15"/>
  <c r="S122" i="15"/>
  <c r="M122" i="15"/>
  <c r="S121" i="15"/>
  <c r="M121" i="15"/>
  <c r="S120" i="15"/>
  <c r="M120" i="15"/>
  <c r="S119" i="15"/>
  <c r="M119" i="15"/>
  <c r="T118" i="15"/>
  <c r="S118" i="15"/>
  <c r="M118" i="15"/>
  <c r="S117" i="15"/>
  <c r="M117" i="15"/>
  <c r="S116" i="15"/>
  <c r="M116" i="15"/>
  <c r="S115" i="15"/>
  <c r="M115" i="15"/>
  <c r="S114" i="15"/>
  <c r="M114" i="15"/>
  <c r="S113" i="15"/>
  <c r="M113" i="15"/>
  <c r="T112" i="15"/>
  <c r="S112" i="15" s="1"/>
  <c r="M112" i="15"/>
  <c r="S111" i="15"/>
  <c r="M111" i="15"/>
  <c r="T110" i="15"/>
  <c r="S110" i="15"/>
  <c r="M110" i="15"/>
  <c r="S109" i="15"/>
  <c r="M109" i="15"/>
  <c r="S108" i="15"/>
  <c r="M108" i="15"/>
  <c r="S107" i="15"/>
  <c r="M107" i="15"/>
  <c r="T106" i="15"/>
  <c r="S106" i="15" s="1"/>
  <c r="M106" i="15"/>
  <c r="S105" i="15"/>
  <c r="M105" i="15"/>
  <c r="S104" i="15"/>
  <c r="M104" i="15"/>
  <c r="S103" i="15"/>
  <c r="M103" i="15"/>
  <c r="S102" i="15"/>
  <c r="M102" i="15"/>
  <c r="S101" i="15"/>
  <c r="M101" i="15"/>
  <c r="S100" i="15"/>
  <c r="M100" i="15"/>
  <c r="S99" i="15"/>
  <c r="M99" i="15"/>
  <c r="S98" i="15"/>
  <c r="M98" i="15"/>
  <c r="S97" i="15"/>
  <c r="M97" i="15"/>
  <c r="S96" i="15"/>
  <c r="M96" i="15"/>
  <c r="S95" i="15"/>
  <c r="M95" i="15"/>
  <c r="M94" i="15"/>
  <c r="S93" i="15"/>
  <c r="M93" i="15"/>
  <c r="S92" i="15"/>
  <c r="M92" i="15"/>
  <c r="S91" i="15"/>
  <c r="M91" i="15"/>
  <c r="S90" i="15"/>
  <c r="M90" i="15"/>
  <c r="S89" i="15"/>
  <c r="M89" i="15"/>
  <c r="S88" i="15"/>
  <c r="M88" i="15"/>
  <c r="S87" i="15"/>
  <c r="M87" i="15"/>
  <c r="S86" i="15"/>
  <c r="M86" i="15"/>
  <c r="S85" i="15"/>
  <c r="M85" i="15"/>
  <c r="S84" i="15"/>
  <c r="M84" i="15"/>
  <c r="S83" i="15"/>
  <c r="M83" i="15"/>
  <c r="S82" i="15"/>
  <c r="M82" i="15"/>
  <c r="S81" i="15"/>
  <c r="M81" i="15"/>
  <c r="S80" i="15"/>
  <c r="M80" i="15"/>
  <c r="S79" i="15"/>
  <c r="M79" i="15"/>
  <c r="S78" i="15"/>
  <c r="M78" i="15"/>
  <c r="S77" i="15"/>
  <c r="M77" i="15"/>
  <c r="S76" i="15"/>
  <c r="M76" i="15"/>
  <c r="S75" i="15"/>
  <c r="M75" i="15"/>
  <c r="S74" i="15"/>
  <c r="M74" i="15"/>
  <c r="S73" i="15"/>
  <c r="M73" i="15"/>
  <c r="S72" i="15"/>
  <c r="M72" i="15"/>
  <c r="S71" i="15"/>
  <c r="M71" i="15"/>
  <c r="S70" i="15"/>
  <c r="M70" i="15"/>
  <c r="S69" i="15"/>
  <c r="M69" i="15"/>
  <c r="S68" i="15"/>
  <c r="M68" i="15"/>
  <c r="S67" i="15"/>
  <c r="M67" i="15"/>
  <c r="S66" i="15"/>
  <c r="M66" i="15"/>
  <c r="S65" i="15"/>
  <c r="M65" i="15"/>
  <c r="S64" i="15"/>
  <c r="M64" i="15"/>
  <c r="S63" i="15"/>
  <c r="M63" i="15"/>
  <c r="S62" i="15"/>
  <c r="M62" i="15"/>
  <c r="S61" i="15"/>
  <c r="M61" i="15"/>
  <c r="S60" i="15"/>
  <c r="M60" i="15"/>
  <c r="S59" i="15"/>
  <c r="M59" i="15"/>
  <c r="S58" i="15"/>
  <c r="M58" i="15"/>
  <c r="S57" i="15"/>
  <c r="M57" i="15"/>
  <c r="S56" i="15"/>
  <c r="M56" i="15"/>
  <c r="S55" i="15"/>
  <c r="M55" i="15"/>
  <c r="T54" i="15"/>
  <c r="S54" i="15" s="1"/>
  <c r="M54" i="15"/>
  <c r="S53" i="15"/>
  <c r="M53" i="15"/>
  <c r="S52" i="15"/>
  <c r="M52" i="15"/>
  <c r="S51" i="15"/>
  <c r="M51" i="15"/>
  <c r="S50" i="15"/>
  <c r="M50" i="15"/>
  <c r="S49" i="15"/>
  <c r="M49" i="15"/>
  <c r="S48" i="15"/>
  <c r="M48" i="15"/>
  <c r="S47" i="15"/>
  <c r="M47" i="15"/>
  <c r="S46" i="15"/>
  <c r="M46" i="15"/>
  <c r="S45" i="15"/>
  <c r="M45" i="15"/>
  <c r="S44" i="15"/>
  <c r="M44" i="15"/>
  <c r="S43" i="15"/>
  <c r="M43" i="15"/>
  <c r="S42" i="15"/>
  <c r="M42" i="15"/>
  <c r="S41" i="15"/>
  <c r="M41" i="15"/>
  <c r="S40" i="15"/>
  <c r="M40" i="15"/>
  <c r="S39" i="15"/>
  <c r="M39" i="15"/>
  <c r="S38" i="15"/>
  <c r="M38" i="15"/>
  <c r="S37" i="15"/>
  <c r="M37" i="15"/>
  <c r="T36" i="15"/>
  <c r="S36" i="15"/>
  <c r="N36" i="15"/>
  <c r="M287" i="15" s="1"/>
  <c r="M36" i="15"/>
  <c r="S35" i="15"/>
  <c r="M35" i="15"/>
  <c r="S34" i="15"/>
  <c r="M34" i="15"/>
  <c r="S33" i="15"/>
  <c r="M33" i="15"/>
  <c r="M32" i="15"/>
  <c r="S31" i="15"/>
  <c r="M31" i="15"/>
  <c r="S30" i="15"/>
  <c r="M30" i="15"/>
  <c r="S29" i="15"/>
  <c r="M29" i="15"/>
  <c r="S28" i="15"/>
  <c r="M28" i="15"/>
  <c r="S27" i="15"/>
  <c r="M27" i="15"/>
  <c r="S26" i="15"/>
  <c r="M26" i="15"/>
  <c r="S25" i="15"/>
  <c r="M25" i="15"/>
  <c r="S24" i="15"/>
  <c r="M24" i="15"/>
  <c r="S23" i="15"/>
  <c r="M23" i="15"/>
  <c r="S22" i="15"/>
  <c r="M22" i="15"/>
  <c r="S21" i="15"/>
  <c r="R286" i="15" s="1"/>
  <c r="M21" i="15"/>
  <c r="T20" i="15"/>
  <c r="S287" i="15" s="1"/>
  <c r="M20" i="15"/>
  <c r="S19" i="15"/>
  <c r="M19" i="15"/>
  <c r="S18" i="15"/>
  <c r="M18" i="15"/>
  <c r="S17" i="15"/>
  <c r="M17" i="15"/>
  <c r="S16" i="15"/>
  <c r="M16" i="15"/>
  <c r="S15" i="15"/>
  <c r="M15" i="15"/>
  <c r="S14" i="15"/>
  <c r="M14" i="15"/>
  <c r="S13" i="15"/>
  <c r="M13" i="15"/>
  <c r="S12" i="15"/>
  <c r="M12" i="15"/>
  <c r="L287" i="15" s="1"/>
  <c r="S11" i="15"/>
  <c r="M11" i="15"/>
  <c r="S10" i="15"/>
  <c r="R288" i="15" s="1"/>
  <c r="M10" i="15"/>
  <c r="L288" i="15" s="1"/>
  <c r="S9" i="15"/>
  <c r="M9" i="15"/>
  <c r="L286" i="15" s="1"/>
  <c r="T280" i="14"/>
  <c r="S280" i="14"/>
  <c r="S281" i="14" s="1"/>
  <c r="Q280" i="14"/>
  <c r="Q281" i="14" s="1"/>
  <c r="P280" i="14"/>
  <c r="P281" i="14" s="1"/>
  <c r="O280" i="14"/>
  <c r="O281" i="14" s="1"/>
  <c r="N280" i="14"/>
  <c r="N281" i="14" s="1"/>
  <c r="M280" i="14"/>
  <c r="M281" i="14" s="1"/>
  <c r="K280" i="14"/>
  <c r="K281" i="14" s="1"/>
  <c r="J280" i="14"/>
  <c r="J281" i="14" s="1"/>
  <c r="I280" i="14"/>
  <c r="I281" i="14" s="1"/>
  <c r="H280" i="14"/>
  <c r="H281" i="14" s="1"/>
  <c r="G280" i="14"/>
  <c r="G281" i="14" s="1"/>
  <c r="S279" i="14"/>
  <c r="U279" i="14" s="1"/>
  <c r="Q279" i="14"/>
  <c r="P279" i="14"/>
  <c r="O279" i="14"/>
  <c r="M279" i="14"/>
  <c r="K279" i="14"/>
  <c r="J279" i="14"/>
  <c r="V279" i="14" s="1"/>
  <c r="I279" i="14"/>
  <c r="H279" i="14"/>
  <c r="G279" i="14"/>
  <c r="T278" i="14"/>
  <c r="S278" i="14"/>
  <c r="U278" i="14" s="1"/>
  <c r="Q278" i="14"/>
  <c r="P278" i="14"/>
  <c r="O278" i="14"/>
  <c r="N278" i="14"/>
  <c r="M278" i="14"/>
  <c r="K278" i="14"/>
  <c r="J278" i="14"/>
  <c r="V278" i="14" s="1"/>
  <c r="I278" i="14"/>
  <c r="H278" i="14"/>
  <c r="G278" i="14"/>
  <c r="T272" i="14"/>
  <c r="R272" i="14"/>
  <c r="Q272" i="14"/>
  <c r="P272" i="14"/>
  <c r="N272" i="14"/>
  <c r="L272" i="14"/>
  <c r="K272" i="14"/>
  <c r="J272" i="14"/>
  <c r="I272" i="14"/>
  <c r="H272" i="14"/>
  <c r="S271" i="14"/>
  <c r="M271" i="14"/>
  <c r="S270" i="14"/>
  <c r="M270" i="14"/>
  <c r="S269" i="14"/>
  <c r="M269" i="14"/>
  <c r="S268" i="14"/>
  <c r="M268" i="14"/>
  <c r="U267" i="14"/>
  <c r="S267" i="14"/>
  <c r="M267" i="14"/>
  <c r="S266" i="14"/>
  <c r="M266" i="14"/>
  <c r="M265" i="14"/>
  <c r="S264" i="14"/>
  <c r="M264" i="14"/>
  <c r="S263" i="14"/>
  <c r="M263" i="14"/>
  <c r="S262" i="14"/>
  <c r="M262" i="14"/>
  <c r="S261" i="14"/>
  <c r="M261" i="14"/>
  <c r="S260" i="14"/>
  <c r="M260" i="14"/>
  <c r="S259" i="14"/>
  <c r="M259" i="14"/>
  <c r="S258" i="14"/>
  <c r="M258" i="14"/>
  <c r="U257" i="14"/>
  <c r="S257" i="14"/>
  <c r="M257" i="14"/>
  <c r="S256" i="14"/>
  <c r="M256" i="14"/>
  <c r="S255" i="14"/>
  <c r="M255" i="14"/>
  <c r="S254" i="14"/>
  <c r="M254" i="14"/>
  <c r="U253" i="14"/>
  <c r="S253" i="14" s="1"/>
  <c r="M253" i="14"/>
  <c r="S252" i="14"/>
  <c r="M252" i="14"/>
  <c r="S251" i="14"/>
  <c r="M251" i="14"/>
  <c r="S250" i="14"/>
  <c r="M250" i="14"/>
  <c r="S249" i="14"/>
  <c r="M249" i="14"/>
  <c r="S248" i="14"/>
  <c r="M248" i="14"/>
  <c r="U247" i="14"/>
  <c r="S247" i="14"/>
  <c r="M247" i="14"/>
  <c r="S246" i="14"/>
  <c r="M246" i="14"/>
  <c r="S245" i="14"/>
  <c r="M245" i="14"/>
  <c r="S244" i="14"/>
  <c r="M244" i="14"/>
  <c r="S243" i="14"/>
  <c r="M243" i="14"/>
  <c r="S242" i="14"/>
  <c r="M242" i="14"/>
  <c r="S241" i="14"/>
  <c r="M241" i="14"/>
  <c r="S240" i="14"/>
  <c r="M240" i="14"/>
  <c r="S239" i="14"/>
  <c r="M239" i="14"/>
  <c r="S238" i="14"/>
  <c r="M238" i="14"/>
  <c r="S237" i="14"/>
  <c r="M237" i="14"/>
  <c r="S236" i="14"/>
  <c r="M236" i="14"/>
  <c r="S235" i="14"/>
  <c r="M235" i="14"/>
  <c r="S234" i="14"/>
  <c r="M234" i="14"/>
  <c r="S233" i="14"/>
  <c r="M233" i="14"/>
  <c r="S232" i="14"/>
  <c r="M232" i="14"/>
  <c r="S231" i="14"/>
  <c r="M231" i="14"/>
  <c r="S230" i="14"/>
  <c r="M230" i="14"/>
  <c r="S229" i="14"/>
  <c r="M229" i="14"/>
  <c r="S228" i="14"/>
  <c r="M228" i="14"/>
  <c r="S227" i="14"/>
  <c r="M227" i="14"/>
  <c r="S226" i="14"/>
  <c r="M226" i="14"/>
  <c r="S225" i="14"/>
  <c r="M225" i="14"/>
  <c r="S224" i="14"/>
  <c r="M224" i="14"/>
  <c r="S223" i="14"/>
  <c r="M223" i="14"/>
  <c r="S222" i="14"/>
  <c r="M222" i="14"/>
  <c r="S221" i="14"/>
  <c r="M221" i="14"/>
  <c r="S220" i="14"/>
  <c r="M220" i="14"/>
  <c r="S219" i="14"/>
  <c r="M219" i="14"/>
  <c r="S218" i="14"/>
  <c r="M218" i="14"/>
  <c r="M217" i="14"/>
  <c r="S216" i="14"/>
  <c r="M216" i="14"/>
  <c r="S215" i="14"/>
  <c r="M215" i="14"/>
  <c r="S214" i="14"/>
  <c r="M214" i="14"/>
  <c r="S213" i="14"/>
  <c r="M213" i="14"/>
  <c r="S212" i="14"/>
  <c r="M212" i="14"/>
  <c r="S211" i="14"/>
  <c r="M211" i="14"/>
  <c r="S210" i="14"/>
  <c r="M210" i="14"/>
  <c r="S209" i="14"/>
  <c r="M209" i="14"/>
  <c r="S208" i="14"/>
  <c r="M208" i="14"/>
  <c r="S207" i="14"/>
  <c r="M207" i="14"/>
  <c r="S206" i="14"/>
  <c r="M206" i="14"/>
  <c r="U205" i="14"/>
  <c r="S205" i="14"/>
  <c r="M205" i="14"/>
  <c r="S204" i="14"/>
  <c r="M204" i="14"/>
  <c r="S203" i="14"/>
  <c r="M203" i="14"/>
  <c r="S202" i="14"/>
  <c r="M202" i="14"/>
  <c r="M201" i="14"/>
  <c r="S200" i="14"/>
  <c r="M200" i="14"/>
  <c r="U199" i="14"/>
  <c r="S199" i="14"/>
  <c r="M199" i="14"/>
  <c r="S198" i="14"/>
  <c r="M198" i="14"/>
  <c r="S197" i="14"/>
  <c r="M197" i="14"/>
  <c r="S196" i="14"/>
  <c r="M196" i="14"/>
  <c r="S195" i="14"/>
  <c r="M195" i="14"/>
  <c r="S194" i="14"/>
  <c r="M194" i="14"/>
  <c r="S193" i="14"/>
  <c r="M193" i="14"/>
  <c r="S192" i="14"/>
  <c r="M192" i="14"/>
  <c r="S191" i="14"/>
  <c r="M191" i="14"/>
  <c r="S190" i="14"/>
  <c r="M190" i="14"/>
  <c r="S189" i="14"/>
  <c r="M189" i="14"/>
  <c r="S188" i="14"/>
  <c r="M188" i="14"/>
  <c r="S187" i="14"/>
  <c r="M187" i="14"/>
  <c r="S186" i="14"/>
  <c r="M186" i="14"/>
  <c r="S185" i="14"/>
  <c r="M185" i="14"/>
  <c r="S184" i="14"/>
  <c r="M184" i="14"/>
  <c r="S183" i="14"/>
  <c r="M183" i="14"/>
  <c r="S182" i="14"/>
  <c r="M182" i="14"/>
  <c r="S181" i="14"/>
  <c r="M181" i="14"/>
  <c r="M180" i="14"/>
  <c r="S179" i="14"/>
  <c r="M179" i="14"/>
  <c r="S178" i="14"/>
  <c r="M178" i="14"/>
  <c r="S177" i="14"/>
  <c r="M177" i="14"/>
  <c r="S176" i="14"/>
  <c r="M176" i="14"/>
  <c r="S175" i="14"/>
  <c r="M175" i="14"/>
  <c r="U174" i="14"/>
  <c r="S174" i="14"/>
  <c r="M174" i="14"/>
  <c r="S173" i="14"/>
  <c r="M173" i="14"/>
  <c r="S172" i="14"/>
  <c r="M172" i="14"/>
  <c r="S171" i="14"/>
  <c r="M171" i="14"/>
  <c r="S170" i="14"/>
  <c r="M170" i="14"/>
  <c r="S169" i="14"/>
  <c r="M169" i="14"/>
  <c r="S168" i="14"/>
  <c r="M168" i="14"/>
  <c r="S167" i="14"/>
  <c r="M167" i="14"/>
  <c r="S166" i="14"/>
  <c r="M166" i="14"/>
  <c r="S165" i="14"/>
  <c r="M165" i="14"/>
  <c r="S164" i="14"/>
  <c r="O164" i="14"/>
  <c r="M164" i="14"/>
  <c r="S163" i="14"/>
  <c r="M163" i="14"/>
  <c r="U162" i="14"/>
  <c r="S162" i="14"/>
  <c r="M162" i="14"/>
  <c r="S161" i="14"/>
  <c r="M161" i="14"/>
  <c r="S160" i="14"/>
  <c r="M160" i="14"/>
  <c r="S159" i="14"/>
  <c r="M159" i="14"/>
  <c r="U158" i="14"/>
  <c r="S158" i="14" s="1"/>
  <c r="M158" i="14"/>
  <c r="S157" i="14"/>
  <c r="M157" i="14"/>
  <c r="S156" i="14"/>
  <c r="M156" i="14"/>
  <c r="S155" i="14"/>
  <c r="M155" i="14"/>
  <c r="S154" i="14"/>
  <c r="M154" i="14"/>
  <c r="S153" i="14"/>
  <c r="M153" i="14"/>
  <c r="S152" i="14"/>
  <c r="M152" i="14"/>
  <c r="S151" i="14"/>
  <c r="M151" i="14"/>
  <c r="U150" i="14"/>
  <c r="S150" i="14"/>
  <c r="M150" i="14"/>
  <c r="S149" i="14"/>
  <c r="M149" i="14"/>
  <c r="S148" i="14"/>
  <c r="M148" i="14"/>
  <c r="S147" i="14"/>
  <c r="M147" i="14"/>
  <c r="S146" i="14"/>
  <c r="M146" i="14"/>
  <c r="S145" i="14"/>
  <c r="M145" i="14"/>
  <c r="S144" i="14"/>
  <c r="O144" i="14"/>
  <c r="M144" i="14"/>
  <c r="S143" i="14"/>
  <c r="M143" i="14"/>
  <c r="U142" i="14"/>
  <c r="S142" i="14"/>
  <c r="O142" i="14"/>
  <c r="M142" i="14"/>
  <c r="S141" i="14"/>
  <c r="M141" i="14"/>
  <c r="S140" i="14"/>
  <c r="M140" i="14"/>
  <c r="S139" i="14"/>
  <c r="M139" i="14"/>
  <c r="S138" i="14"/>
  <c r="M138" i="14"/>
  <c r="S137" i="14"/>
  <c r="M137" i="14"/>
  <c r="S136" i="14"/>
  <c r="M136" i="14"/>
  <c r="S135" i="14"/>
  <c r="M135" i="14"/>
  <c r="S134" i="14"/>
  <c r="M134" i="14"/>
  <c r="S133" i="14"/>
  <c r="M133" i="14"/>
  <c r="S132" i="14"/>
  <c r="M132" i="14"/>
  <c r="S131" i="14"/>
  <c r="M131" i="14"/>
  <c r="S130" i="14"/>
  <c r="M130" i="14"/>
  <c r="S129" i="14"/>
  <c r="M129" i="14"/>
  <c r="S128" i="14"/>
  <c r="M128" i="14"/>
  <c r="S127" i="14"/>
  <c r="M127" i="14"/>
  <c r="S126" i="14"/>
  <c r="M126" i="14"/>
  <c r="S125" i="14"/>
  <c r="M125" i="14"/>
  <c r="S124" i="14"/>
  <c r="M124" i="14"/>
  <c r="U123" i="14"/>
  <c r="S123" i="14"/>
  <c r="M123" i="14"/>
  <c r="S122" i="14"/>
  <c r="M122" i="14"/>
  <c r="S121" i="14"/>
  <c r="M121" i="14"/>
  <c r="S120" i="14"/>
  <c r="M120" i="14"/>
  <c r="S119" i="14"/>
  <c r="M119" i="14"/>
  <c r="S118" i="14"/>
  <c r="M118" i="14"/>
  <c r="S117" i="14"/>
  <c r="M117" i="14"/>
  <c r="U116" i="14"/>
  <c r="S116" i="14" s="1"/>
  <c r="M116" i="14"/>
  <c r="S115" i="14"/>
  <c r="M115" i="14"/>
  <c r="S114" i="14"/>
  <c r="M114" i="14"/>
  <c r="S113" i="14"/>
  <c r="M113" i="14"/>
  <c r="S112" i="14"/>
  <c r="M112" i="14"/>
  <c r="S111" i="14"/>
  <c r="M111" i="14"/>
  <c r="U110" i="14"/>
  <c r="S110" i="14"/>
  <c r="M110" i="14"/>
  <c r="S109" i="14"/>
  <c r="M109" i="14"/>
  <c r="U108" i="14"/>
  <c r="S108" i="14" s="1"/>
  <c r="M108" i="14"/>
  <c r="S107" i="14"/>
  <c r="M107" i="14"/>
  <c r="S106" i="14"/>
  <c r="M106" i="14"/>
  <c r="S105" i="14"/>
  <c r="M105" i="14"/>
  <c r="U104" i="14"/>
  <c r="S104" i="14"/>
  <c r="M104" i="14"/>
  <c r="S103" i="14"/>
  <c r="M103" i="14"/>
  <c r="S102" i="14"/>
  <c r="M102" i="14"/>
  <c r="S101" i="14"/>
  <c r="M101" i="14"/>
  <c r="S100" i="14"/>
  <c r="M100" i="14"/>
  <c r="S99" i="14"/>
  <c r="M99" i="14"/>
  <c r="S98" i="14"/>
  <c r="M98" i="14"/>
  <c r="S97" i="14"/>
  <c r="M97" i="14"/>
  <c r="S96" i="14"/>
  <c r="M96" i="14"/>
  <c r="S95" i="14"/>
  <c r="M95" i="14"/>
  <c r="S94" i="14"/>
  <c r="M94" i="14"/>
  <c r="S93" i="14"/>
  <c r="M93" i="14"/>
  <c r="M92" i="14"/>
  <c r="S91" i="14"/>
  <c r="M91" i="14"/>
  <c r="S90" i="14"/>
  <c r="M90" i="14"/>
  <c r="S89" i="14"/>
  <c r="M89" i="14"/>
  <c r="S88" i="14"/>
  <c r="M88" i="14"/>
  <c r="S87" i="14"/>
  <c r="M87" i="14"/>
  <c r="S86" i="14"/>
  <c r="M86" i="14"/>
  <c r="S85" i="14"/>
  <c r="M85" i="14"/>
  <c r="S84" i="14"/>
  <c r="M84" i="14"/>
  <c r="S83" i="14"/>
  <c r="M83" i="14"/>
  <c r="S82" i="14"/>
  <c r="M82" i="14"/>
  <c r="S81" i="14"/>
  <c r="M81" i="14"/>
  <c r="S80" i="14"/>
  <c r="M80" i="14"/>
  <c r="S79" i="14"/>
  <c r="M79" i="14"/>
  <c r="S78" i="14"/>
  <c r="M78" i="14"/>
  <c r="S77" i="14"/>
  <c r="M77" i="14"/>
  <c r="S76" i="14"/>
  <c r="M76" i="14"/>
  <c r="S75" i="14"/>
  <c r="M75" i="14"/>
  <c r="S74" i="14"/>
  <c r="M74" i="14"/>
  <c r="S73" i="14"/>
  <c r="M73" i="14"/>
  <c r="S72" i="14"/>
  <c r="M72" i="14"/>
  <c r="S71" i="14"/>
  <c r="M71" i="14"/>
  <c r="S70" i="14"/>
  <c r="M70" i="14"/>
  <c r="S69" i="14"/>
  <c r="M69" i="14"/>
  <c r="S68" i="14"/>
  <c r="M68" i="14"/>
  <c r="S67" i="14"/>
  <c r="M67" i="14"/>
  <c r="S66" i="14"/>
  <c r="M66" i="14"/>
  <c r="S65" i="14"/>
  <c r="M65" i="14"/>
  <c r="S64" i="14"/>
  <c r="M64" i="14"/>
  <c r="S63" i="14"/>
  <c r="M63" i="14"/>
  <c r="S62" i="14"/>
  <c r="M62" i="14"/>
  <c r="S61" i="14"/>
  <c r="M61" i="14"/>
  <c r="S60" i="14"/>
  <c r="M60" i="14"/>
  <c r="S59" i="14"/>
  <c r="M59" i="14"/>
  <c r="S58" i="14"/>
  <c r="M58" i="14"/>
  <c r="S57" i="14"/>
  <c r="M57" i="14"/>
  <c r="S56" i="14"/>
  <c r="M56" i="14"/>
  <c r="S55" i="14"/>
  <c r="M55" i="14"/>
  <c r="S54" i="14"/>
  <c r="M54" i="14"/>
  <c r="S53" i="14"/>
  <c r="M53" i="14"/>
  <c r="U52" i="14"/>
  <c r="S52" i="14"/>
  <c r="M52" i="14"/>
  <c r="S51" i="14"/>
  <c r="M51" i="14"/>
  <c r="S50" i="14"/>
  <c r="M50" i="14"/>
  <c r="S49" i="14"/>
  <c r="M49" i="14"/>
  <c r="S48" i="14"/>
  <c r="M48" i="14"/>
  <c r="S47" i="14"/>
  <c r="M47" i="14"/>
  <c r="S46" i="14"/>
  <c r="M46" i="14"/>
  <c r="S45" i="14"/>
  <c r="M45" i="14"/>
  <c r="S44" i="14"/>
  <c r="M44" i="14"/>
  <c r="S43" i="14"/>
  <c r="M43" i="14"/>
  <c r="S42" i="14"/>
  <c r="M42" i="14"/>
  <c r="S41" i="14"/>
  <c r="M41" i="14"/>
  <c r="S40" i="14"/>
  <c r="M40" i="14"/>
  <c r="S39" i="14"/>
  <c r="M39" i="14"/>
  <c r="S38" i="14"/>
  <c r="M38" i="14"/>
  <c r="S37" i="14"/>
  <c r="M37" i="14"/>
  <c r="U36" i="14"/>
  <c r="S36" i="14" s="1"/>
  <c r="O36" i="14"/>
  <c r="N279" i="14" s="1"/>
  <c r="S35" i="14"/>
  <c r="M35" i="14"/>
  <c r="S34" i="14"/>
  <c r="M34" i="14"/>
  <c r="S33" i="14"/>
  <c r="M33" i="14"/>
  <c r="M32" i="14"/>
  <c r="S31" i="14"/>
  <c r="M31" i="14"/>
  <c r="S30" i="14"/>
  <c r="M30" i="14"/>
  <c r="S29" i="14"/>
  <c r="M29" i="14"/>
  <c r="S28" i="14"/>
  <c r="M28" i="14"/>
  <c r="S27" i="14"/>
  <c r="M27" i="14"/>
  <c r="S26" i="14"/>
  <c r="M26" i="14"/>
  <c r="S25" i="14"/>
  <c r="M25" i="14"/>
  <c r="S24" i="14"/>
  <c r="M24" i="14"/>
  <c r="S23" i="14"/>
  <c r="M23" i="14"/>
  <c r="S22" i="14"/>
  <c r="M22" i="14"/>
  <c r="S21" i="14"/>
  <c r="M21" i="14"/>
  <c r="U20" i="14"/>
  <c r="T279" i="14" s="1"/>
  <c r="S20" i="14"/>
  <c r="M20" i="14"/>
  <c r="S19" i="14"/>
  <c r="M19" i="14"/>
  <c r="S18" i="14"/>
  <c r="M18" i="14"/>
  <c r="S17" i="14"/>
  <c r="M17" i="14"/>
  <c r="S16" i="14"/>
  <c r="M16" i="14"/>
  <c r="S15" i="14"/>
  <c r="M15" i="14"/>
  <c r="S14" i="14"/>
  <c r="M14" i="14"/>
  <c r="S13" i="14"/>
  <c r="M13" i="14"/>
  <c r="S12" i="14"/>
  <c r="R279" i="14" s="1"/>
  <c r="M12" i="14"/>
  <c r="S11" i="14"/>
  <c r="M11" i="14"/>
  <c r="S10" i="14"/>
  <c r="R280" i="14" s="1"/>
  <c r="M10" i="14"/>
  <c r="L280" i="14" s="1"/>
  <c r="S9" i="14"/>
  <c r="R278" i="14" s="1"/>
  <c r="M9" i="14"/>
  <c r="L278" i="14" s="1"/>
  <c r="T270" i="13"/>
  <c r="T271" i="13" s="1"/>
  <c r="S270" i="13"/>
  <c r="S271" i="13" s="1"/>
  <c r="Q270" i="13"/>
  <c r="Q271" i="13" s="1"/>
  <c r="P270" i="13"/>
  <c r="P271" i="13" s="1"/>
  <c r="O270" i="13"/>
  <c r="O271" i="13" s="1"/>
  <c r="N270" i="13"/>
  <c r="N271" i="13" s="1"/>
  <c r="M270" i="13"/>
  <c r="M271" i="13" s="1"/>
  <c r="K270" i="13"/>
  <c r="K271" i="13" s="1"/>
  <c r="J270" i="13"/>
  <c r="J271" i="13" s="1"/>
  <c r="I270" i="13"/>
  <c r="I271" i="13" s="1"/>
  <c r="H270" i="13"/>
  <c r="H271" i="13" s="1"/>
  <c r="G270" i="13"/>
  <c r="G271" i="13" s="1"/>
  <c r="T269" i="13"/>
  <c r="S269" i="13"/>
  <c r="U269" i="13" s="1"/>
  <c r="Q269" i="13"/>
  <c r="P269" i="13"/>
  <c r="O269" i="13"/>
  <c r="N269" i="13"/>
  <c r="M269" i="13"/>
  <c r="K269" i="13"/>
  <c r="J269" i="13"/>
  <c r="V269" i="13" s="1"/>
  <c r="I269" i="13"/>
  <c r="H269" i="13"/>
  <c r="G269" i="13"/>
  <c r="T268" i="13"/>
  <c r="S268" i="13"/>
  <c r="U268" i="13" s="1"/>
  <c r="Q268" i="13"/>
  <c r="P268" i="13"/>
  <c r="O268" i="13"/>
  <c r="N268" i="13"/>
  <c r="M268" i="13"/>
  <c r="K268" i="13"/>
  <c r="J268" i="13"/>
  <c r="V268" i="13" s="1"/>
  <c r="I268" i="13"/>
  <c r="H268" i="13"/>
  <c r="G268" i="13"/>
  <c r="U262" i="13"/>
  <c r="T262" i="13"/>
  <c r="R262" i="13"/>
  <c r="Q262" i="13"/>
  <c r="P262" i="13"/>
  <c r="O262" i="13"/>
  <c r="N262" i="13"/>
  <c r="L262" i="13"/>
  <c r="K262" i="13"/>
  <c r="J262" i="13"/>
  <c r="I262" i="13"/>
  <c r="H262" i="13"/>
  <c r="S261" i="13"/>
  <c r="M261" i="13"/>
  <c r="S260" i="13"/>
  <c r="M260" i="13"/>
  <c r="S259" i="13"/>
  <c r="M259" i="13"/>
  <c r="S258" i="13"/>
  <c r="M258" i="13"/>
  <c r="S257" i="13"/>
  <c r="M257" i="13"/>
  <c r="S256" i="13"/>
  <c r="M256" i="13"/>
  <c r="M255" i="13"/>
  <c r="S254" i="13"/>
  <c r="M254" i="13"/>
  <c r="S253" i="13"/>
  <c r="M253" i="13"/>
  <c r="S252" i="13"/>
  <c r="M252" i="13"/>
  <c r="S251" i="13"/>
  <c r="M251" i="13"/>
  <c r="S250" i="13"/>
  <c r="M250" i="13"/>
  <c r="S249" i="13"/>
  <c r="M249" i="13"/>
  <c r="S248" i="13"/>
  <c r="M248" i="13"/>
  <c r="S247" i="13"/>
  <c r="M247" i="13"/>
  <c r="S246" i="13"/>
  <c r="M246" i="13"/>
  <c r="S245" i="13"/>
  <c r="M245" i="13"/>
  <c r="S244" i="13"/>
  <c r="M244" i="13"/>
  <c r="S243" i="13"/>
  <c r="M243" i="13"/>
  <c r="S242" i="13"/>
  <c r="M242" i="13"/>
  <c r="S241" i="13"/>
  <c r="M241" i="13"/>
  <c r="S240" i="13"/>
  <c r="M240" i="13"/>
  <c r="S239" i="13"/>
  <c r="M239" i="13"/>
  <c r="S238" i="13"/>
  <c r="M238" i="13"/>
  <c r="S237" i="13"/>
  <c r="M237" i="13"/>
  <c r="S236" i="13"/>
  <c r="M236" i="13"/>
  <c r="S235" i="13"/>
  <c r="M235" i="13"/>
  <c r="S234" i="13"/>
  <c r="M234" i="13"/>
  <c r="S233" i="13"/>
  <c r="M233" i="13"/>
  <c r="S232" i="13"/>
  <c r="M232" i="13"/>
  <c r="S231" i="13"/>
  <c r="M231" i="13"/>
  <c r="S230" i="13"/>
  <c r="M230" i="13"/>
  <c r="S229" i="13"/>
  <c r="M229" i="13"/>
  <c r="S228" i="13"/>
  <c r="M228" i="13"/>
  <c r="S227" i="13"/>
  <c r="M227" i="13"/>
  <c r="S226" i="13"/>
  <c r="M226" i="13"/>
  <c r="S225" i="13"/>
  <c r="M225" i="13"/>
  <c r="S224" i="13"/>
  <c r="M224" i="13"/>
  <c r="S223" i="13"/>
  <c r="M223" i="13"/>
  <c r="S222" i="13"/>
  <c r="M222" i="13"/>
  <c r="S221" i="13"/>
  <c r="M221" i="13"/>
  <c r="S220" i="13"/>
  <c r="M220" i="13"/>
  <c r="S219" i="13"/>
  <c r="M219" i="13"/>
  <c r="S218" i="13"/>
  <c r="M218" i="13"/>
  <c r="S217" i="13"/>
  <c r="M217" i="13"/>
  <c r="S216" i="13"/>
  <c r="M216" i="13"/>
  <c r="S215" i="13"/>
  <c r="M215" i="13"/>
  <c r="S214" i="13"/>
  <c r="M214" i="13"/>
  <c r="S213" i="13"/>
  <c r="M213" i="13"/>
  <c r="S212" i="13"/>
  <c r="M212" i="13"/>
  <c r="S211" i="13"/>
  <c r="M211" i="13"/>
  <c r="S210" i="13"/>
  <c r="M210" i="13"/>
  <c r="M209" i="13"/>
  <c r="S208" i="13"/>
  <c r="M208" i="13"/>
  <c r="S207" i="13"/>
  <c r="M207" i="13"/>
  <c r="S206" i="13"/>
  <c r="M206" i="13"/>
  <c r="S205" i="13"/>
  <c r="M205" i="13"/>
  <c r="S204" i="13"/>
  <c r="M204" i="13"/>
  <c r="S203" i="13"/>
  <c r="M203" i="13"/>
  <c r="S202" i="13"/>
  <c r="M202" i="13"/>
  <c r="S201" i="13"/>
  <c r="M201" i="13"/>
  <c r="S200" i="13"/>
  <c r="M200" i="13"/>
  <c r="S199" i="13"/>
  <c r="M199" i="13"/>
  <c r="S198" i="13"/>
  <c r="M198" i="13"/>
  <c r="S197" i="13"/>
  <c r="M197" i="13"/>
  <c r="S196" i="13"/>
  <c r="M196" i="13"/>
  <c r="S195" i="13"/>
  <c r="M195" i="13"/>
  <c r="S194" i="13"/>
  <c r="M194" i="13"/>
  <c r="M193" i="13"/>
  <c r="S192" i="13"/>
  <c r="M192" i="13"/>
  <c r="S191" i="13"/>
  <c r="M191" i="13"/>
  <c r="S190" i="13"/>
  <c r="M190" i="13"/>
  <c r="S189" i="13"/>
  <c r="M189" i="13"/>
  <c r="S188" i="13"/>
  <c r="M188" i="13"/>
  <c r="S187" i="13"/>
  <c r="M187" i="13"/>
  <c r="S186" i="13"/>
  <c r="M186" i="13"/>
  <c r="S185" i="13"/>
  <c r="M185" i="13"/>
  <c r="S184" i="13"/>
  <c r="M184" i="13"/>
  <c r="S183" i="13"/>
  <c r="M183" i="13"/>
  <c r="S182" i="13"/>
  <c r="M182" i="13"/>
  <c r="S181" i="13"/>
  <c r="M181" i="13"/>
  <c r="S180" i="13"/>
  <c r="M180" i="13"/>
  <c r="S179" i="13"/>
  <c r="M179" i="13"/>
  <c r="S178" i="13"/>
  <c r="M178" i="13"/>
  <c r="S177" i="13"/>
  <c r="M177" i="13"/>
  <c r="S176" i="13"/>
  <c r="M176" i="13"/>
  <c r="S175" i="13"/>
  <c r="M175" i="13"/>
  <c r="S174" i="13"/>
  <c r="M174" i="13"/>
  <c r="S173" i="13"/>
  <c r="M173" i="13"/>
  <c r="M172" i="13"/>
  <c r="S171" i="13"/>
  <c r="M171" i="13"/>
  <c r="S170" i="13"/>
  <c r="M170" i="13"/>
  <c r="S169" i="13"/>
  <c r="M169" i="13"/>
  <c r="S168" i="13"/>
  <c r="M168" i="13"/>
  <c r="S167" i="13"/>
  <c r="M167" i="13"/>
  <c r="S166" i="13"/>
  <c r="M166" i="13"/>
  <c r="S165" i="13"/>
  <c r="M165" i="13"/>
  <c r="S164" i="13"/>
  <c r="M164" i="13"/>
  <c r="S163" i="13"/>
  <c r="M163" i="13"/>
  <c r="S162" i="13"/>
  <c r="M162" i="13"/>
  <c r="S161" i="13"/>
  <c r="M161" i="13"/>
  <c r="S160" i="13"/>
  <c r="M160" i="13"/>
  <c r="S159" i="13"/>
  <c r="M159" i="13"/>
  <c r="S158" i="13"/>
  <c r="M158" i="13"/>
  <c r="S157" i="13"/>
  <c r="M157" i="13"/>
  <c r="S156" i="13"/>
  <c r="M156" i="13"/>
  <c r="S155" i="13"/>
  <c r="M155" i="13"/>
  <c r="S154" i="13"/>
  <c r="M154" i="13"/>
  <c r="S153" i="13"/>
  <c r="M153" i="13"/>
  <c r="S152" i="13"/>
  <c r="M152" i="13"/>
  <c r="S151" i="13"/>
  <c r="M151" i="13"/>
  <c r="S150" i="13"/>
  <c r="M150" i="13"/>
  <c r="S149" i="13"/>
  <c r="M149" i="13"/>
  <c r="S148" i="13"/>
  <c r="M148" i="13"/>
  <c r="S147" i="13"/>
  <c r="M147" i="13"/>
  <c r="S146" i="13"/>
  <c r="M146" i="13"/>
  <c r="S145" i="13"/>
  <c r="M145" i="13"/>
  <c r="S144" i="13"/>
  <c r="M144" i="13"/>
  <c r="S143" i="13"/>
  <c r="M143" i="13"/>
  <c r="S142" i="13"/>
  <c r="M142" i="13"/>
  <c r="S141" i="13"/>
  <c r="M141" i="13"/>
  <c r="S140" i="13"/>
  <c r="M140" i="13"/>
  <c r="S139" i="13"/>
  <c r="M139" i="13"/>
  <c r="S138" i="13"/>
  <c r="M138" i="13"/>
  <c r="S137" i="13"/>
  <c r="M137" i="13"/>
  <c r="S136" i="13"/>
  <c r="M136" i="13"/>
  <c r="S135" i="13"/>
  <c r="M135" i="13"/>
  <c r="S134" i="13"/>
  <c r="M134" i="13"/>
  <c r="S133" i="13"/>
  <c r="M133" i="13"/>
  <c r="S132" i="13"/>
  <c r="M132" i="13"/>
  <c r="S131" i="13"/>
  <c r="M131" i="13"/>
  <c r="S130" i="13"/>
  <c r="M130" i="13"/>
  <c r="M129" i="13"/>
  <c r="S128" i="13"/>
  <c r="M128" i="13"/>
  <c r="S127" i="13"/>
  <c r="M127" i="13"/>
  <c r="S126" i="13"/>
  <c r="M126" i="13"/>
  <c r="S125" i="13"/>
  <c r="M125" i="13"/>
  <c r="S124" i="13"/>
  <c r="M124" i="13"/>
  <c r="S123" i="13"/>
  <c r="M123" i="13"/>
  <c r="S122" i="13"/>
  <c r="M122" i="13"/>
  <c r="S121" i="13"/>
  <c r="M121" i="13"/>
  <c r="S120" i="13"/>
  <c r="M120" i="13"/>
  <c r="S119" i="13"/>
  <c r="M119" i="13"/>
  <c r="S118" i="13"/>
  <c r="M118" i="13"/>
  <c r="S117" i="13"/>
  <c r="M117" i="13"/>
  <c r="S116" i="13"/>
  <c r="M116" i="13"/>
  <c r="S115" i="13"/>
  <c r="M115" i="13"/>
  <c r="S114" i="13"/>
  <c r="M114" i="13"/>
  <c r="S113" i="13"/>
  <c r="M113" i="13"/>
  <c r="S112" i="13"/>
  <c r="M112" i="13"/>
  <c r="S111" i="13"/>
  <c r="M111" i="13"/>
  <c r="S110" i="13"/>
  <c r="M110" i="13"/>
  <c r="S109" i="13"/>
  <c r="M109" i="13"/>
  <c r="S108" i="13"/>
  <c r="M108" i="13"/>
  <c r="S107" i="13"/>
  <c r="M107" i="13"/>
  <c r="S106" i="13"/>
  <c r="M106" i="13"/>
  <c r="S105" i="13"/>
  <c r="M105" i="13"/>
  <c r="S104" i="13"/>
  <c r="M104" i="13"/>
  <c r="S103" i="13"/>
  <c r="M103" i="13"/>
  <c r="S102" i="13"/>
  <c r="M102" i="13"/>
  <c r="S101" i="13"/>
  <c r="M101" i="13"/>
  <c r="S100" i="13"/>
  <c r="M100" i="13"/>
  <c r="S99" i="13"/>
  <c r="M99" i="13"/>
  <c r="S98" i="13"/>
  <c r="M98" i="13"/>
  <c r="S97" i="13"/>
  <c r="M97" i="13"/>
  <c r="S96" i="13"/>
  <c r="M96" i="13"/>
  <c r="S95" i="13"/>
  <c r="M95" i="13"/>
  <c r="S94" i="13"/>
  <c r="M94" i="13"/>
  <c r="S93" i="13"/>
  <c r="M93" i="13"/>
  <c r="S92" i="13"/>
  <c r="M92" i="13"/>
  <c r="S91" i="13"/>
  <c r="M91" i="13"/>
  <c r="S90" i="13"/>
  <c r="M90" i="13"/>
  <c r="S89" i="13"/>
  <c r="M89" i="13"/>
  <c r="M88" i="13"/>
  <c r="S87" i="13"/>
  <c r="M87" i="13"/>
  <c r="S86" i="13"/>
  <c r="M86" i="13"/>
  <c r="S85" i="13"/>
  <c r="M85" i="13"/>
  <c r="S84" i="13"/>
  <c r="M84" i="13"/>
  <c r="S83" i="13"/>
  <c r="M83" i="13"/>
  <c r="S82" i="13"/>
  <c r="M82" i="13"/>
  <c r="S81" i="13"/>
  <c r="M81" i="13"/>
  <c r="S80" i="13"/>
  <c r="M80" i="13"/>
  <c r="S79" i="13"/>
  <c r="M79" i="13"/>
  <c r="S78" i="13"/>
  <c r="M78" i="13"/>
  <c r="S77" i="13"/>
  <c r="M77" i="13"/>
  <c r="S76" i="13"/>
  <c r="M76" i="13"/>
  <c r="S75" i="13"/>
  <c r="M75" i="13"/>
  <c r="S74" i="13"/>
  <c r="M74" i="13"/>
  <c r="S73" i="13"/>
  <c r="M73" i="13"/>
  <c r="S72" i="13"/>
  <c r="M72" i="13"/>
  <c r="S71" i="13"/>
  <c r="M71" i="13"/>
  <c r="S70" i="13"/>
  <c r="M70" i="13"/>
  <c r="S69" i="13"/>
  <c r="M69" i="13"/>
  <c r="S68" i="13"/>
  <c r="M68" i="13"/>
  <c r="S67" i="13"/>
  <c r="M67" i="13"/>
  <c r="S66" i="13"/>
  <c r="M66" i="13"/>
  <c r="S65" i="13"/>
  <c r="M65" i="13"/>
  <c r="S64" i="13"/>
  <c r="M64" i="13"/>
  <c r="S63" i="13"/>
  <c r="M63" i="13"/>
  <c r="S62" i="13"/>
  <c r="M62" i="13"/>
  <c r="S61" i="13"/>
  <c r="M61" i="13"/>
  <c r="S60" i="13"/>
  <c r="M60" i="13"/>
  <c r="S59" i="13"/>
  <c r="M59" i="13"/>
  <c r="S58" i="13"/>
  <c r="M58" i="13"/>
  <c r="S57" i="13"/>
  <c r="M57" i="13"/>
  <c r="S56" i="13"/>
  <c r="M56" i="13"/>
  <c r="S55" i="13"/>
  <c r="M55" i="13"/>
  <c r="S54" i="13"/>
  <c r="M54" i="13"/>
  <c r="S53" i="13"/>
  <c r="M53" i="13"/>
  <c r="S52" i="13"/>
  <c r="M52" i="13"/>
  <c r="S51" i="13"/>
  <c r="M51" i="13"/>
  <c r="S50" i="13"/>
  <c r="M50" i="13"/>
  <c r="S49" i="13"/>
  <c r="M49" i="13"/>
  <c r="S48" i="13"/>
  <c r="M48" i="13"/>
  <c r="S47" i="13"/>
  <c r="M47" i="13"/>
  <c r="S46" i="13"/>
  <c r="M46" i="13"/>
  <c r="S45" i="13"/>
  <c r="M45" i="13"/>
  <c r="S44" i="13"/>
  <c r="M44" i="13"/>
  <c r="S43" i="13"/>
  <c r="M43" i="13"/>
  <c r="S42" i="13"/>
  <c r="M42" i="13"/>
  <c r="S41" i="13"/>
  <c r="M41" i="13"/>
  <c r="S40" i="13"/>
  <c r="M40" i="13"/>
  <c r="S39" i="13"/>
  <c r="M39" i="13"/>
  <c r="S38" i="13"/>
  <c r="R270" i="13" s="1"/>
  <c r="M38" i="13"/>
  <c r="S37" i="13"/>
  <c r="M37" i="13"/>
  <c r="S36" i="13"/>
  <c r="M36" i="13"/>
  <c r="S35" i="13"/>
  <c r="M35" i="13"/>
  <c r="S34" i="13"/>
  <c r="R269" i="13" s="1"/>
  <c r="M34" i="13"/>
  <c r="S33" i="13"/>
  <c r="R268" i="13" s="1"/>
  <c r="M33" i="13"/>
  <c r="M32" i="13"/>
  <c r="S31" i="13"/>
  <c r="M31" i="13"/>
  <c r="S30" i="13"/>
  <c r="M30" i="13"/>
  <c r="S29" i="13"/>
  <c r="M29" i="13"/>
  <c r="S28" i="13"/>
  <c r="M28" i="13"/>
  <c r="S27" i="13"/>
  <c r="M27" i="13"/>
  <c r="S26" i="13"/>
  <c r="M26" i="13"/>
  <c r="S25" i="13"/>
  <c r="M25" i="13"/>
  <c r="S24" i="13"/>
  <c r="M24" i="13"/>
  <c r="S23" i="13"/>
  <c r="M23" i="13"/>
  <c r="S22" i="13"/>
  <c r="M22" i="13"/>
  <c r="S21" i="13"/>
  <c r="M21" i="13"/>
  <c r="S20" i="13"/>
  <c r="M20" i="13"/>
  <c r="S19" i="13"/>
  <c r="M19" i="13"/>
  <c r="S18" i="13"/>
  <c r="M18" i="13"/>
  <c r="S17" i="13"/>
  <c r="M17" i="13"/>
  <c r="S16" i="13"/>
  <c r="M16" i="13"/>
  <c r="S15" i="13"/>
  <c r="M15" i="13"/>
  <c r="S14" i="13"/>
  <c r="M14" i="13"/>
  <c r="S13" i="13"/>
  <c r="M13" i="13"/>
  <c r="S12" i="13"/>
  <c r="M12" i="13"/>
  <c r="L269" i="13" s="1"/>
  <c r="S11" i="13"/>
  <c r="M11" i="13"/>
  <c r="S10" i="13"/>
  <c r="M10" i="13"/>
  <c r="L270" i="13" s="1"/>
  <c r="S9" i="13"/>
  <c r="M9" i="13"/>
  <c r="L268" i="13" s="1"/>
  <c r="T268" i="12"/>
  <c r="S268" i="12"/>
  <c r="S269" i="12" s="1"/>
  <c r="Q268" i="12"/>
  <c r="Q269" i="12" s="1"/>
  <c r="P268" i="12"/>
  <c r="P269" i="12" s="1"/>
  <c r="O268" i="12"/>
  <c r="O269" i="12" s="1"/>
  <c r="N268" i="12"/>
  <c r="M268" i="12"/>
  <c r="M269" i="12" s="1"/>
  <c r="K268" i="12"/>
  <c r="K269" i="12" s="1"/>
  <c r="J268" i="12"/>
  <c r="J269" i="12" s="1"/>
  <c r="I268" i="12"/>
  <c r="I269" i="12" s="1"/>
  <c r="H268" i="12"/>
  <c r="H269" i="12" s="1"/>
  <c r="G268" i="12"/>
  <c r="G269" i="12" s="1"/>
  <c r="S267" i="12"/>
  <c r="U267" i="12" s="1"/>
  <c r="Q267" i="12"/>
  <c r="P267" i="12"/>
  <c r="O267" i="12"/>
  <c r="M267" i="12"/>
  <c r="K267" i="12"/>
  <c r="J267" i="12"/>
  <c r="V267" i="12" s="1"/>
  <c r="I267" i="12"/>
  <c r="H267" i="12"/>
  <c r="G267" i="12"/>
  <c r="T266" i="12"/>
  <c r="S266" i="12"/>
  <c r="U266" i="12" s="1"/>
  <c r="Q266" i="12"/>
  <c r="P266" i="12"/>
  <c r="O266" i="12"/>
  <c r="N266" i="12"/>
  <c r="M266" i="12"/>
  <c r="K266" i="12"/>
  <c r="J266" i="12"/>
  <c r="V266" i="12" s="1"/>
  <c r="I266" i="12"/>
  <c r="H266" i="12"/>
  <c r="G266" i="12"/>
  <c r="T260" i="12"/>
  <c r="R260" i="12"/>
  <c r="Q260" i="12"/>
  <c r="P260" i="12"/>
  <c r="N260" i="12"/>
  <c r="L260" i="12"/>
  <c r="K260" i="12"/>
  <c r="J260" i="12"/>
  <c r="I260" i="12"/>
  <c r="H260" i="12"/>
  <c r="S259" i="12"/>
  <c r="M259" i="12"/>
  <c r="S258" i="12"/>
  <c r="M258" i="12"/>
  <c r="S257" i="12"/>
  <c r="M257" i="12"/>
  <c r="S256" i="12"/>
  <c r="M256" i="12"/>
  <c r="U255" i="12"/>
  <c r="S255" i="12"/>
  <c r="M255" i="12"/>
  <c r="S254" i="12"/>
  <c r="M254" i="12"/>
  <c r="M253" i="12"/>
  <c r="S252" i="12"/>
  <c r="M252" i="12"/>
  <c r="U251" i="12"/>
  <c r="S251" i="12"/>
  <c r="M251" i="12"/>
  <c r="S250" i="12"/>
  <c r="M250" i="12"/>
  <c r="S249" i="12"/>
  <c r="M249" i="12"/>
  <c r="S248" i="12"/>
  <c r="M248" i="12"/>
  <c r="S247" i="12"/>
  <c r="M247" i="12"/>
  <c r="S246" i="12"/>
  <c r="M246" i="12"/>
  <c r="U245" i="12"/>
  <c r="S245" i="12" s="1"/>
  <c r="M245" i="12"/>
  <c r="S244" i="12"/>
  <c r="M244" i="12"/>
  <c r="S243" i="12"/>
  <c r="M243" i="12"/>
  <c r="S242" i="12"/>
  <c r="M242" i="12"/>
  <c r="S241" i="12"/>
  <c r="M241" i="12"/>
  <c r="S240" i="12"/>
  <c r="M240" i="12"/>
  <c r="U239" i="12"/>
  <c r="S239" i="12"/>
  <c r="M239" i="12"/>
  <c r="S238" i="12"/>
  <c r="M238" i="12"/>
  <c r="S237" i="12"/>
  <c r="M237" i="12"/>
  <c r="S236" i="12"/>
  <c r="M236" i="12"/>
  <c r="U235" i="12"/>
  <c r="S235" i="12" s="1"/>
  <c r="M235" i="12"/>
  <c r="S234" i="12"/>
  <c r="M234" i="12"/>
  <c r="S233" i="12"/>
  <c r="M233" i="12"/>
  <c r="S232" i="12"/>
  <c r="M232" i="12"/>
  <c r="S231" i="12"/>
  <c r="M231" i="12"/>
  <c r="S230" i="12"/>
  <c r="M230" i="12"/>
  <c r="S229" i="12"/>
  <c r="M229" i="12"/>
  <c r="S228" i="12"/>
  <c r="M228" i="12"/>
  <c r="S227" i="12"/>
  <c r="M227" i="12"/>
  <c r="S226" i="12"/>
  <c r="M226" i="12"/>
  <c r="S225" i="12"/>
  <c r="M225" i="12"/>
  <c r="S224" i="12"/>
  <c r="M224" i="12"/>
  <c r="U223" i="12"/>
  <c r="S223" i="12"/>
  <c r="M223" i="12"/>
  <c r="S222" i="12"/>
  <c r="M222" i="12"/>
  <c r="S221" i="12"/>
  <c r="M221" i="12"/>
  <c r="S220" i="12"/>
  <c r="M220" i="12"/>
  <c r="S219" i="12"/>
  <c r="M219" i="12"/>
  <c r="S218" i="12"/>
  <c r="M218" i="12"/>
  <c r="U217" i="12"/>
  <c r="S217" i="12" s="1"/>
  <c r="M217" i="12"/>
  <c r="S216" i="12"/>
  <c r="M216" i="12"/>
  <c r="S215" i="12"/>
  <c r="M215" i="12"/>
  <c r="S214" i="12"/>
  <c r="M214" i="12"/>
  <c r="S213" i="12"/>
  <c r="M213" i="12"/>
  <c r="S212" i="12"/>
  <c r="M212" i="12"/>
  <c r="S211" i="12"/>
  <c r="M211" i="12"/>
  <c r="S210" i="12"/>
  <c r="M210" i="12"/>
  <c r="S209" i="12"/>
  <c r="M209" i="12"/>
  <c r="S208" i="12"/>
  <c r="M208" i="12"/>
  <c r="M207" i="12"/>
  <c r="S206" i="12"/>
  <c r="M206" i="12"/>
  <c r="S205" i="12"/>
  <c r="M205" i="12"/>
  <c r="S204" i="12"/>
  <c r="M204" i="12"/>
  <c r="S203" i="12"/>
  <c r="M203" i="12"/>
  <c r="S202" i="12"/>
  <c r="M202" i="12"/>
  <c r="S201" i="12"/>
  <c r="M201" i="12"/>
  <c r="S200" i="12"/>
  <c r="M200" i="12"/>
  <c r="S199" i="12"/>
  <c r="M199" i="12"/>
  <c r="S198" i="12"/>
  <c r="M198" i="12"/>
  <c r="S197" i="12"/>
  <c r="M197" i="12"/>
  <c r="S196" i="12"/>
  <c r="M196" i="12"/>
  <c r="U195" i="12"/>
  <c r="S195" i="12" s="1"/>
  <c r="M195" i="12"/>
  <c r="S194" i="12"/>
  <c r="M194" i="12"/>
  <c r="S193" i="12"/>
  <c r="M193" i="12"/>
  <c r="S192" i="12"/>
  <c r="M192" i="12"/>
  <c r="M191" i="12"/>
  <c r="S190" i="12"/>
  <c r="M190" i="12"/>
  <c r="U189" i="12"/>
  <c r="S189" i="12" s="1"/>
  <c r="M189" i="12"/>
  <c r="S188" i="12"/>
  <c r="M188" i="12"/>
  <c r="U187" i="12"/>
  <c r="S187" i="12"/>
  <c r="M187" i="12"/>
  <c r="S186" i="12"/>
  <c r="M186" i="12"/>
  <c r="S185" i="12"/>
  <c r="M185" i="12"/>
  <c r="S184" i="12"/>
  <c r="M184" i="12"/>
  <c r="S183" i="12"/>
  <c r="M183" i="12"/>
  <c r="S182" i="12"/>
  <c r="M182" i="12"/>
  <c r="S181" i="12"/>
  <c r="M181" i="12"/>
  <c r="U180" i="12"/>
  <c r="S180" i="12" s="1"/>
  <c r="M180" i="12"/>
  <c r="S179" i="12"/>
  <c r="M179" i="12"/>
  <c r="S178" i="12"/>
  <c r="M178" i="12"/>
  <c r="S177" i="12"/>
  <c r="M177" i="12"/>
  <c r="S176" i="12"/>
  <c r="M176" i="12"/>
  <c r="S175" i="12"/>
  <c r="M175" i="12"/>
  <c r="S174" i="12"/>
  <c r="M174" i="12"/>
  <c r="S173" i="12"/>
  <c r="M173" i="12"/>
  <c r="U172" i="12"/>
  <c r="S172" i="12"/>
  <c r="M172" i="12"/>
  <c r="S171" i="12"/>
  <c r="M171" i="12"/>
  <c r="M170" i="12"/>
  <c r="S169" i="12"/>
  <c r="M169" i="12"/>
  <c r="S168" i="12"/>
  <c r="M168" i="12"/>
  <c r="S167" i="12"/>
  <c r="M167" i="12"/>
  <c r="U166" i="12"/>
  <c r="S166" i="12"/>
  <c r="M166" i="12"/>
  <c r="S165" i="12"/>
  <c r="M165" i="12"/>
  <c r="U164" i="12"/>
  <c r="S164" i="12" s="1"/>
  <c r="M164" i="12"/>
  <c r="S163" i="12"/>
  <c r="M163" i="12"/>
  <c r="U162" i="12"/>
  <c r="S162" i="12"/>
  <c r="M162" i="12"/>
  <c r="S161" i="12"/>
  <c r="M161" i="12"/>
  <c r="S160" i="12"/>
  <c r="M160" i="12"/>
  <c r="S159" i="12"/>
  <c r="M159" i="12"/>
  <c r="S158" i="12"/>
  <c r="M158" i="12"/>
  <c r="S157" i="12"/>
  <c r="M157" i="12"/>
  <c r="S156" i="12"/>
  <c r="M156" i="12"/>
  <c r="S155" i="12"/>
  <c r="M155" i="12"/>
  <c r="U154" i="12"/>
  <c r="S154" i="12" s="1"/>
  <c r="M154" i="12"/>
  <c r="S153" i="12"/>
  <c r="M153" i="12"/>
  <c r="U152" i="12"/>
  <c r="S152" i="12"/>
  <c r="M152" i="12"/>
  <c r="S151" i="12"/>
  <c r="M151" i="12"/>
  <c r="S150" i="12"/>
  <c r="M150" i="12"/>
  <c r="S149" i="12"/>
  <c r="M149" i="12"/>
  <c r="S148" i="12"/>
  <c r="M148" i="12"/>
  <c r="U147" i="12"/>
  <c r="S147" i="12" s="1"/>
  <c r="M147" i="12"/>
  <c r="S146" i="12"/>
  <c r="M146" i="12"/>
  <c r="S145" i="12"/>
  <c r="M145" i="12"/>
  <c r="S144" i="12"/>
  <c r="M144" i="12"/>
  <c r="S143" i="12"/>
  <c r="M143" i="12"/>
  <c r="U142" i="12"/>
  <c r="S142" i="12"/>
  <c r="M142" i="12"/>
  <c r="S141" i="12"/>
  <c r="M141" i="12"/>
  <c r="S140" i="12"/>
  <c r="M140" i="12"/>
  <c r="S139" i="12"/>
  <c r="M139" i="12"/>
  <c r="S138" i="12"/>
  <c r="M138" i="12"/>
  <c r="S137" i="12"/>
  <c r="M137" i="12"/>
  <c r="S136" i="12"/>
  <c r="M136" i="12"/>
  <c r="S135" i="12"/>
  <c r="M135" i="12"/>
  <c r="S134" i="12"/>
  <c r="M134" i="12"/>
  <c r="S133" i="12"/>
  <c r="M133" i="12"/>
  <c r="U132" i="12"/>
  <c r="S132" i="12" s="1"/>
  <c r="M132" i="12"/>
  <c r="S131" i="12"/>
  <c r="M131" i="12"/>
  <c r="S130" i="12"/>
  <c r="M130" i="12"/>
  <c r="S129" i="12"/>
  <c r="M129" i="12"/>
  <c r="S128" i="12"/>
  <c r="M128" i="12"/>
  <c r="M127" i="12"/>
  <c r="S126" i="12"/>
  <c r="M126" i="12"/>
  <c r="S125" i="12"/>
  <c r="M125" i="12"/>
  <c r="S124" i="12"/>
  <c r="M124" i="12"/>
  <c r="S123" i="12"/>
  <c r="M123" i="12"/>
  <c r="S122" i="12"/>
  <c r="M122" i="12"/>
  <c r="S121" i="12"/>
  <c r="M121" i="12"/>
  <c r="S120" i="12"/>
  <c r="M120" i="12"/>
  <c r="S119" i="12"/>
  <c r="M119" i="12"/>
  <c r="S118" i="12"/>
  <c r="M118" i="12"/>
  <c r="S117" i="12"/>
  <c r="M117" i="12"/>
  <c r="S116" i="12"/>
  <c r="M116" i="12"/>
  <c r="S115" i="12"/>
  <c r="M115" i="12"/>
  <c r="S114" i="12"/>
  <c r="M114" i="12"/>
  <c r="S113" i="12"/>
  <c r="M113" i="12"/>
  <c r="S112" i="12"/>
  <c r="M112" i="12"/>
  <c r="S111" i="12"/>
  <c r="M111" i="12"/>
  <c r="S110" i="12"/>
  <c r="M110" i="12"/>
  <c r="S109" i="12"/>
  <c r="M109" i="12"/>
  <c r="S108" i="12"/>
  <c r="M108" i="12"/>
  <c r="S107" i="12"/>
  <c r="M107" i="12"/>
  <c r="S106" i="12"/>
  <c r="M106" i="12"/>
  <c r="S105" i="12"/>
  <c r="M105" i="12"/>
  <c r="S104" i="12"/>
  <c r="M104" i="12"/>
  <c r="S103" i="12"/>
  <c r="M103" i="12"/>
  <c r="U102" i="12"/>
  <c r="S102" i="12" s="1"/>
  <c r="M102" i="12"/>
  <c r="S101" i="12"/>
  <c r="M101" i="12"/>
  <c r="S100" i="12"/>
  <c r="M100" i="12"/>
  <c r="S99" i="12"/>
  <c r="M99" i="12"/>
  <c r="U98" i="12"/>
  <c r="S98" i="12"/>
  <c r="M98" i="12"/>
  <c r="S97" i="12"/>
  <c r="M97" i="12"/>
  <c r="S96" i="12"/>
  <c r="O96" i="12"/>
  <c r="N267" i="12" s="1"/>
  <c r="M96" i="12"/>
  <c r="S95" i="12"/>
  <c r="M95" i="12"/>
  <c r="S94" i="12"/>
  <c r="M94" i="12"/>
  <c r="S93" i="12"/>
  <c r="M93" i="12"/>
  <c r="S92" i="12"/>
  <c r="M92" i="12"/>
  <c r="S91" i="12"/>
  <c r="M91" i="12"/>
  <c r="S90" i="12"/>
  <c r="M90" i="12"/>
  <c r="S89" i="12"/>
  <c r="M89" i="12"/>
  <c r="S88" i="12"/>
  <c r="M88" i="12"/>
  <c r="S87" i="12"/>
  <c r="M87" i="12"/>
  <c r="M86" i="12"/>
  <c r="S85" i="12"/>
  <c r="M85" i="12"/>
  <c r="S84" i="12"/>
  <c r="M84" i="12"/>
  <c r="S83" i="12"/>
  <c r="M83" i="12"/>
  <c r="S82" i="12"/>
  <c r="M82" i="12"/>
  <c r="S81" i="12"/>
  <c r="M81" i="12"/>
  <c r="S80" i="12"/>
  <c r="M80" i="12"/>
  <c r="S79" i="12"/>
  <c r="M79" i="12"/>
  <c r="S78" i="12"/>
  <c r="M78" i="12"/>
  <c r="S77" i="12"/>
  <c r="M77" i="12"/>
  <c r="S76" i="12"/>
  <c r="M76" i="12"/>
  <c r="S75" i="12"/>
  <c r="M75" i="12"/>
  <c r="S74" i="12"/>
  <c r="M74" i="12"/>
  <c r="S73" i="12"/>
  <c r="M73" i="12"/>
  <c r="S72" i="12"/>
  <c r="M72" i="12"/>
  <c r="S71" i="12"/>
  <c r="M71" i="12"/>
  <c r="S70" i="12"/>
  <c r="M70" i="12"/>
  <c r="S69" i="12"/>
  <c r="M69" i="12"/>
  <c r="S68" i="12"/>
  <c r="M68" i="12"/>
  <c r="S67" i="12"/>
  <c r="M67" i="12"/>
  <c r="S66" i="12"/>
  <c r="M66" i="12"/>
  <c r="S65" i="12"/>
  <c r="M65" i="12"/>
  <c r="S64" i="12"/>
  <c r="M64" i="12"/>
  <c r="S63" i="12"/>
  <c r="M63" i="12"/>
  <c r="S62" i="12"/>
  <c r="M62" i="12"/>
  <c r="S61" i="12"/>
  <c r="M61" i="12"/>
  <c r="S60" i="12"/>
  <c r="M60" i="12"/>
  <c r="S59" i="12"/>
  <c r="M59" i="12"/>
  <c r="S58" i="12"/>
  <c r="M58" i="12"/>
  <c r="S57" i="12"/>
  <c r="M57" i="12"/>
  <c r="S56" i="12"/>
  <c r="M56" i="12"/>
  <c r="S55" i="12"/>
  <c r="M55" i="12"/>
  <c r="S54" i="12"/>
  <c r="M54" i="12"/>
  <c r="S53" i="12"/>
  <c r="M53" i="12"/>
  <c r="S52" i="12"/>
  <c r="M52" i="12"/>
  <c r="S51" i="12"/>
  <c r="M51" i="12"/>
  <c r="U50" i="12"/>
  <c r="S50" i="12" s="1"/>
  <c r="M50" i="12"/>
  <c r="S49" i="12"/>
  <c r="M49" i="12"/>
  <c r="S48" i="12"/>
  <c r="M48" i="12"/>
  <c r="S47" i="12"/>
  <c r="M47" i="12"/>
  <c r="S46" i="12"/>
  <c r="M46" i="12"/>
  <c r="S45" i="12"/>
  <c r="M45" i="12"/>
  <c r="S44" i="12"/>
  <c r="M44" i="12"/>
  <c r="S43" i="12"/>
  <c r="M43" i="12"/>
  <c r="S42" i="12"/>
  <c r="M42" i="12"/>
  <c r="S41" i="12"/>
  <c r="M41" i="12"/>
  <c r="S40" i="12"/>
  <c r="M40" i="12"/>
  <c r="S39" i="12"/>
  <c r="M39" i="12"/>
  <c r="S38" i="12"/>
  <c r="M38" i="12"/>
  <c r="S37" i="12"/>
  <c r="M37" i="12"/>
  <c r="S36" i="12"/>
  <c r="M36" i="12"/>
  <c r="S35" i="12"/>
  <c r="M35" i="12"/>
  <c r="S34" i="12"/>
  <c r="M34" i="12"/>
  <c r="S33" i="12"/>
  <c r="M33" i="12"/>
  <c r="M32" i="12"/>
  <c r="S31" i="12"/>
  <c r="M31" i="12"/>
  <c r="S30" i="12"/>
  <c r="M30" i="12"/>
  <c r="S29" i="12"/>
  <c r="M29" i="12"/>
  <c r="U28" i="12"/>
  <c r="S28" i="12" s="1"/>
  <c r="M28" i="12"/>
  <c r="S27" i="12"/>
  <c r="M27" i="12"/>
  <c r="U26" i="12"/>
  <c r="S26" i="12"/>
  <c r="M26" i="12"/>
  <c r="S25" i="12"/>
  <c r="M25" i="12"/>
  <c r="S24" i="12"/>
  <c r="M24" i="12"/>
  <c r="S23" i="12"/>
  <c r="M23" i="12"/>
  <c r="S22" i="12"/>
  <c r="M22" i="12"/>
  <c r="S21" i="12"/>
  <c r="M21" i="12"/>
  <c r="S20" i="12"/>
  <c r="M20" i="12"/>
  <c r="S19" i="12"/>
  <c r="M19" i="12"/>
  <c r="S18" i="12"/>
  <c r="M18" i="12"/>
  <c r="S17" i="12"/>
  <c r="M17" i="12"/>
  <c r="U16" i="12"/>
  <c r="T267" i="12" s="1"/>
  <c r="M16" i="12"/>
  <c r="S15" i="12"/>
  <c r="M15" i="12"/>
  <c r="S14" i="12"/>
  <c r="M14" i="12"/>
  <c r="S13" i="12"/>
  <c r="M13" i="12"/>
  <c r="S12" i="12"/>
  <c r="M12" i="12"/>
  <c r="L267" i="12" s="1"/>
  <c r="S11" i="12"/>
  <c r="M11" i="12"/>
  <c r="S10" i="12"/>
  <c r="R268" i="12" s="1"/>
  <c r="M10" i="12"/>
  <c r="L268" i="12" s="1"/>
  <c r="S9" i="12"/>
  <c r="R266" i="12" s="1"/>
  <c r="M9" i="12"/>
  <c r="L266" i="12" s="1"/>
  <c r="T272" i="11"/>
  <c r="T273" i="11" s="1"/>
  <c r="S272" i="11"/>
  <c r="S273" i="11" s="1"/>
  <c r="Q272" i="11"/>
  <c r="P272" i="11"/>
  <c r="P273" i="11" s="1"/>
  <c r="O272" i="11"/>
  <c r="N272" i="11"/>
  <c r="N273" i="11" s="1"/>
  <c r="M272" i="11"/>
  <c r="K272" i="11"/>
  <c r="J272" i="11"/>
  <c r="J273" i="11" s="1"/>
  <c r="I272" i="11"/>
  <c r="H272" i="11"/>
  <c r="H273" i="11" s="1"/>
  <c r="G272" i="11"/>
  <c r="T271" i="11"/>
  <c r="S271" i="11"/>
  <c r="U271" i="11" s="1"/>
  <c r="Q271" i="11"/>
  <c r="P271" i="11"/>
  <c r="O271" i="11"/>
  <c r="N271" i="11"/>
  <c r="M271" i="11"/>
  <c r="K271" i="11"/>
  <c r="J271" i="11"/>
  <c r="V271" i="11" s="1"/>
  <c r="I271" i="11"/>
  <c r="H271" i="11"/>
  <c r="G271" i="11"/>
  <c r="T270" i="11"/>
  <c r="S270" i="11"/>
  <c r="U270" i="11" s="1"/>
  <c r="Q270" i="11"/>
  <c r="P270" i="11"/>
  <c r="O270" i="11"/>
  <c r="N270" i="11"/>
  <c r="M270" i="11"/>
  <c r="K270" i="11"/>
  <c r="J270" i="11"/>
  <c r="V270" i="11" s="1"/>
  <c r="I270" i="11"/>
  <c r="H270" i="11"/>
  <c r="G270" i="11"/>
  <c r="U264" i="11"/>
  <c r="T264" i="11"/>
  <c r="R264" i="11"/>
  <c r="Q264" i="11"/>
  <c r="P264" i="11"/>
  <c r="O264" i="11"/>
  <c r="N264" i="11"/>
  <c r="L264" i="11"/>
  <c r="K264" i="11"/>
  <c r="J264" i="11"/>
  <c r="I264" i="11"/>
  <c r="H264" i="11"/>
  <c r="S263" i="11"/>
  <c r="M263" i="11"/>
  <c r="S262" i="11"/>
  <c r="M262" i="11"/>
  <c r="S261" i="11"/>
  <c r="M261" i="11"/>
  <c r="S260" i="11"/>
  <c r="M260" i="11"/>
  <c r="S259" i="11"/>
  <c r="M259" i="11"/>
  <c r="S258" i="11"/>
  <c r="M258" i="11"/>
  <c r="M257" i="11"/>
  <c r="S256" i="11"/>
  <c r="M256" i="11"/>
  <c r="S255" i="11"/>
  <c r="M255" i="11"/>
  <c r="S254" i="11"/>
  <c r="M254" i="11"/>
  <c r="S253" i="11"/>
  <c r="M253" i="11"/>
  <c r="S252" i="11"/>
  <c r="M252" i="11"/>
  <c r="S251" i="11"/>
  <c r="M251" i="11"/>
  <c r="S250" i="11"/>
  <c r="M250" i="11"/>
  <c r="S249" i="11"/>
  <c r="M249" i="11"/>
  <c r="S248" i="11"/>
  <c r="M248" i="11"/>
  <c r="S247" i="11"/>
  <c r="M247" i="11"/>
  <c r="S246" i="11"/>
  <c r="M246" i="11"/>
  <c r="S245" i="11"/>
  <c r="M245" i="11"/>
  <c r="S244" i="11"/>
  <c r="M244" i="11"/>
  <c r="S243" i="11"/>
  <c r="M243" i="11"/>
  <c r="S242" i="11"/>
  <c r="M242" i="11"/>
  <c r="S241" i="11"/>
  <c r="M241" i="11"/>
  <c r="S240" i="11"/>
  <c r="M240" i="11"/>
  <c r="S239" i="11"/>
  <c r="M239" i="11"/>
  <c r="S238" i="11"/>
  <c r="M238" i="11"/>
  <c r="S237" i="11"/>
  <c r="M237" i="11"/>
  <c r="S236" i="11"/>
  <c r="M236" i="11"/>
  <c r="S235" i="11"/>
  <c r="M235" i="11"/>
  <c r="S234" i="11"/>
  <c r="M234" i="11"/>
  <c r="S233" i="11"/>
  <c r="M233" i="11"/>
  <c r="S232" i="11"/>
  <c r="M232" i="11"/>
  <c r="S231" i="11"/>
  <c r="M231" i="11"/>
  <c r="S230" i="11"/>
  <c r="M230" i="11"/>
  <c r="S229" i="11"/>
  <c r="M229" i="11"/>
  <c r="S228" i="11"/>
  <c r="M228" i="11"/>
  <c r="S227" i="11"/>
  <c r="M227" i="11"/>
  <c r="S226" i="11"/>
  <c r="M226" i="11"/>
  <c r="S225" i="11"/>
  <c r="M225" i="11"/>
  <c r="S224" i="11"/>
  <c r="M224" i="11"/>
  <c r="S223" i="11"/>
  <c r="M223" i="11"/>
  <c r="S222" i="11"/>
  <c r="M222" i="11"/>
  <c r="S221" i="11"/>
  <c r="M221" i="11"/>
  <c r="S220" i="11"/>
  <c r="M220" i="11"/>
  <c r="S219" i="11"/>
  <c r="M219" i="11"/>
  <c r="S218" i="11"/>
  <c r="M218" i="11"/>
  <c r="S217" i="11"/>
  <c r="M217" i="11"/>
  <c r="S216" i="11"/>
  <c r="M216" i="11"/>
  <c r="S215" i="11"/>
  <c r="M215" i="11"/>
  <c r="S214" i="11"/>
  <c r="M214" i="11"/>
  <c r="S213" i="11"/>
  <c r="M213" i="11"/>
  <c r="S212" i="11"/>
  <c r="M212" i="11"/>
  <c r="M211" i="11"/>
  <c r="S210" i="11"/>
  <c r="M210" i="11"/>
  <c r="S209" i="11"/>
  <c r="M209" i="11"/>
  <c r="S208" i="11"/>
  <c r="M208" i="11"/>
  <c r="S207" i="11"/>
  <c r="M207" i="11"/>
  <c r="S206" i="11"/>
  <c r="M206" i="11"/>
  <c r="S205" i="11"/>
  <c r="M205" i="11"/>
  <c r="S204" i="11"/>
  <c r="M204" i="11"/>
  <c r="S203" i="11"/>
  <c r="M203" i="11"/>
  <c r="S202" i="11"/>
  <c r="M202" i="11"/>
  <c r="S201" i="11"/>
  <c r="M201" i="11"/>
  <c r="S200" i="11"/>
  <c r="M200" i="11"/>
  <c r="S199" i="11"/>
  <c r="M199" i="11"/>
  <c r="S198" i="11"/>
  <c r="M198" i="11"/>
  <c r="S197" i="11"/>
  <c r="M197" i="11"/>
  <c r="S196" i="11"/>
  <c r="M196" i="11"/>
  <c r="M195" i="11"/>
  <c r="S194" i="11"/>
  <c r="M194" i="11"/>
  <c r="S193" i="11"/>
  <c r="M193" i="11"/>
  <c r="S192" i="11"/>
  <c r="M192" i="11"/>
  <c r="S191" i="11"/>
  <c r="M191" i="11"/>
  <c r="S190" i="11"/>
  <c r="M190" i="11"/>
  <c r="S189" i="11"/>
  <c r="M189" i="11"/>
  <c r="S188" i="11"/>
  <c r="M188" i="11"/>
  <c r="S187" i="11"/>
  <c r="M187" i="11"/>
  <c r="S186" i="11"/>
  <c r="M186" i="11"/>
  <c r="S185" i="11"/>
  <c r="M185" i="11"/>
  <c r="S184" i="11"/>
  <c r="M184" i="11"/>
  <c r="S183" i="11"/>
  <c r="M183" i="11"/>
  <c r="S182" i="11"/>
  <c r="M182" i="11"/>
  <c r="S181" i="11"/>
  <c r="M181" i="11"/>
  <c r="S180" i="11"/>
  <c r="M180" i="11"/>
  <c r="S179" i="11"/>
  <c r="M179" i="11"/>
  <c r="S178" i="11"/>
  <c r="M178" i="11"/>
  <c r="S177" i="11"/>
  <c r="M177" i="11"/>
  <c r="S176" i="11"/>
  <c r="M176" i="11"/>
  <c r="S175" i="11"/>
  <c r="M175" i="11"/>
  <c r="M174" i="11"/>
  <c r="S173" i="11"/>
  <c r="M173" i="11"/>
  <c r="S172" i="11"/>
  <c r="M172" i="11"/>
  <c r="S171" i="11"/>
  <c r="M171" i="11"/>
  <c r="S170" i="11"/>
  <c r="M170" i="11"/>
  <c r="S169" i="11"/>
  <c r="M169" i="11"/>
  <c r="S168" i="11"/>
  <c r="M168" i="11"/>
  <c r="S167" i="11"/>
  <c r="M167" i="11"/>
  <c r="S166" i="11"/>
  <c r="M166" i="11"/>
  <c r="S165" i="11"/>
  <c r="M165" i="11"/>
  <c r="S164" i="11"/>
  <c r="M164" i="11"/>
  <c r="S163" i="11"/>
  <c r="M163" i="11"/>
  <c r="S162" i="11"/>
  <c r="M162" i="11"/>
  <c r="S161" i="11"/>
  <c r="M161" i="11"/>
  <c r="S160" i="11"/>
  <c r="M160" i="11"/>
  <c r="S159" i="11"/>
  <c r="M159" i="11"/>
  <c r="S158" i="11"/>
  <c r="M158" i="11"/>
  <c r="S157" i="11"/>
  <c r="M157" i="11"/>
  <c r="S156" i="11"/>
  <c r="M156" i="11"/>
  <c r="S155" i="11"/>
  <c r="M155" i="11"/>
  <c r="S154" i="11"/>
  <c r="M154" i="11"/>
  <c r="S153" i="11"/>
  <c r="M153" i="11"/>
  <c r="S152" i="11"/>
  <c r="M152" i="11"/>
  <c r="S151" i="11"/>
  <c r="M151" i="11"/>
  <c r="S150" i="11"/>
  <c r="M150" i="11"/>
  <c r="S149" i="11"/>
  <c r="M149" i="11"/>
  <c r="S148" i="11"/>
  <c r="M148" i="11"/>
  <c r="S147" i="11"/>
  <c r="M147" i="11"/>
  <c r="S146" i="11"/>
  <c r="M146" i="11"/>
  <c r="S145" i="11"/>
  <c r="M145" i="11"/>
  <c r="S144" i="11"/>
  <c r="M144" i="11"/>
  <c r="S143" i="11"/>
  <c r="M143" i="11"/>
  <c r="S142" i="11"/>
  <c r="M142" i="11"/>
  <c r="S141" i="11"/>
  <c r="M141" i="11"/>
  <c r="S140" i="11"/>
  <c r="M140" i="11"/>
  <c r="S139" i="11"/>
  <c r="M139" i="11"/>
  <c r="S138" i="11"/>
  <c r="M138" i="11"/>
  <c r="S137" i="11"/>
  <c r="M137" i="11"/>
  <c r="S136" i="11"/>
  <c r="M136" i="11"/>
  <c r="S135" i="11"/>
  <c r="M135" i="11"/>
  <c r="S134" i="11"/>
  <c r="M134" i="11"/>
  <c r="S133" i="11"/>
  <c r="M133" i="11"/>
  <c r="S132" i="11"/>
  <c r="M132" i="11"/>
  <c r="S131" i="11"/>
  <c r="M131" i="11"/>
  <c r="S130" i="11"/>
  <c r="M130" i="11"/>
  <c r="S129" i="11"/>
  <c r="M129" i="11"/>
  <c r="S128" i="11"/>
  <c r="M128" i="11"/>
  <c r="S127" i="11"/>
  <c r="M127" i="11"/>
  <c r="S126" i="11"/>
  <c r="M126" i="11"/>
  <c r="S125" i="11"/>
  <c r="M125" i="11"/>
  <c r="S124" i="11"/>
  <c r="M124" i="11"/>
  <c r="S123" i="11"/>
  <c r="M123" i="11"/>
  <c r="S122" i="11"/>
  <c r="M122" i="11"/>
  <c r="S121" i="11"/>
  <c r="M121" i="11"/>
  <c r="S120" i="11"/>
  <c r="M120" i="11"/>
  <c r="S119" i="11"/>
  <c r="M119" i="11"/>
  <c r="S118" i="11"/>
  <c r="M118" i="11"/>
  <c r="S117" i="11"/>
  <c r="M117" i="11"/>
  <c r="S116" i="11"/>
  <c r="M116" i="11"/>
  <c r="S115" i="11"/>
  <c r="M115" i="11"/>
  <c r="S114" i="11"/>
  <c r="M114" i="11"/>
  <c r="S113" i="11"/>
  <c r="M113" i="11"/>
  <c r="S112" i="11"/>
  <c r="M112" i="11"/>
  <c r="S111" i="11"/>
  <c r="M111" i="11"/>
  <c r="S110" i="11"/>
  <c r="M110" i="11"/>
  <c r="S109" i="11"/>
  <c r="M109" i="11"/>
  <c r="S108" i="11"/>
  <c r="M108" i="11"/>
  <c r="S107" i="11"/>
  <c r="M107" i="11"/>
  <c r="S106" i="11"/>
  <c r="M106" i="11"/>
  <c r="S105" i="11"/>
  <c r="M105" i="11"/>
  <c r="S104" i="11"/>
  <c r="M104" i="11"/>
  <c r="S103" i="11"/>
  <c r="M103" i="11"/>
  <c r="S102" i="11"/>
  <c r="M102" i="11"/>
  <c r="S101" i="11"/>
  <c r="M101" i="11"/>
  <c r="S100" i="11"/>
  <c r="M100" i="11"/>
  <c r="S99" i="11"/>
  <c r="M99" i="11"/>
  <c r="S98" i="11"/>
  <c r="M98" i="11"/>
  <c r="S97" i="11"/>
  <c r="M97" i="11"/>
  <c r="S96" i="11"/>
  <c r="M96" i="11"/>
  <c r="S95" i="11"/>
  <c r="M95" i="11"/>
  <c r="S94" i="11"/>
  <c r="M94" i="11"/>
  <c r="S93" i="11"/>
  <c r="M93" i="11"/>
  <c r="S92" i="11"/>
  <c r="M92" i="11"/>
  <c r="S91" i="11"/>
  <c r="M91" i="11"/>
  <c r="S90" i="11"/>
  <c r="M90" i="11"/>
  <c r="S89" i="11"/>
  <c r="M89" i="11"/>
  <c r="M88" i="11"/>
  <c r="S87" i="11"/>
  <c r="M87" i="11"/>
  <c r="S86" i="11"/>
  <c r="M86" i="11"/>
  <c r="S85" i="11"/>
  <c r="M85" i="11"/>
  <c r="S84" i="11"/>
  <c r="M84" i="11"/>
  <c r="S83" i="11"/>
  <c r="M83" i="11"/>
  <c r="S82" i="11"/>
  <c r="M82" i="11"/>
  <c r="S81" i="11"/>
  <c r="M81" i="11"/>
  <c r="S80" i="11"/>
  <c r="M80" i="11"/>
  <c r="S79" i="11"/>
  <c r="M79" i="11"/>
  <c r="S78" i="11"/>
  <c r="M78" i="11"/>
  <c r="S77" i="11"/>
  <c r="M77" i="11"/>
  <c r="S76" i="11"/>
  <c r="M76" i="11"/>
  <c r="S75" i="11"/>
  <c r="M75" i="11"/>
  <c r="S74" i="11"/>
  <c r="M74" i="11"/>
  <c r="S73" i="11"/>
  <c r="M73" i="11"/>
  <c r="S72" i="11"/>
  <c r="M72" i="11"/>
  <c r="S71" i="11"/>
  <c r="M71" i="11"/>
  <c r="S70" i="11"/>
  <c r="M70" i="11"/>
  <c r="S69" i="11"/>
  <c r="M69" i="11"/>
  <c r="S68" i="11"/>
  <c r="M68" i="11"/>
  <c r="S67" i="11"/>
  <c r="M67" i="11"/>
  <c r="S66" i="11"/>
  <c r="M66" i="11"/>
  <c r="S65" i="11"/>
  <c r="M65" i="11"/>
  <c r="S64" i="11"/>
  <c r="M64" i="11"/>
  <c r="S63" i="11"/>
  <c r="M63" i="11"/>
  <c r="S62" i="11"/>
  <c r="M62" i="11"/>
  <c r="S61" i="11"/>
  <c r="M61" i="11"/>
  <c r="S60" i="11"/>
  <c r="M60" i="11"/>
  <c r="S59" i="11"/>
  <c r="M59" i="11"/>
  <c r="S58" i="11"/>
  <c r="M58" i="11"/>
  <c r="S57" i="11"/>
  <c r="M57" i="11"/>
  <c r="S56" i="11"/>
  <c r="M56" i="11"/>
  <c r="S55" i="11"/>
  <c r="M55" i="11"/>
  <c r="S54" i="11"/>
  <c r="M54" i="11"/>
  <c r="S53" i="11"/>
  <c r="M53" i="11"/>
  <c r="S52" i="11"/>
  <c r="M52" i="11"/>
  <c r="S51" i="11"/>
  <c r="M51" i="11"/>
  <c r="S50" i="11"/>
  <c r="M50" i="11"/>
  <c r="S49" i="11"/>
  <c r="M49" i="11"/>
  <c r="S48" i="11"/>
  <c r="M48" i="11"/>
  <c r="S47" i="11"/>
  <c r="M47" i="11"/>
  <c r="S46" i="11"/>
  <c r="M46" i="11"/>
  <c r="S45" i="11"/>
  <c r="M45" i="11"/>
  <c r="S44" i="11"/>
  <c r="M44" i="11"/>
  <c r="S43" i="11"/>
  <c r="M43" i="11"/>
  <c r="S42" i="11"/>
  <c r="M42" i="11"/>
  <c r="S41" i="11"/>
  <c r="M41" i="11"/>
  <c r="S40" i="11"/>
  <c r="M40" i="11"/>
  <c r="S39" i="11"/>
  <c r="M39" i="11"/>
  <c r="S38" i="11"/>
  <c r="M38" i="11"/>
  <c r="S37" i="11"/>
  <c r="M37" i="11"/>
  <c r="S36" i="11"/>
  <c r="M36" i="11"/>
  <c r="S35" i="11"/>
  <c r="M35" i="11"/>
  <c r="S34" i="11"/>
  <c r="M34" i="11"/>
  <c r="S33" i="11"/>
  <c r="M33" i="11"/>
  <c r="M32" i="11"/>
  <c r="S31" i="11"/>
  <c r="M31" i="11"/>
  <c r="S30" i="11"/>
  <c r="M30" i="11"/>
  <c r="S29" i="11"/>
  <c r="M29" i="11"/>
  <c r="S28" i="11"/>
  <c r="M28" i="11"/>
  <c r="S27" i="11"/>
  <c r="M27" i="11"/>
  <c r="S26" i="11"/>
  <c r="M26" i="11"/>
  <c r="S25" i="11"/>
  <c r="M25" i="11"/>
  <c r="S24" i="11"/>
  <c r="M24" i="11"/>
  <c r="S23" i="11"/>
  <c r="M23" i="11"/>
  <c r="S22" i="11"/>
  <c r="M22" i="11"/>
  <c r="S21" i="11"/>
  <c r="M21" i="11"/>
  <c r="S20" i="11"/>
  <c r="M20" i="11"/>
  <c r="S19" i="11"/>
  <c r="M19" i="11"/>
  <c r="S18" i="11"/>
  <c r="M18" i="11"/>
  <c r="S17" i="11"/>
  <c r="M17" i="11"/>
  <c r="S16" i="11"/>
  <c r="M16" i="11"/>
  <c r="S15" i="11"/>
  <c r="M15" i="11"/>
  <c r="S14" i="11"/>
  <c r="M14" i="11"/>
  <c r="S13" i="11"/>
  <c r="M13" i="11"/>
  <c r="S12" i="11"/>
  <c r="R271" i="11" s="1"/>
  <c r="M12" i="11"/>
  <c r="L271" i="11" s="1"/>
  <c r="S11" i="11"/>
  <c r="M11" i="11"/>
  <c r="S10" i="11"/>
  <c r="R272" i="11" s="1"/>
  <c r="M10" i="11"/>
  <c r="L272" i="11" s="1"/>
  <c r="S9" i="11"/>
  <c r="R270" i="11" s="1"/>
  <c r="M9" i="11"/>
  <c r="Q261" i="10"/>
  <c r="T260" i="10"/>
  <c r="S260" i="10"/>
  <c r="S261" i="10" s="1"/>
  <c r="Q260" i="10"/>
  <c r="P260" i="10"/>
  <c r="P261" i="10" s="1"/>
  <c r="O260" i="10"/>
  <c r="O261" i="10" s="1"/>
  <c r="N260" i="10"/>
  <c r="M260" i="10"/>
  <c r="K260" i="10"/>
  <c r="K261" i="10" s="1"/>
  <c r="J260" i="10"/>
  <c r="J261" i="10" s="1"/>
  <c r="I260" i="10"/>
  <c r="I261" i="10" s="1"/>
  <c r="H260" i="10"/>
  <c r="H261" i="10" s="1"/>
  <c r="G260" i="10"/>
  <c r="G261" i="10" s="1"/>
  <c r="S259" i="10"/>
  <c r="U259" i="10" s="1"/>
  <c r="Q259" i="10"/>
  <c r="P259" i="10"/>
  <c r="O259" i="10"/>
  <c r="M259" i="10"/>
  <c r="M261" i="10" s="1"/>
  <c r="K259" i="10"/>
  <c r="J259" i="10"/>
  <c r="V259" i="10" s="1"/>
  <c r="I259" i="10"/>
  <c r="H259" i="10"/>
  <c r="G259" i="10"/>
  <c r="T258" i="10"/>
  <c r="S258" i="10"/>
  <c r="U258" i="10" s="1"/>
  <c r="Q258" i="10"/>
  <c r="P258" i="10"/>
  <c r="O258" i="10"/>
  <c r="N258" i="10"/>
  <c r="M258" i="10"/>
  <c r="K258" i="10"/>
  <c r="J258" i="10"/>
  <c r="I258" i="10"/>
  <c r="H258" i="10"/>
  <c r="G258" i="10"/>
  <c r="T252" i="10"/>
  <c r="R252" i="10"/>
  <c r="Q252" i="10"/>
  <c r="P252" i="10"/>
  <c r="N252" i="10"/>
  <c r="L252" i="10"/>
  <c r="K252" i="10"/>
  <c r="J252" i="10"/>
  <c r="I252" i="10"/>
  <c r="H252" i="10"/>
  <c r="S251" i="10"/>
  <c r="M251" i="10"/>
  <c r="S250" i="10"/>
  <c r="M250" i="10"/>
  <c r="S249" i="10"/>
  <c r="M249" i="10"/>
  <c r="S248" i="10"/>
  <c r="M248" i="10"/>
  <c r="U247" i="10"/>
  <c r="S247" i="10"/>
  <c r="M247" i="10"/>
  <c r="S246" i="10"/>
  <c r="M246" i="10"/>
  <c r="S245" i="10"/>
  <c r="M245" i="10"/>
  <c r="S244" i="10"/>
  <c r="M244" i="10"/>
  <c r="U243" i="10"/>
  <c r="S243" i="10" s="1"/>
  <c r="M243" i="10"/>
  <c r="S242" i="10"/>
  <c r="M242" i="10"/>
  <c r="S241" i="10"/>
  <c r="M241" i="10"/>
  <c r="S240" i="10"/>
  <c r="M240" i="10"/>
  <c r="S239" i="10"/>
  <c r="M239" i="10"/>
  <c r="S238" i="10"/>
  <c r="M238" i="10"/>
  <c r="U237" i="10"/>
  <c r="S237" i="10"/>
  <c r="M237" i="10"/>
  <c r="S236" i="10"/>
  <c r="M236" i="10"/>
  <c r="S235" i="10"/>
  <c r="M235" i="10"/>
  <c r="S234" i="10"/>
  <c r="M234" i="10"/>
  <c r="S233" i="10"/>
  <c r="M233" i="10"/>
  <c r="S232" i="10"/>
  <c r="M232" i="10"/>
  <c r="U231" i="10"/>
  <c r="S231" i="10" s="1"/>
  <c r="M231" i="10"/>
  <c r="S230" i="10"/>
  <c r="M230" i="10"/>
  <c r="S229" i="10"/>
  <c r="M229" i="10"/>
  <c r="S228" i="10"/>
  <c r="M228" i="10"/>
  <c r="U227" i="10"/>
  <c r="S227" i="10"/>
  <c r="M227" i="10"/>
  <c r="S226" i="10"/>
  <c r="M226" i="10"/>
  <c r="S225" i="10"/>
  <c r="M225" i="10"/>
  <c r="S224" i="10"/>
  <c r="M224" i="10"/>
  <c r="S223" i="10"/>
  <c r="M223" i="10"/>
  <c r="S222" i="10"/>
  <c r="M222" i="10"/>
  <c r="S221" i="10"/>
  <c r="M221" i="10"/>
  <c r="S220" i="10"/>
  <c r="M220" i="10"/>
  <c r="S219" i="10"/>
  <c r="M219" i="10"/>
  <c r="S218" i="10"/>
  <c r="M218" i="10"/>
  <c r="S217" i="10"/>
  <c r="M217" i="10"/>
  <c r="S216" i="10"/>
  <c r="M216" i="10"/>
  <c r="U215" i="10"/>
  <c r="S215" i="10" s="1"/>
  <c r="M215" i="10"/>
  <c r="S214" i="10"/>
  <c r="M214" i="10"/>
  <c r="S213" i="10"/>
  <c r="M213" i="10"/>
  <c r="S212" i="10"/>
  <c r="M212" i="10"/>
  <c r="S211" i="10"/>
  <c r="M211" i="10"/>
  <c r="S210" i="10"/>
  <c r="M210" i="10"/>
  <c r="U209" i="10"/>
  <c r="S209" i="10"/>
  <c r="M209" i="10"/>
  <c r="S208" i="10"/>
  <c r="M208" i="10"/>
  <c r="S207" i="10"/>
  <c r="M207" i="10"/>
  <c r="S206" i="10"/>
  <c r="M206" i="10"/>
  <c r="S205" i="10"/>
  <c r="M205" i="10"/>
  <c r="S204" i="10"/>
  <c r="M204" i="10"/>
  <c r="S203" i="10"/>
  <c r="M203" i="10"/>
  <c r="S202" i="10"/>
  <c r="M202" i="10"/>
  <c r="S201" i="10"/>
  <c r="M201" i="10"/>
  <c r="S200" i="10"/>
  <c r="M200" i="10"/>
  <c r="S199" i="10"/>
  <c r="M199" i="10"/>
  <c r="S198" i="10"/>
  <c r="M198" i="10"/>
  <c r="S197" i="10"/>
  <c r="M197" i="10"/>
  <c r="S196" i="10"/>
  <c r="M196" i="10"/>
  <c r="S195" i="10"/>
  <c r="M195" i="10"/>
  <c r="S194" i="10"/>
  <c r="M194" i="10"/>
  <c r="S193" i="10"/>
  <c r="M193" i="10"/>
  <c r="S192" i="10"/>
  <c r="M192" i="10"/>
  <c r="S191" i="10"/>
  <c r="M191" i="10"/>
  <c r="S190" i="10"/>
  <c r="M190" i="10"/>
  <c r="U189" i="10"/>
  <c r="S189" i="10" s="1"/>
  <c r="M189" i="10"/>
  <c r="S188" i="10"/>
  <c r="M188" i="10"/>
  <c r="S187" i="10"/>
  <c r="M187" i="10"/>
  <c r="S186" i="10"/>
  <c r="M186" i="10"/>
  <c r="S185" i="10"/>
  <c r="M185" i="10"/>
  <c r="S184" i="10"/>
  <c r="M184" i="10"/>
  <c r="U183" i="10"/>
  <c r="S183" i="10"/>
  <c r="M183" i="10"/>
  <c r="S182" i="10"/>
  <c r="M182" i="10"/>
  <c r="U181" i="10"/>
  <c r="S181" i="10" s="1"/>
  <c r="M181" i="10"/>
  <c r="S180" i="10"/>
  <c r="M180" i="10"/>
  <c r="S179" i="10"/>
  <c r="M179" i="10"/>
  <c r="S178" i="10"/>
  <c r="M178" i="10"/>
  <c r="S177" i="10"/>
  <c r="M177" i="10"/>
  <c r="S176" i="10"/>
  <c r="M176" i="10"/>
  <c r="S175" i="10"/>
  <c r="M175" i="10"/>
  <c r="U174" i="10"/>
  <c r="S174" i="10"/>
  <c r="M174" i="10"/>
  <c r="S173" i="10"/>
  <c r="M173" i="10"/>
  <c r="S172" i="10"/>
  <c r="M172" i="10"/>
  <c r="S171" i="10"/>
  <c r="M171" i="10"/>
  <c r="S170" i="10"/>
  <c r="M170" i="10"/>
  <c r="S169" i="10"/>
  <c r="M169" i="10"/>
  <c r="S168" i="10"/>
  <c r="M168" i="10"/>
  <c r="S167" i="10"/>
  <c r="M167" i="10"/>
  <c r="U166" i="10"/>
  <c r="S166" i="10" s="1"/>
  <c r="M166" i="10"/>
  <c r="S165" i="10"/>
  <c r="M165" i="10"/>
  <c r="S164" i="10"/>
  <c r="M164" i="10"/>
  <c r="S163" i="10"/>
  <c r="M163" i="10"/>
  <c r="U162" i="10"/>
  <c r="S162" i="10"/>
  <c r="M162" i="10"/>
  <c r="S161" i="10"/>
  <c r="M161" i="10"/>
  <c r="U160" i="10"/>
  <c r="S160" i="10" s="1"/>
  <c r="M160" i="10"/>
  <c r="S159" i="10"/>
  <c r="M159" i="10"/>
  <c r="U158" i="10"/>
  <c r="S158" i="10"/>
  <c r="M158" i="10"/>
  <c r="S157" i="10"/>
  <c r="M157" i="10"/>
  <c r="S156" i="10"/>
  <c r="M156" i="10"/>
  <c r="S155" i="10"/>
  <c r="M155" i="10"/>
  <c r="S154" i="10"/>
  <c r="M154" i="10"/>
  <c r="S153" i="10"/>
  <c r="M153" i="10"/>
  <c r="S152" i="10"/>
  <c r="M152" i="10"/>
  <c r="S151" i="10"/>
  <c r="M151" i="10"/>
  <c r="U150" i="10"/>
  <c r="S150" i="10" s="1"/>
  <c r="M150" i="10"/>
  <c r="S149" i="10"/>
  <c r="M149" i="10"/>
  <c r="U148" i="10"/>
  <c r="S148" i="10"/>
  <c r="M148" i="10"/>
  <c r="S147" i="10"/>
  <c r="M147" i="10"/>
  <c r="S146" i="10"/>
  <c r="M146" i="10"/>
  <c r="S145" i="10"/>
  <c r="M145" i="10"/>
  <c r="S144" i="10"/>
  <c r="M144" i="10"/>
  <c r="U143" i="10"/>
  <c r="S143" i="10" s="1"/>
  <c r="M143" i="10"/>
  <c r="S142" i="10"/>
  <c r="M142" i="10"/>
  <c r="S141" i="10"/>
  <c r="M141" i="10"/>
  <c r="S140" i="10"/>
  <c r="M140" i="10"/>
  <c r="S139" i="10"/>
  <c r="M139" i="10"/>
  <c r="U138" i="10"/>
  <c r="S138" i="10"/>
  <c r="M138" i="10"/>
  <c r="S137" i="10"/>
  <c r="M137" i="10"/>
  <c r="S136" i="10"/>
  <c r="M136" i="10"/>
  <c r="S135" i="10"/>
  <c r="M135" i="10"/>
  <c r="S134" i="10"/>
  <c r="M134" i="10"/>
  <c r="S133" i="10"/>
  <c r="M133" i="10"/>
  <c r="S132" i="10"/>
  <c r="M132" i="10"/>
  <c r="S131" i="10"/>
  <c r="M131" i="10"/>
  <c r="S130" i="10"/>
  <c r="M130" i="10"/>
  <c r="S129" i="10"/>
  <c r="M129" i="10"/>
  <c r="U128" i="10"/>
  <c r="S128" i="10" s="1"/>
  <c r="M128" i="10"/>
  <c r="S127" i="10"/>
  <c r="M127" i="10"/>
  <c r="S126" i="10"/>
  <c r="M126" i="10"/>
  <c r="S125" i="10"/>
  <c r="M125" i="10"/>
  <c r="S124" i="10"/>
  <c r="M124" i="10"/>
  <c r="S123" i="10"/>
  <c r="M123" i="10"/>
  <c r="S122" i="10"/>
  <c r="M122" i="10"/>
  <c r="S121" i="10"/>
  <c r="M121" i="10"/>
  <c r="S120" i="10"/>
  <c r="M120" i="10"/>
  <c r="S119" i="10"/>
  <c r="M119" i="10"/>
  <c r="S118" i="10"/>
  <c r="M118" i="10"/>
  <c r="S117" i="10"/>
  <c r="M117" i="10"/>
  <c r="S116" i="10"/>
  <c r="M116" i="10"/>
  <c r="S115" i="10"/>
  <c r="M115" i="10"/>
  <c r="S114" i="10"/>
  <c r="M114" i="10"/>
  <c r="S113" i="10"/>
  <c r="M113" i="10"/>
  <c r="S112" i="10"/>
  <c r="M112" i="10"/>
  <c r="S111" i="10"/>
  <c r="M111" i="10"/>
  <c r="S110" i="10"/>
  <c r="M110" i="10"/>
  <c r="S109" i="10"/>
  <c r="M109" i="10"/>
  <c r="S108" i="10"/>
  <c r="M108" i="10"/>
  <c r="S107" i="10"/>
  <c r="M107" i="10"/>
  <c r="S106" i="10"/>
  <c r="M106" i="10"/>
  <c r="S105" i="10"/>
  <c r="M105" i="10"/>
  <c r="S104" i="10"/>
  <c r="M104" i="10"/>
  <c r="S103" i="10"/>
  <c r="M103" i="10"/>
  <c r="S102" i="10"/>
  <c r="M102" i="10"/>
  <c r="S101" i="10"/>
  <c r="M101" i="10"/>
  <c r="S100" i="10"/>
  <c r="M100" i="10"/>
  <c r="S99" i="10"/>
  <c r="M99" i="10"/>
  <c r="U98" i="10"/>
  <c r="S98" i="10"/>
  <c r="M98" i="10"/>
  <c r="S97" i="10"/>
  <c r="M97" i="10"/>
  <c r="S96" i="10"/>
  <c r="M96" i="10"/>
  <c r="S95" i="10"/>
  <c r="M95" i="10"/>
  <c r="U94" i="10"/>
  <c r="S94" i="10" s="1"/>
  <c r="M94" i="10"/>
  <c r="S93" i="10"/>
  <c r="M93" i="10"/>
  <c r="S92" i="10"/>
  <c r="O92" i="10"/>
  <c r="S91" i="10"/>
  <c r="M91" i="10"/>
  <c r="S90" i="10"/>
  <c r="M90" i="10"/>
  <c r="S89" i="10"/>
  <c r="M89" i="10"/>
  <c r="S88" i="10"/>
  <c r="M88" i="10"/>
  <c r="S87" i="10"/>
  <c r="M87" i="10"/>
  <c r="S86" i="10"/>
  <c r="M86" i="10"/>
  <c r="S85" i="10"/>
  <c r="M85" i="10"/>
  <c r="S84" i="10"/>
  <c r="M84" i="10"/>
  <c r="S83" i="10"/>
  <c r="M83" i="10"/>
  <c r="S82" i="10"/>
  <c r="M82" i="10"/>
  <c r="S81" i="10"/>
  <c r="M81" i="10"/>
  <c r="S80" i="10"/>
  <c r="M80" i="10"/>
  <c r="S79" i="10"/>
  <c r="M79" i="10"/>
  <c r="S78" i="10"/>
  <c r="M78" i="10"/>
  <c r="S77" i="10"/>
  <c r="M77" i="10"/>
  <c r="S76" i="10"/>
  <c r="M76" i="10"/>
  <c r="S75" i="10"/>
  <c r="M75" i="10"/>
  <c r="S74" i="10"/>
  <c r="M74" i="10"/>
  <c r="S73" i="10"/>
  <c r="M73" i="10"/>
  <c r="S72" i="10"/>
  <c r="M72" i="10"/>
  <c r="S71" i="10"/>
  <c r="M71" i="10"/>
  <c r="S70" i="10"/>
  <c r="M70" i="10"/>
  <c r="S69" i="10"/>
  <c r="M69" i="10"/>
  <c r="S68" i="10"/>
  <c r="M68" i="10"/>
  <c r="S67" i="10"/>
  <c r="M67" i="10"/>
  <c r="S66" i="10"/>
  <c r="M66" i="10"/>
  <c r="S65" i="10"/>
  <c r="M65" i="10"/>
  <c r="S64" i="10"/>
  <c r="M64" i="10"/>
  <c r="S63" i="10"/>
  <c r="M63" i="10"/>
  <c r="S62" i="10"/>
  <c r="M62" i="10"/>
  <c r="S61" i="10"/>
  <c r="M61" i="10"/>
  <c r="S60" i="10"/>
  <c r="M60" i="10"/>
  <c r="S59" i="10"/>
  <c r="M59" i="10"/>
  <c r="S58" i="10"/>
  <c r="M58" i="10"/>
  <c r="S57" i="10"/>
  <c r="M57" i="10"/>
  <c r="S56" i="10"/>
  <c r="M56" i="10"/>
  <c r="S55" i="10"/>
  <c r="M55" i="10"/>
  <c r="S54" i="10"/>
  <c r="M54" i="10"/>
  <c r="S53" i="10"/>
  <c r="M53" i="10"/>
  <c r="S52" i="10"/>
  <c r="M52" i="10"/>
  <c r="S51" i="10"/>
  <c r="M51" i="10"/>
  <c r="S50" i="10"/>
  <c r="M50" i="10"/>
  <c r="S49" i="10"/>
  <c r="M49" i="10"/>
  <c r="U48" i="10"/>
  <c r="S48" i="10" s="1"/>
  <c r="M48" i="10"/>
  <c r="S47" i="10"/>
  <c r="M47" i="10"/>
  <c r="S46" i="10"/>
  <c r="M46" i="10"/>
  <c r="S45" i="10"/>
  <c r="M45" i="10"/>
  <c r="S44" i="10"/>
  <c r="M44" i="10"/>
  <c r="S43" i="10"/>
  <c r="M43" i="10"/>
  <c r="S42" i="10"/>
  <c r="M42" i="10"/>
  <c r="S41" i="10"/>
  <c r="M41" i="10"/>
  <c r="S40" i="10"/>
  <c r="M40" i="10"/>
  <c r="S39" i="10"/>
  <c r="M39" i="10"/>
  <c r="S38" i="10"/>
  <c r="M38" i="10"/>
  <c r="S37" i="10"/>
  <c r="M37" i="10"/>
  <c r="S36" i="10"/>
  <c r="M36" i="10"/>
  <c r="S35" i="10"/>
  <c r="M35" i="10"/>
  <c r="S34" i="10"/>
  <c r="M34" i="10"/>
  <c r="S33" i="10"/>
  <c r="M33" i="10"/>
  <c r="S32" i="10"/>
  <c r="M32" i="10"/>
  <c r="S31" i="10"/>
  <c r="M31" i="10"/>
  <c r="U30" i="10"/>
  <c r="S30" i="10"/>
  <c r="M30" i="10"/>
  <c r="S29" i="10"/>
  <c r="M29" i="10"/>
  <c r="U28" i="10"/>
  <c r="S28" i="10" s="1"/>
  <c r="M28" i="10"/>
  <c r="S27" i="10"/>
  <c r="M27" i="10"/>
  <c r="S26" i="10"/>
  <c r="M26" i="10"/>
  <c r="S25" i="10"/>
  <c r="M25" i="10"/>
  <c r="S24" i="10"/>
  <c r="M24" i="10"/>
  <c r="S23" i="10"/>
  <c r="M23" i="10"/>
  <c r="S22" i="10"/>
  <c r="M22" i="10"/>
  <c r="S21" i="10"/>
  <c r="M21" i="10"/>
  <c r="S20" i="10"/>
  <c r="M20" i="10"/>
  <c r="S19" i="10"/>
  <c r="M19" i="10"/>
  <c r="S18" i="10"/>
  <c r="M18" i="10"/>
  <c r="S17" i="10"/>
  <c r="M17" i="10"/>
  <c r="U16" i="10"/>
  <c r="S16" i="10"/>
  <c r="M16" i="10"/>
  <c r="S15" i="10"/>
  <c r="M15" i="10"/>
  <c r="S14" i="10"/>
  <c r="M14" i="10"/>
  <c r="S13" i="10"/>
  <c r="M13" i="10"/>
  <c r="S12" i="10"/>
  <c r="R259" i="10" s="1"/>
  <c r="M12" i="10"/>
  <c r="S11" i="10"/>
  <c r="M11" i="10"/>
  <c r="S10" i="10"/>
  <c r="R260" i="10" s="1"/>
  <c r="M10" i="10"/>
  <c r="S9" i="10"/>
  <c r="M9" i="10"/>
  <c r="V260" i="9"/>
  <c r="T260" i="9"/>
  <c r="S260" i="9"/>
  <c r="S261" i="9" s="1"/>
  <c r="Q260" i="9"/>
  <c r="Q261" i="9" s="1"/>
  <c r="P260" i="9"/>
  <c r="P261" i="9" s="1"/>
  <c r="O260" i="9"/>
  <c r="O261" i="9" s="1"/>
  <c r="N260" i="9"/>
  <c r="M260" i="9"/>
  <c r="M261" i="9" s="1"/>
  <c r="K260" i="9"/>
  <c r="K261" i="9" s="1"/>
  <c r="J260" i="9"/>
  <c r="I260" i="9"/>
  <c r="I261" i="9" s="1"/>
  <c r="H260" i="9"/>
  <c r="H261" i="9" s="1"/>
  <c r="G260" i="9"/>
  <c r="G261" i="9" s="1"/>
  <c r="S259" i="9"/>
  <c r="U259" i="9" s="1"/>
  <c r="Q259" i="9"/>
  <c r="P259" i="9"/>
  <c r="O259" i="9"/>
  <c r="N259" i="9"/>
  <c r="N261" i="9" s="1"/>
  <c r="M259" i="9"/>
  <c r="K259" i="9"/>
  <c r="J259" i="9"/>
  <c r="V259" i="9" s="1"/>
  <c r="I259" i="9"/>
  <c r="H259" i="9"/>
  <c r="G259" i="9"/>
  <c r="V258" i="9"/>
  <c r="T258" i="9"/>
  <c r="S258" i="9"/>
  <c r="U258" i="9" s="1"/>
  <c r="Q258" i="9"/>
  <c r="P258" i="9"/>
  <c r="O258" i="9"/>
  <c r="N258" i="9"/>
  <c r="M258" i="9"/>
  <c r="K258" i="9"/>
  <c r="J258" i="9"/>
  <c r="I258" i="9"/>
  <c r="H258" i="9"/>
  <c r="G258" i="9"/>
  <c r="T252" i="9"/>
  <c r="R252" i="9"/>
  <c r="Q252" i="9"/>
  <c r="P252" i="9"/>
  <c r="O252" i="9"/>
  <c r="N252" i="9"/>
  <c r="L252" i="9"/>
  <c r="K252" i="9"/>
  <c r="J252" i="9"/>
  <c r="I252" i="9"/>
  <c r="H252" i="9"/>
  <c r="S251" i="9"/>
  <c r="M251" i="9"/>
  <c r="S250" i="9"/>
  <c r="M250" i="9"/>
  <c r="S249" i="9"/>
  <c r="M249" i="9"/>
  <c r="S248" i="9"/>
  <c r="M248" i="9"/>
  <c r="U247" i="9"/>
  <c r="S247" i="9" s="1"/>
  <c r="M247" i="9"/>
  <c r="S246" i="9"/>
  <c r="M246" i="9"/>
  <c r="S245" i="9"/>
  <c r="M245" i="9"/>
  <c r="S244" i="9"/>
  <c r="M244" i="9"/>
  <c r="U243" i="9"/>
  <c r="S243" i="9"/>
  <c r="M243" i="9"/>
  <c r="S242" i="9"/>
  <c r="M242" i="9"/>
  <c r="S241" i="9"/>
  <c r="M241" i="9"/>
  <c r="S240" i="9"/>
  <c r="M240" i="9"/>
  <c r="S239" i="9"/>
  <c r="M239" i="9"/>
  <c r="S238" i="9"/>
  <c r="M238" i="9"/>
  <c r="U237" i="9"/>
  <c r="S237" i="9" s="1"/>
  <c r="M237" i="9"/>
  <c r="S236" i="9"/>
  <c r="M236" i="9"/>
  <c r="S235" i="9"/>
  <c r="M235" i="9"/>
  <c r="S234" i="9"/>
  <c r="M234" i="9"/>
  <c r="S233" i="9"/>
  <c r="M233" i="9"/>
  <c r="S232" i="9"/>
  <c r="M232" i="9"/>
  <c r="U231" i="9"/>
  <c r="S231" i="9"/>
  <c r="M231" i="9"/>
  <c r="S230" i="9"/>
  <c r="M230" i="9"/>
  <c r="S229" i="9"/>
  <c r="M229" i="9"/>
  <c r="S228" i="9"/>
  <c r="M228" i="9"/>
  <c r="U227" i="9"/>
  <c r="S227" i="9" s="1"/>
  <c r="M227" i="9"/>
  <c r="S226" i="9"/>
  <c r="M226" i="9"/>
  <c r="S225" i="9"/>
  <c r="M225" i="9"/>
  <c r="S224" i="9"/>
  <c r="M224" i="9"/>
  <c r="S223" i="9"/>
  <c r="M223" i="9"/>
  <c r="S222" i="9"/>
  <c r="M222" i="9"/>
  <c r="S221" i="9"/>
  <c r="M221" i="9"/>
  <c r="S220" i="9"/>
  <c r="M220" i="9"/>
  <c r="S219" i="9"/>
  <c r="M219" i="9"/>
  <c r="S218" i="9"/>
  <c r="M218" i="9"/>
  <c r="S217" i="9"/>
  <c r="M217" i="9"/>
  <c r="S216" i="9"/>
  <c r="M216" i="9"/>
  <c r="U215" i="9"/>
  <c r="S215" i="9"/>
  <c r="M215" i="9"/>
  <c r="S214" i="9"/>
  <c r="M214" i="9"/>
  <c r="S213" i="9"/>
  <c r="M213" i="9"/>
  <c r="S212" i="9"/>
  <c r="M212" i="9"/>
  <c r="S211" i="9"/>
  <c r="M211" i="9"/>
  <c r="S210" i="9"/>
  <c r="M210" i="9"/>
  <c r="U209" i="9"/>
  <c r="S209" i="9" s="1"/>
  <c r="M209" i="9"/>
  <c r="S208" i="9"/>
  <c r="M208" i="9"/>
  <c r="S207" i="9"/>
  <c r="M207" i="9"/>
  <c r="S206" i="9"/>
  <c r="M206" i="9"/>
  <c r="S205" i="9"/>
  <c r="M205" i="9"/>
  <c r="S204" i="9"/>
  <c r="M204" i="9"/>
  <c r="S203" i="9"/>
  <c r="M203" i="9"/>
  <c r="S202" i="9"/>
  <c r="M202" i="9"/>
  <c r="S201" i="9"/>
  <c r="M201" i="9"/>
  <c r="S200" i="9"/>
  <c r="M200" i="9"/>
  <c r="S199" i="9"/>
  <c r="M199" i="9"/>
  <c r="S198" i="9"/>
  <c r="M198" i="9"/>
  <c r="S197" i="9"/>
  <c r="M197" i="9"/>
  <c r="S196" i="9"/>
  <c r="M196" i="9"/>
  <c r="S195" i="9"/>
  <c r="M195" i="9"/>
  <c r="S194" i="9"/>
  <c r="M194" i="9"/>
  <c r="S193" i="9"/>
  <c r="M193" i="9"/>
  <c r="S192" i="9"/>
  <c r="M192" i="9"/>
  <c r="S191" i="9"/>
  <c r="M191" i="9"/>
  <c r="S190" i="9"/>
  <c r="M190" i="9"/>
  <c r="U189" i="9"/>
  <c r="S189" i="9"/>
  <c r="M189" i="9"/>
  <c r="S188" i="9"/>
  <c r="M188" i="9"/>
  <c r="S187" i="9"/>
  <c r="M187" i="9"/>
  <c r="S186" i="9"/>
  <c r="M186" i="9"/>
  <c r="S185" i="9"/>
  <c r="M185" i="9"/>
  <c r="S184" i="9"/>
  <c r="M184" i="9"/>
  <c r="U183" i="9"/>
  <c r="S183" i="9" s="1"/>
  <c r="M183" i="9"/>
  <c r="S182" i="9"/>
  <c r="M182" i="9"/>
  <c r="U181" i="9"/>
  <c r="S181" i="9"/>
  <c r="M181" i="9"/>
  <c r="S180" i="9"/>
  <c r="M180" i="9"/>
  <c r="S179" i="9"/>
  <c r="M179" i="9"/>
  <c r="S178" i="9"/>
  <c r="M178" i="9"/>
  <c r="S177" i="9"/>
  <c r="M177" i="9"/>
  <c r="S176" i="9"/>
  <c r="M176" i="9"/>
  <c r="S175" i="9"/>
  <c r="M175" i="9"/>
  <c r="U174" i="9"/>
  <c r="S174" i="9" s="1"/>
  <c r="M174" i="9"/>
  <c r="S173" i="9"/>
  <c r="M173" i="9"/>
  <c r="S172" i="9"/>
  <c r="M172" i="9"/>
  <c r="S171" i="9"/>
  <c r="M171" i="9"/>
  <c r="S170" i="9"/>
  <c r="M170" i="9"/>
  <c r="S169" i="9"/>
  <c r="M169" i="9"/>
  <c r="S168" i="9"/>
  <c r="M168" i="9"/>
  <c r="S167" i="9"/>
  <c r="M167" i="9"/>
  <c r="U166" i="9"/>
  <c r="S166" i="9"/>
  <c r="M166" i="9"/>
  <c r="S165" i="9"/>
  <c r="M165" i="9"/>
  <c r="S164" i="9"/>
  <c r="M164" i="9"/>
  <c r="S163" i="9"/>
  <c r="M163" i="9"/>
  <c r="U162" i="9"/>
  <c r="S162" i="9" s="1"/>
  <c r="M162" i="9"/>
  <c r="S161" i="9"/>
  <c r="M161" i="9"/>
  <c r="U160" i="9"/>
  <c r="S160" i="9"/>
  <c r="M160" i="9"/>
  <c r="S159" i="9"/>
  <c r="M159" i="9"/>
  <c r="U158" i="9"/>
  <c r="S158" i="9" s="1"/>
  <c r="M158" i="9"/>
  <c r="S157" i="9"/>
  <c r="M157" i="9"/>
  <c r="S156" i="9"/>
  <c r="M156" i="9"/>
  <c r="S155" i="9"/>
  <c r="M155" i="9"/>
  <c r="S154" i="9"/>
  <c r="M154" i="9"/>
  <c r="S153" i="9"/>
  <c r="M153" i="9"/>
  <c r="S152" i="9"/>
  <c r="M152" i="9"/>
  <c r="S151" i="9"/>
  <c r="M151" i="9"/>
  <c r="U150" i="9"/>
  <c r="S150" i="9"/>
  <c r="M150" i="9"/>
  <c r="S149" i="9"/>
  <c r="M149" i="9"/>
  <c r="U148" i="9"/>
  <c r="S148" i="9" s="1"/>
  <c r="M148" i="9"/>
  <c r="S147" i="9"/>
  <c r="M147" i="9"/>
  <c r="S146" i="9"/>
  <c r="M146" i="9"/>
  <c r="S145" i="9"/>
  <c r="M145" i="9"/>
  <c r="S144" i="9"/>
  <c r="M144" i="9"/>
  <c r="U143" i="9"/>
  <c r="S143" i="9"/>
  <c r="M143" i="9"/>
  <c r="S142" i="9"/>
  <c r="M142" i="9"/>
  <c r="S141" i="9"/>
  <c r="M141" i="9"/>
  <c r="S140" i="9"/>
  <c r="M140" i="9"/>
  <c r="S139" i="9"/>
  <c r="M139" i="9"/>
  <c r="U138" i="9"/>
  <c r="S138" i="9" s="1"/>
  <c r="M138" i="9"/>
  <c r="S137" i="9"/>
  <c r="M137" i="9"/>
  <c r="S136" i="9"/>
  <c r="M136" i="9"/>
  <c r="S135" i="9"/>
  <c r="M135" i="9"/>
  <c r="S134" i="9"/>
  <c r="M134" i="9"/>
  <c r="S133" i="9"/>
  <c r="M133" i="9"/>
  <c r="S132" i="9"/>
  <c r="M132" i="9"/>
  <c r="S131" i="9"/>
  <c r="M131" i="9"/>
  <c r="S130" i="9"/>
  <c r="M130" i="9"/>
  <c r="S129" i="9"/>
  <c r="M129" i="9"/>
  <c r="U128" i="9"/>
  <c r="S128" i="9"/>
  <c r="M128" i="9"/>
  <c r="S127" i="9"/>
  <c r="M127" i="9"/>
  <c r="S126" i="9"/>
  <c r="M126" i="9"/>
  <c r="S125" i="9"/>
  <c r="M125" i="9"/>
  <c r="S124" i="9"/>
  <c r="M124" i="9"/>
  <c r="S123" i="9"/>
  <c r="M123" i="9"/>
  <c r="S122" i="9"/>
  <c r="M122" i="9"/>
  <c r="S121" i="9"/>
  <c r="M121" i="9"/>
  <c r="S120" i="9"/>
  <c r="M120" i="9"/>
  <c r="S119" i="9"/>
  <c r="M119" i="9"/>
  <c r="S118" i="9"/>
  <c r="M118" i="9"/>
  <c r="S117" i="9"/>
  <c r="M117" i="9"/>
  <c r="S116" i="9"/>
  <c r="M116" i="9"/>
  <c r="S115" i="9"/>
  <c r="M115" i="9"/>
  <c r="S114" i="9"/>
  <c r="M114" i="9"/>
  <c r="S113" i="9"/>
  <c r="M113" i="9"/>
  <c r="S112" i="9"/>
  <c r="M112" i="9"/>
  <c r="S111" i="9"/>
  <c r="M111" i="9"/>
  <c r="S110" i="9"/>
  <c r="M110" i="9"/>
  <c r="S109" i="9"/>
  <c r="M109" i="9"/>
  <c r="S108" i="9"/>
  <c r="M108" i="9"/>
  <c r="S107" i="9"/>
  <c r="M107" i="9"/>
  <c r="S106" i="9"/>
  <c r="M106" i="9"/>
  <c r="S105" i="9"/>
  <c r="M105" i="9"/>
  <c r="S104" i="9"/>
  <c r="M104" i="9"/>
  <c r="S103" i="9"/>
  <c r="M103" i="9"/>
  <c r="S102" i="9"/>
  <c r="M102" i="9"/>
  <c r="S101" i="9"/>
  <c r="M101" i="9"/>
  <c r="S100" i="9"/>
  <c r="M100" i="9"/>
  <c r="S99" i="9"/>
  <c r="M99" i="9"/>
  <c r="U98" i="9"/>
  <c r="S98" i="9" s="1"/>
  <c r="M98" i="9"/>
  <c r="S97" i="9"/>
  <c r="M97" i="9"/>
  <c r="S96" i="9"/>
  <c r="M96" i="9"/>
  <c r="S95" i="9"/>
  <c r="M95" i="9"/>
  <c r="U94" i="9"/>
  <c r="S94" i="9"/>
  <c r="M94" i="9"/>
  <c r="S93" i="9"/>
  <c r="M93" i="9"/>
  <c r="S92" i="9"/>
  <c r="O92" i="9"/>
  <c r="M92" i="9"/>
  <c r="S91" i="9"/>
  <c r="M91" i="9"/>
  <c r="S90" i="9"/>
  <c r="M90" i="9"/>
  <c r="S89" i="9"/>
  <c r="M89" i="9"/>
  <c r="S88" i="9"/>
  <c r="M88" i="9"/>
  <c r="S87" i="9"/>
  <c r="M87" i="9"/>
  <c r="S86" i="9"/>
  <c r="M86" i="9"/>
  <c r="S85" i="9"/>
  <c r="M85" i="9"/>
  <c r="S84" i="9"/>
  <c r="M84" i="9"/>
  <c r="S83" i="9"/>
  <c r="M83" i="9"/>
  <c r="S82" i="9"/>
  <c r="M82" i="9"/>
  <c r="S81" i="9"/>
  <c r="M81" i="9"/>
  <c r="S80" i="9"/>
  <c r="M80" i="9"/>
  <c r="S79" i="9"/>
  <c r="M79" i="9"/>
  <c r="S78" i="9"/>
  <c r="M78" i="9"/>
  <c r="S77" i="9"/>
  <c r="M77" i="9"/>
  <c r="S76" i="9"/>
  <c r="M76" i="9"/>
  <c r="S75" i="9"/>
  <c r="M75" i="9"/>
  <c r="S74" i="9"/>
  <c r="M74" i="9"/>
  <c r="S73" i="9"/>
  <c r="M73" i="9"/>
  <c r="S72" i="9"/>
  <c r="M72" i="9"/>
  <c r="S71" i="9"/>
  <c r="M71" i="9"/>
  <c r="S70" i="9"/>
  <c r="M70" i="9"/>
  <c r="S69" i="9"/>
  <c r="M69" i="9"/>
  <c r="S68" i="9"/>
  <c r="M68" i="9"/>
  <c r="S67" i="9"/>
  <c r="M67" i="9"/>
  <c r="S66" i="9"/>
  <c r="M66" i="9"/>
  <c r="S65" i="9"/>
  <c r="M65" i="9"/>
  <c r="S64" i="9"/>
  <c r="M64" i="9"/>
  <c r="S63" i="9"/>
  <c r="M63" i="9"/>
  <c r="S62" i="9"/>
  <c r="M62" i="9"/>
  <c r="S61" i="9"/>
  <c r="M61" i="9"/>
  <c r="S60" i="9"/>
  <c r="M60" i="9"/>
  <c r="S59" i="9"/>
  <c r="M59" i="9"/>
  <c r="S58" i="9"/>
  <c r="M58" i="9"/>
  <c r="S57" i="9"/>
  <c r="M57" i="9"/>
  <c r="S56" i="9"/>
  <c r="M56" i="9"/>
  <c r="S55" i="9"/>
  <c r="M55" i="9"/>
  <c r="S54" i="9"/>
  <c r="M54" i="9"/>
  <c r="S53" i="9"/>
  <c r="M53" i="9"/>
  <c r="S52" i="9"/>
  <c r="M52" i="9"/>
  <c r="S51" i="9"/>
  <c r="M51" i="9"/>
  <c r="S50" i="9"/>
  <c r="M50" i="9"/>
  <c r="S49" i="9"/>
  <c r="M49" i="9"/>
  <c r="U48" i="9"/>
  <c r="S48" i="9"/>
  <c r="M48" i="9"/>
  <c r="S47" i="9"/>
  <c r="M47" i="9"/>
  <c r="S46" i="9"/>
  <c r="M46" i="9"/>
  <c r="S45" i="9"/>
  <c r="M45" i="9"/>
  <c r="S44" i="9"/>
  <c r="M44" i="9"/>
  <c r="S43" i="9"/>
  <c r="M43" i="9"/>
  <c r="S42" i="9"/>
  <c r="M42" i="9"/>
  <c r="S41" i="9"/>
  <c r="M41" i="9"/>
  <c r="S40" i="9"/>
  <c r="M40" i="9"/>
  <c r="S39" i="9"/>
  <c r="M39" i="9"/>
  <c r="S38" i="9"/>
  <c r="M38" i="9"/>
  <c r="S37" i="9"/>
  <c r="M37" i="9"/>
  <c r="S36" i="9"/>
  <c r="M36" i="9"/>
  <c r="S35" i="9"/>
  <c r="M35" i="9"/>
  <c r="S34" i="9"/>
  <c r="M34" i="9"/>
  <c r="S33" i="9"/>
  <c r="M33" i="9"/>
  <c r="S32" i="9"/>
  <c r="M32" i="9"/>
  <c r="S31" i="9"/>
  <c r="M31" i="9"/>
  <c r="U30" i="9"/>
  <c r="S30" i="9" s="1"/>
  <c r="R259" i="9" s="1"/>
  <c r="M30" i="9"/>
  <c r="S29" i="9"/>
  <c r="M29" i="9"/>
  <c r="U28" i="9"/>
  <c r="S28" i="9"/>
  <c r="M28" i="9"/>
  <c r="S27" i="9"/>
  <c r="M27" i="9"/>
  <c r="S26" i="9"/>
  <c r="M26" i="9"/>
  <c r="S25" i="9"/>
  <c r="M25" i="9"/>
  <c r="S24" i="9"/>
  <c r="M24" i="9"/>
  <c r="S23" i="9"/>
  <c r="M23" i="9"/>
  <c r="S22" i="9"/>
  <c r="M22" i="9"/>
  <c r="S21" i="9"/>
  <c r="M21" i="9"/>
  <c r="S20" i="9"/>
  <c r="M20" i="9"/>
  <c r="S19" i="9"/>
  <c r="M19" i="9"/>
  <c r="S18" i="9"/>
  <c r="M18" i="9"/>
  <c r="S17" i="9"/>
  <c r="M17" i="9"/>
  <c r="U16" i="9"/>
  <c r="S16" i="9" s="1"/>
  <c r="M16" i="9"/>
  <c r="S15" i="9"/>
  <c r="M15" i="9"/>
  <c r="S14" i="9"/>
  <c r="M14" i="9"/>
  <c r="S13" i="9"/>
  <c r="M13" i="9"/>
  <c r="S12" i="9"/>
  <c r="M12" i="9"/>
  <c r="L259" i="9" s="1"/>
  <c r="S11" i="9"/>
  <c r="M11" i="9"/>
  <c r="S10" i="9"/>
  <c r="R260" i="9" s="1"/>
  <c r="M10" i="9"/>
  <c r="L260" i="9" s="1"/>
  <c r="S9" i="9"/>
  <c r="R258" i="9" s="1"/>
  <c r="M9" i="9"/>
  <c r="L258" i="9" s="1"/>
  <c r="T260" i="8"/>
  <c r="S260" i="8"/>
  <c r="S261" i="8" s="1"/>
  <c r="Q260" i="8"/>
  <c r="Q261" i="8" s="1"/>
  <c r="P260" i="8"/>
  <c r="P261" i="8" s="1"/>
  <c r="O260" i="8"/>
  <c r="O261" i="8" s="1"/>
  <c r="N260" i="8"/>
  <c r="N261" i="8" s="1"/>
  <c r="M260" i="8"/>
  <c r="M261" i="8" s="1"/>
  <c r="K260" i="8"/>
  <c r="K261" i="8" s="1"/>
  <c r="J260" i="8"/>
  <c r="J261" i="8" s="1"/>
  <c r="I260" i="8"/>
  <c r="I261" i="8" s="1"/>
  <c r="H260" i="8"/>
  <c r="H261" i="8" s="1"/>
  <c r="G260" i="8"/>
  <c r="G261" i="8" s="1"/>
  <c r="S259" i="8"/>
  <c r="U259" i="8" s="1"/>
  <c r="Q259" i="8"/>
  <c r="P259" i="8"/>
  <c r="O259" i="8"/>
  <c r="N259" i="8"/>
  <c r="M259" i="8"/>
  <c r="K259" i="8"/>
  <c r="J259" i="8"/>
  <c r="V259" i="8" s="1"/>
  <c r="I259" i="8"/>
  <c r="H259" i="8"/>
  <c r="G259" i="8"/>
  <c r="T258" i="8"/>
  <c r="S258" i="8"/>
  <c r="U258" i="8" s="1"/>
  <c r="Q258" i="8"/>
  <c r="P258" i="8"/>
  <c r="O258" i="8"/>
  <c r="N258" i="8"/>
  <c r="M258" i="8"/>
  <c r="K258" i="8"/>
  <c r="J258" i="8"/>
  <c r="V258" i="8" s="1"/>
  <c r="I258" i="8"/>
  <c r="H258" i="8"/>
  <c r="G258" i="8"/>
  <c r="T252" i="8"/>
  <c r="R252" i="8"/>
  <c r="Q252" i="8"/>
  <c r="P252" i="8"/>
  <c r="O252" i="8"/>
  <c r="N252" i="8"/>
  <c r="L252" i="8"/>
  <c r="K252" i="8"/>
  <c r="J252" i="8"/>
  <c r="I252" i="8"/>
  <c r="H252" i="8"/>
  <c r="S251" i="8"/>
  <c r="M251" i="8"/>
  <c r="S250" i="8"/>
  <c r="M250" i="8"/>
  <c r="S249" i="8"/>
  <c r="M249" i="8"/>
  <c r="S248" i="8"/>
  <c r="M248" i="8"/>
  <c r="S247" i="8"/>
  <c r="M247" i="8"/>
  <c r="S246" i="8"/>
  <c r="M246" i="8"/>
  <c r="S245" i="8"/>
  <c r="M245" i="8"/>
  <c r="S244" i="8"/>
  <c r="M244" i="8"/>
  <c r="U243" i="8"/>
  <c r="S243" i="8"/>
  <c r="M243" i="8"/>
  <c r="S242" i="8"/>
  <c r="M242" i="8"/>
  <c r="S241" i="8"/>
  <c r="M241" i="8"/>
  <c r="S240" i="8"/>
  <c r="M240" i="8"/>
  <c r="S239" i="8"/>
  <c r="M239" i="8"/>
  <c r="S238" i="8"/>
  <c r="M238" i="8"/>
  <c r="S237" i="8"/>
  <c r="M237" i="8"/>
  <c r="S236" i="8"/>
  <c r="M236" i="8"/>
  <c r="S235" i="8"/>
  <c r="M235" i="8"/>
  <c r="S234" i="8"/>
  <c r="M234" i="8"/>
  <c r="S233" i="8"/>
  <c r="M233" i="8"/>
  <c r="S232" i="8"/>
  <c r="M232" i="8"/>
  <c r="U231" i="8"/>
  <c r="S231" i="8" s="1"/>
  <c r="M231" i="8"/>
  <c r="S230" i="8"/>
  <c r="M230" i="8"/>
  <c r="S229" i="8"/>
  <c r="M229" i="8"/>
  <c r="S228" i="8"/>
  <c r="M228" i="8"/>
  <c r="U227" i="8"/>
  <c r="S227" i="8"/>
  <c r="M227" i="8"/>
  <c r="S226" i="8"/>
  <c r="M226" i="8"/>
  <c r="S225" i="8"/>
  <c r="M225" i="8"/>
  <c r="S224" i="8"/>
  <c r="M224" i="8"/>
  <c r="S223" i="8"/>
  <c r="M223" i="8"/>
  <c r="S222" i="8"/>
  <c r="M222" i="8"/>
  <c r="S221" i="8"/>
  <c r="M221" i="8"/>
  <c r="S220" i="8"/>
  <c r="M220" i="8"/>
  <c r="S219" i="8"/>
  <c r="M219" i="8"/>
  <c r="S218" i="8"/>
  <c r="M218" i="8"/>
  <c r="S217" i="8"/>
  <c r="M217" i="8"/>
  <c r="S216" i="8"/>
  <c r="M216" i="8"/>
  <c r="U215" i="8"/>
  <c r="S215" i="8" s="1"/>
  <c r="M215" i="8"/>
  <c r="S214" i="8"/>
  <c r="M214" i="8"/>
  <c r="S213" i="8"/>
  <c r="M213" i="8"/>
  <c r="S212" i="8"/>
  <c r="M212" i="8"/>
  <c r="S211" i="8"/>
  <c r="M211" i="8"/>
  <c r="S210" i="8"/>
  <c r="M210" i="8"/>
  <c r="U209" i="8"/>
  <c r="S209" i="8"/>
  <c r="M209" i="8"/>
  <c r="S208" i="8"/>
  <c r="M208" i="8"/>
  <c r="S207" i="8"/>
  <c r="M207" i="8"/>
  <c r="S206" i="8"/>
  <c r="M206" i="8"/>
  <c r="S205" i="8"/>
  <c r="M205" i="8"/>
  <c r="S204" i="8"/>
  <c r="M204" i="8"/>
  <c r="S203" i="8"/>
  <c r="M203" i="8"/>
  <c r="S202" i="8"/>
  <c r="M202" i="8"/>
  <c r="S201" i="8"/>
  <c r="M201" i="8"/>
  <c r="S200" i="8"/>
  <c r="M200" i="8"/>
  <c r="S199" i="8"/>
  <c r="M199" i="8"/>
  <c r="S198" i="8"/>
  <c r="M198" i="8"/>
  <c r="S197" i="8"/>
  <c r="M197" i="8"/>
  <c r="S196" i="8"/>
  <c r="M196" i="8"/>
  <c r="S195" i="8"/>
  <c r="M195" i="8"/>
  <c r="S194" i="8"/>
  <c r="M194" i="8"/>
  <c r="S193" i="8"/>
  <c r="M193" i="8"/>
  <c r="S192" i="8"/>
  <c r="M192" i="8"/>
  <c r="S191" i="8"/>
  <c r="M191" i="8"/>
  <c r="S190" i="8"/>
  <c r="M190" i="8"/>
  <c r="U189" i="8"/>
  <c r="S189" i="8" s="1"/>
  <c r="M189" i="8"/>
  <c r="S188" i="8"/>
  <c r="M188" i="8"/>
  <c r="S187" i="8"/>
  <c r="M187" i="8"/>
  <c r="S186" i="8"/>
  <c r="M186" i="8"/>
  <c r="S185" i="8"/>
  <c r="M185" i="8"/>
  <c r="S184" i="8"/>
  <c r="M184" i="8"/>
  <c r="U183" i="8"/>
  <c r="S183" i="8"/>
  <c r="M183" i="8"/>
  <c r="S182" i="8"/>
  <c r="M182" i="8"/>
  <c r="U181" i="8"/>
  <c r="S181" i="8" s="1"/>
  <c r="M181" i="8"/>
  <c r="S180" i="8"/>
  <c r="M180" i="8"/>
  <c r="S179" i="8"/>
  <c r="M179" i="8"/>
  <c r="S178" i="8"/>
  <c r="M178" i="8"/>
  <c r="S177" i="8"/>
  <c r="M177" i="8"/>
  <c r="S176" i="8"/>
  <c r="M176" i="8"/>
  <c r="S175" i="8"/>
  <c r="M175" i="8"/>
  <c r="U174" i="8"/>
  <c r="S174" i="8"/>
  <c r="M174" i="8"/>
  <c r="S173" i="8"/>
  <c r="M173" i="8"/>
  <c r="S172" i="8"/>
  <c r="M172" i="8"/>
  <c r="S171" i="8"/>
  <c r="M171" i="8"/>
  <c r="S170" i="8"/>
  <c r="M170" i="8"/>
  <c r="S169" i="8"/>
  <c r="M169" i="8"/>
  <c r="S168" i="8"/>
  <c r="M168" i="8"/>
  <c r="S167" i="8"/>
  <c r="M167" i="8"/>
  <c r="S166" i="8"/>
  <c r="M166" i="8"/>
  <c r="S165" i="8"/>
  <c r="M165" i="8"/>
  <c r="S164" i="8"/>
  <c r="M164" i="8"/>
  <c r="S163" i="8"/>
  <c r="M163" i="8"/>
  <c r="U162" i="8"/>
  <c r="S162" i="8" s="1"/>
  <c r="M162" i="8"/>
  <c r="S161" i="8"/>
  <c r="M161" i="8"/>
  <c r="U160" i="8"/>
  <c r="S160" i="8"/>
  <c r="M160" i="8"/>
  <c r="S159" i="8"/>
  <c r="M159" i="8"/>
  <c r="S158" i="8"/>
  <c r="M158" i="8"/>
  <c r="S157" i="8"/>
  <c r="M157" i="8"/>
  <c r="S156" i="8"/>
  <c r="M156" i="8"/>
  <c r="S155" i="8"/>
  <c r="M155" i="8"/>
  <c r="S154" i="8"/>
  <c r="M154" i="8"/>
  <c r="S153" i="8"/>
  <c r="M153" i="8"/>
  <c r="S152" i="8"/>
  <c r="M152" i="8"/>
  <c r="S151" i="8"/>
  <c r="M151" i="8"/>
  <c r="U150" i="8"/>
  <c r="S150" i="8" s="1"/>
  <c r="M150" i="8"/>
  <c r="S149" i="8"/>
  <c r="M149" i="8"/>
  <c r="U148" i="8"/>
  <c r="S148" i="8"/>
  <c r="M148" i="8"/>
  <c r="S147" i="8"/>
  <c r="M147" i="8"/>
  <c r="S146" i="8"/>
  <c r="M146" i="8"/>
  <c r="S145" i="8"/>
  <c r="M145" i="8"/>
  <c r="S144" i="8"/>
  <c r="M144" i="8"/>
  <c r="U143" i="8"/>
  <c r="S143" i="8" s="1"/>
  <c r="M143" i="8"/>
  <c r="S142" i="8"/>
  <c r="M142" i="8"/>
  <c r="S141" i="8"/>
  <c r="M141" i="8"/>
  <c r="S140" i="8"/>
  <c r="M140" i="8"/>
  <c r="S139" i="8"/>
  <c r="M139" i="8"/>
  <c r="U138" i="8"/>
  <c r="S138" i="8"/>
  <c r="M138" i="8"/>
  <c r="S137" i="8"/>
  <c r="M137" i="8"/>
  <c r="S136" i="8"/>
  <c r="M136" i="8"/>
  <c r="S135" i="8"/>
  <c r="M135" i="8"/>
  <c r="S134" i="8"/>
  <c r="M134" i="8"/>
  <c r="S133" i="8"/>
  <c r="M133" i="8"/>
  <c r="S132" i="8"/>
  <c r="M132" i="8"/>
  <c r="S131" i="8"/>
  <c r="M131" i="8"/>
  <c r="S130" i="8"/>
  <c r="M130" i="8"/>
  <c r="S129" i="8"/>
  <c r="M129" i="8"/>
  <c r="S128" i="8"/>
  <c r="M128" i="8"/>
  <c r="S127" i="8"/>
  <c r="M127" i="8"/>
  <c r="S126" i="8"/>
  <c r="M126" i="8"/>
  <c r="S125" i="8"/>
  <c r="M125" i="8"/>
  <c r="S124" i="8"/>
  <c r="M124" i="8"/>
  <c r="S123" i="8"/>
  <c r="M123" i="8"/>
  <c r="S122" i="8"/>
  <c r="M122" i="8"/>
  <c r="S121" i="8"/>
  <c r="M121" i="8"/>
  <c r="S120" i="8"/>
  <c r="M120" i="8"/>
  <c r="S119" i="8"/>
  <c r="M119" i="8"/>
  <c r="S118" i="8"/>
  <c r="M118" i="8"/>
  <c r="S117" i="8"/>
  <c r="M117" i="8"/>
  <c r="S116" i="8"/>
  <c r="M116" i="8"/>
  <c r="S115" i="8"/>
  <c r="M115" i="8"/>
  <c r="S114" i="8"/>
  <c r="M114" i="8"/>
  <c r="S113" i="8"/>
  <c r="M113" i="8"/>
  <c r="S112" i="8"/>
  <c r="M112" i="8"/>
  <c r="S111" i="8"/>
  <c r="M111" i="8"/>
  <c r="S110" i="8"/>
  <c r="M110" i="8"/>
  <c r="S109" i="8"/>
  <c r="M109" i="8"/>
  <c r="S108" i="8"/>
  <c r="M108" i="8"/>
  <c r="S107" i="8"/>
  <c r="M107" i="8"/>
  <c r="S106" i="8"/>
  <c r="M106" i="8"/>
  <c r="S105" i="8"/>
  <c r="M105" i="8"/>
  <c r="S104" i="8"/>
  <c r="M104" i="8"/>
  <c r="S103" i="8"/>
  <c r="M103" i="8"/>
  <c r="S102" i="8"/>
  <c r="M102" i="8"/>
  <c r="S101" i="8"/>
  <c r="M101" i="8"/>
  <c r="S100" i="8"/>
  <c r="M100" i="8"/>
  <c r="S99" i="8"/>
  <c r="M99" i="8"/>
  <c r="U98" i="8"/>
  <c r="S98" i="8" s="1"/>
  <c r="M98" i="8"/>
  <c r="S97" i="8"/>
  <c r="M97" i="8"/>
  <c r="S96" i="8"/>
  <c r="M96" i="8"/>
  <c r="S95" i="8"/>
  <c r="M95" i="8"/>
  <c r="U94" i="8"/>
  <c r="S94" i="8"/>
  <c r="M94" i="8"/>
  <c r="S93" i="8"/>
  <c r="M93" i="8"/>
  <c r="S92" i="8"/>
  <c r="M92" i="8"/>
  <c r="S91" i="8"/>
  <c r="M91" i="8"/>
  <c r="S90" i="8"/>
  <c r="M90" i="8"/>
  <c r="S89" i="8"/>
  <c r="M89" i="8"/>
  <c r="S88" i="8"/>
  <c r="M88" i="8"/>
  <c r="S87" i="8"/>
  <c r="M87" i="8"/>
  <c r="S86" i="8"/>
  <c r="M86" i="8"/>
  <c r="S85" i="8"/>
  <c r="M85" i="8"/>
  <c r="S84" i="8"/>
  <c r="M84" i="8"/>
  <c r="S83" i="8"/>
  <c r="M83" i="8"/>
  <c r="S82" i="8"/>
  <c r="M82" i="8"/>
  <c r="S81" i="8"/>
  <c r="M81" i="8"/>
  <c r="S80" i="8"/>
  <c r="M80" i="8"/>
  <c r="S79" i="8"/>
  <c r="M79" i="8"/>
  <c r="S78" i="8"/>
  <c r="M78" i="8"/>
  <c r="S77" i="8"/>
  <c r="M77" i="8"/>
  <c r="S76" i="8"/>
  <c r="M76" i="8"/>
  <c r="S75" i="8"/>
  <c r="M75" i="8"/>
  <c r="S74" i="8"/>
  <c r="M74" i="8"/>
  <c r="S73" i="8"/>
  <c r="M73" i="8"/>
  <c r="S72" i="8"/>
  <c r="M72" i="8"/>
  <c r="S71" i="8"/>
  <c r="M71" i="8"/>
  <c r="S70" i="8"/>
  <c r="M70" i="8"/>
  <c r="S69" i="8"/>
  <c r="M69" i="8"/>
  <c r="S68" i="8"/>
  <c r="M68" i="8"/>
  <c r="S67" i="8"/>
  <c r="M67" i="8"/>
  <c r="S66" i="8"/>
  <c r="M66" i="8"/>
  <c r="S65" i="8"/>
  <c r="M65" i="8"/>
  <c r="S64" i="8"/>
  <c r="M64" i="8"/>
  <c r="S63" i="8"/>
  <c r="M63" i="8"/>
  <c r="S62" i="8"/>
  <c r="M62" i="8"/>
  <c r="S61" i="8"/>
  <c r="M61" i="8"/>
  <c r="S60" i="8"/>
  <c r="M60" i="8"/>
  <c r="S59" i="8"/>
  <c r="M59" i="8"/>
  <c r="S58" i="8"/>
  <c r="M58" i="8"/>
  <c r="S57" i="8"/>
  <c r="M57" i="8"/>
  <c r="S56" i="8"/>
  <c r="M56" i="8"/>
  <c r="S55" i="8"/>
  <c r="M55" i="8"/>
  <c r="S54" i="8"/>
  <c r="M54" i="8"/>
  <c r="S53" i="8"/>
  <c r="M53" i="8"/>
  <c r="S52" i="8"/>
  <c r="M52" i="8"/>
  <c r="S51" i="8"/>
  <c r="M51" i="8"/>
  <c r="S50" i="8"/>
  <c r="M50" i="8"/>
  <c r="S49" i="8"/>
  <c r="M49" i="8"/>
  <c r="U48" i="8"/>
  <c r="S48" i="8" s="1"/>
  <c r="M48" i="8"/>
  <c r="S47" i="8"/>
  <c r="M47" i="8"/>
  <c r="S46" i="8"/>
  <c r="M46" i="8"/>
  <c r="S45" i="8"/>
  <c r="M45" i="8"/>
  <c r="S44" i="8"/>
  <c r="M44" i="8"/>
  <c r="S43" i="8"/>
  <c r="M43" i="8"/>
  <c r="S42" i="8"/>
  <c r="M42" i="8"/>
  <c r="S41" i="8"/>
  <c r="M41" i="8"/>
  <c r="S40" i="8"/>
  <c r="M40" i="8"/>
  <c r="S39" i="8"/>
  <c r="M39" i="8"/>
  <c r="S38" i="8"/>
  <c r="M38" i="8"/>
  <c r="S37" i="8"/>
  <c r="M37" i="8"/>
  <c r="S36" i="8"/>
  <c r="M36" i="8"/>
  <c r="S35" i="8"/>
  <c r="M35" i="8"/>
  <c r="S34" i="8"/>
  <c r="M34" i="8"/>
  <c r="S33" i="8"/>
  <c r="M33" i="8"/>
  <c r="S32" i="8"/>
  <c r="M32" i="8"/>
  <c r="S31" i="8"/>
  <c r="M31" i="8"/>
  <c r="U30" i="8"/>
  <c r="S30" i="8"/>
  <c r="M30" i="8"/>
  <c r="S29" i="8"/>
  <c r="M29" i="8"/>
  <c r="S28" i="8"/>
  <c r="M28" i="8"/>
  <c r="S27" i="8"/>
  <c r="M27" i="8"/>
  <c r="S26" i="8"/>
  <c r="M26" i="8"/>
  <c r="S25" i="8"/>
  <c r="M25" i="8"/>
  <c r="S24" i="8"/>
  <c r="M24" i="8"/>
  <c r="S23" i="8"/>
  <c r="M23" i="8"/>
  <c r="S22" i="8"/>
  <c r="M22" i="8"/>
  <c r="S21" i="8"/>
  <c r="M21" i="8"/>
  <c r="S20" i="8"/>
  <c r="M20" i="8"/>
  <c r="S19" i="8"/>
  <c r="M19" i="8"/>
  <c r="S18" i="8"/>
  <c r="M18" i="8"/>
  <c r="S17" i="8"/>
  <c r="M17" i="8"/>
  <c r="U16" i="8"/>
  <c r="T259" i="8" s="1"/>
  <c r="M16" i="8"/>
  <c r="S15" i="8"/>
  <c r="M15" i="8"/>
  <c r="S14" i="8"/>
  <c r="M14" i="8"/>
  <c r="S13" i="8"/>
  <c r="M13" i="8"/>
  <c r="S12" i="8"/>
  <c r="M12" i="8"/>
  <c r="L259" i="8" s="1"/>
  <c r="S11" i="8"/>
  <c r="M11" i="8"/>
  <c r="S10" i="8"/>
  <c r="R260" i="8" s="1"/>
  <c r="M10" i="8"/>
  <c r="L260" i="8" s="1"/>
  <c r="S9" i="8"/>
  <c r="R258" i="8" s="1"/>
  <c r="M9" i="8"/>
  <c r="L258" i="8" s="1"/>
  <c r="T260" i="7"/>
  <c r="S260" i="7"/>
  <c r="S261" i="7" s="1"/>
  <c r="Q260" i="7"/>
  <c r="Q261" i="7" s="1"/>
  <c r="P260" i="7"/>
  <c r="P261" i="7" s="1"/>
  <c r="O260" i="7"/>
  <c r="O261" i="7" s="1"/>
  <c r="N260" i="7"/>
  <c r="N261" i="7" s="1"/>
  <c r="M260" i="7"/>
  <c r="M261" i="7" s="1"/>
  <c r="K260" i="7"/>
  <c r="K261" i="7" s="1"/>
  <c r="J260" i="7"/>
  <c r="J261" i="7" s="1"/>
  <c r="I260" i="7"/>
  <c r="I261" i="7" s="1"/>
  <c r="H260" i="7"/>
  <c r="H261" i="7" s="1"/>
  <c r="G260" i="7"/>
  <c r="G261" i="7" s="1"/>
  <c r="S259" i="7"/>
  <c r="U259" i="7" s="1"/>
  <c r="Q259" i="7"/>
  <c r="P259" i="7"/>
  <c r="O259" i="7"/>
  <c r="N259" i="7"/>
  <c r="M259" i="7"/>
  <c r="K259" i="7"/>
  <c r="J259" i="7"/>
  <c r="V259" i="7" s="1"/>
  <c r="I259" i="7"/>
  <c r="H259" i="7"/>
  <c r="G259" i="7"/>
  <c r="T258" i="7"/>
  <c r="S258" i="7"/>
  <c r="U258" i="7" s="1"/>
  <c r="Q258" i="7"/>
  <c r="P258" i="7"/>
  <c r="O258" i="7"/>
  <c r="N258" i="7"/>
  <c r="M258" i="7"/>
  <c r="K258" i="7"/>
  <c r="J258" i="7"/>
  <c r="V258" i="7" s="1"/>
  <c r="I258" i="7"/>
  <c r="H258" i="7"/>
  <c r="G258" i="7"/>
  <c r="T252" i="7"/>
  <c r="R252" i="7"/>
  <c r="Q252" i="7"/>
  <c r="P252" i="7"/>
  <c r="O252" i="7"/>
  <c r="N252" i="7"/>
  <c r="L252" i="7"/>
  <c r="K252" i="7"/>
  <c r="J252" i="7"/>
  <c r="I252" i="7"/>
  <c r="H252" i="7"/>
  <c r="S251" i="7"/>
  <c r="M251" i="7"/>
  <c r="S250" i="7"/>
  <c r="M250" i="7"/>
  <c r="S249" i="7"/>
  <c r="M249" i="7"/>
  <c r="S248" i="7"/>
  <c r="M248" i="7"/>
  <c r="S247" i="7"/>
  <c r="M247" i="7"/>
  <c r="S246" i="7"/>
  <c r="M246" i="7"/>
  <c r="S245" i="7"/>
  <c r="M245" i="7"/>
  <c r="S244" i="7"/>
  <c r="M244" i="7"/>
  <c r="S243" i="7"/>
  <c r="M243" i="7"/>
  <c r="S242" i="7"/>
  <c r="M242" i="7"/>
  <c r="S241" i="7"/>
  <c r="M241" i="7"/>
  <c r="S240" i="7"/>
  <c r="M240" i="7"/>
  <c r="S239" i="7"/>
  <c r="M239" i="7"/>
  <c r="S238" i="7"/>
  <c r="M238" i="7"/>
  <c r="S237" i="7"/>
  <c r="M237" i="7"/>
  <c r="S236" i="7"/>
  <c r="M236" i="7"/>
  <c r="S235" i="7"/>
  <c r="M235" i="7"/>
  <c r="S234" i="7"/>
  <c r="M234" i="7"/>
  <c r="S233" i="7"/>
  <c r="M233" i="7"/>
  <c r="S232" i="7"/>
  <c r="M232" i="7"/>
  <c r="S231" i="7"/>
  <c r="M231" i="7"/>
  <c r="S230" i="7"/>
  <c r="M230" i="7"/>
  <c r="S229" i="7"/>
  <c r="M229" i="7"/>
  <c r="S228" i="7"/>
  <c r="M228" i="7"/>
  <c r="U227" i="7"/>
  <c r="S227" i="7"/>
  <c r="M227" i="7"/>
  <c r="S226" i="7"/>
  <c r="M226" i="7"/>
  <c r="S225" i="7"/>
  <c r="M225" i="7"/>
  <c r="S224" i="7"/>
  <c r="M224" i="7"/>
  <c r="S223" i="7"/>
  <c r="M223" i="7"/>
  <c r="S222" i="7"/>
  <c r="M222" i="7"/>
  <c r="S221" i="7"/>
  <c r="M221" i="7"/>
  <c r="S220" i="7"/>
  <c r="M220" i="7"/>
  <c r="S219" i="7"/>
  <c r="M219" i="7"/>
  <c r="S218" i="7"/>
  <c r="M218" i="7"/>
  <c r="S217" i="7"/>
  <c r="M217" i="7"/>
  <c r="S216" i="7"/>
  <c r="M216" i="7"/>
  <c r="S215" i="7"/>
  <c r="M215" i="7"/>
  <c r="S214" i="7"/>
  <c r="M214" i="7"/>
  <c r="S213" i="7"/>
  <c r="M213" i="7"/>
  <c r="S212" i="7"/>
  <c r="M212" i="7"/>
  <c r="S211" i="7"/>
  <c r="M211" i="7"/>
  <c r="S210" i="7"/>
  <c r="M210" i="7"/>
  <c r="S209" i="7"/>
  <c r="M209" i="7"/>
  <c r="S208" i="7"/>
  <c r="M208" i="7"/>
  <c r="S207" i="7"/>
  <c r="M207" i="7"/>
  <c r="S206" i="7"/>
  <c r="M206" i="7"/>
  <c r="S205" i="7"/>
  <c r="M205" i="7"/>
  <c r="S204" i="7"/>
  <c r="M204" i="7"/>
  <c r="S203" i="7"/>
  <c r="M203" i="7"/>
  <c r="S202" i="7"/>
  <c r="M202" i="7"/>
  <c r="S201" i="7"/>
  <c r="M201" i="7"/>
  <c r="S200" i="7"/>
  <c r="M200" i="7"/>
  <c r="S199" i="7"/>
  <c r="M199" i="7"/>
  <c r="S198" i="7"/>
  <c r="M198" i="7"/>
  <c r="S197" i="7"/>
  <c r="M197" i="7"/>
  <c r="S196" i="7"/>
  <c r="M196" i="7"/>
  <c r="S195" i="7"/>
  <c r="M195" i="7"/>
  <c r="S194" i="7"/>
  <c r="M194" i="7"/>
  <c r="S193" i="7"/>
  <c r="M193" i="7"/>
  <c r="S192" i="7"/>
  <c r="M192" i="7"/>
  <c r="S191" i="7"/>
  <c r="M191" i="7"/>
  <c r="S190" i="7"/>
  <c r="M190" i="7"/>
  <c r="S189" i="7"/>
  <c r="M189" i="7"/>
  <c r="S188" i="7"/>
  <c r="M188" i="7"/>
  <c r="S187" i="7"/>
  <c r="M187" i="7"/>
  <c r="S186" i="7"/>
  <c r="M186" i="7"/>
  <c r="S185" i="7"/>
  <c r="M185" i="7"/>
  <c r="S184" i="7"/>
  <c r="M184" i="7"/>
  <c r="S183" i="7"/>
  <c r="M183" i="7"/>
  <c r="S182" i="7"/>
  <c r="M182" i="7"/>
  <c r="U181" i="7"/>
  <c r="S181" i="7" s="1"/>
  <c r="M181" i="7"/>
  <c r="S180" i="7"/>
  <c r="M180" i="7"/>
  <c r="S179" i="7"/>
  <c r="M179" i="7"/>
  <c r="S178" i="7"/>
  <c r="M178" i="7"/>
  <c r="S177" i="7"/>
  <c r="M177" i="7"/>
  <c r="S176" i="7"/>
  <c r="M176" i="7"/>
  <c r="S175" i="7"/>
  <c r="M175" i="7"/>
  <c r="S174" i="7"/>
  <c r="M174" i="7"/>
  <c r="S173" i="7"/>
  <c r="M173" i="7"/>
  <c r="S172" i="7"/>
  <c r="M172" i="7"/>
  <c r="S171" i="7"/>
  <c r="M171" i="7"/>
  <c r="S170" i="7"/>
  <c r="M170" i="7"/>
  <c r="S169" i="7"/>
  <c r="M169" i="7"/>
  <c r="S168" i="7"/>
  <c r="M168" i="7"/>
  <c r="S167" i="7"/>
  <c r="M167" i="7"/>
  <c r="S166" i="7"/>
  <c r="M166" i="7"/>
  <c r="S165" i="7"/>
  <c r="M165" i="7"/>
  <c r="S164" i="7"/>
  <c r="M164" i="7"/>
  <c r="S163" i="7"/>
  <c r="M163" i="7"/>
  <c r="S162" i="7"/>
  <c r="M162" i="7"/>
  <c r="S161" i="7"/>
  <c r="M161" i="7"/>
  <c r="S160" i="7"/>
  <c r="M160" i="7"/>
  <c r="S159" i="7"/>
  <c r="M159" i="7"/>
  <c r="S158" i="7"/>
  <c r="M158" i="7"/>
  <c r="S157" i="7"/>
  <c r="M157" i="7"/>
  <c r="S156" i="7"/>
  <c r="M156" i="7"/>
  <c r="S155" i="7"/>
  <c r="M155" i="7"/>
  <c r="S154" i="7"/>
  <c r="M154" i="7"/>
  <c r="S153" i="7"/>
  <c r="M153" i="7"/>
  <c r="S152" i="7"/>
  <c r="M152" i="7"/>
  <c r="S151" i="7"/>
  <c r="M151" i="7"/>
  <c r="U150" i="7"/>
  <c r="S150" i="7"/>
  <c r="M150" i="7"/>
  <c r="S149" i="7"/>
  <c r="M149" i="7"/>
  <c r="U148" i="7"/>
  <c r="S148" i="7" s="1"/>
  <c r="M148" i="7"/>
  <c r="S147" i="7"/>
  <c r="M147" i="7"/>
  <c r="S146" i="7"/>
  <c r="M146" i="7"/>
  <c r="S145" i="7"/>
  <c r="M145" i="7"/>
  <c r="S144" i="7"/>
  <c r="M144" i="7"/>
  <c r="S143" i="7"/>
  <c r="M143" i="7"/>
  <c r="S142" i="7"/>
  <c r="M142" i="7"/>
  <c r="S141" i="7"/>
  <c r="M141" i="7"/>
  <c r="S140" i="7"/>
  <c r="M140" i="7"/>
  <c r="S139" i="7"/>
  <c r="M139" i="7"/>
  <c r="S138" i="7"/>
  <c r="M138" i="7"/>
  <c r="S137" i="7"/>
  <c r="M137" i="7"/>
  <c r="S136" i="7"/>
  <c r="M136" i="7"/>
  <c r="S135" i="7"/>
  <c r="M135" i="7"/>
  <c r="S134" i="7"/>
  <c r="M134" i="7"/>
  <c r="S133" i="7"/>
  <c r="M133" i="7"/>
  <c r="S132" i="7"/>
  <c r="M132" i="7"/>
  <c r="S131" i="7"/>
  <c r="M131" i="7"/>
  <c r="S130" i="7"/>
  <c r="M130" i="7"/>
  <c r="S129" i="7"/>
  <c r="M129" i="7"/>
  <c r="S128" i="7"/>
  <c r="M128" i="7"/>
  <c r="S127" i="7"/>
  <c r="M127" i="7"/>
  <c r="S126" i="7"/>
  <c r="M126" i="7"/>
  <c r="S125" i="7"/>
  <c r="M125" i="7"/>
  <c r="S124" i="7"/>
  <c r="M124" i="7"/>
  <c r="S123" i="7"/>
  <c r="M123" i="7"/>
  <c r="S122" i="7"/>
  <c r="M122" i="7"/>
  <c r="S121" i="7"/>
  <c r="M121" i="7"/>
  <c r="S120" i="7"/>
  <c r="M120" i="7"/>
  <c r="S119" i="7"/>
  <c r="M119" i="7"/>
  <c r="S118" i="7"/>
  <c r="M118" i="7"/>
  <c r="S117" i="7"/>
  <c r="M117" i="7"/>
  <c r="S116" i="7"/>
  <c r="M116" i="7"/>
  <c r="S115" i="7"/>
  <c r="M115" i="7"/>
  <c r="S114" i="7"/>
  <c r="M114" i="7"/>
  <c r="S113" i="7"/>
  <c r="M113" i="7"/>
  <c r="S112" i="7"/>
  <c r="M112" i="7"/>
  <c r="S111" i="7"/>
  <c r="M111" i="7"/>
  <c r="S110" i="7"/>
  <c r="M110" i="7"/>
  <c r="S109" i="7"/>
  <c r="M109" i="7"/>
  <c r="S108" i="7"/>
  <c r="M108" i="7"/>
  <c r="S107" i="7"/>
  <c r="M107" i="7"/>
  <c r="S106" i="7"/>
  <c r="M106" i="7"/>
  <c r="S105" i="7"/>
  <c r="M105" i="7"/>
  <c r="S104" i="7"/>
  <c r="M104" i="7"/>
  <c r="S103" i="7"/>
  <c r="M103" i="7"/>
  <c r="S102" i="7"/>
  <c r="M102" i="7"/>
  <c r="S101" i="7"/>
  <c r="M101" i="7"/>
  <c r="S100" i="7"/>
  <c r="M100" i="7"/>
  <c r="S99" i="7"/>
  <c r="M99" i="7"/>
  <c r="S98" i="7"/>
  <c r="M98" i="7"/>
  <c r="S97" i="7"/>
  <c r="M97" i="7"/>
  <c r="S96" i="7"/>
  <c r="M96" i="7"/>
  <c r="S95" i="7"/>
  <c r="M95" i="7"/>
  <c r="S94" i="7"/>
  <c r="M94" i="7"/>
  <c r="S93" i="7"/>
  <c r="M93" i="7"/>
  <c r="S92" i="7"/>
  <c r="M92" i="7"/>
  <c r="S91" i="7"/>
  <c r="M91" i="7"/>
  <c r="S90" i="7"/>
  <c r="M90" i="7"/>
  <c r="S89" i="7"/>
  <c r="M89" i="7"/>
  <c r="S88" i="7"/>
  <c r="M88" i="7"/>
  <c r="S87" i="7"/>
  <c r="M87" i="7"/>
  <c r="S86" i="7"/>
  <c r="M86" i="7"/>
  <c r="S85" i="7"/>
  <c r="M85" i="7"/>
  <c r="S84" i="7"/>
  <c r="M84" i="7"/>
  <c r="S83" i="7"/>
  <c r="M83" i="7"/>
  <c r="S82" i="7"/>
  <c r="M82" i="7"/>
  <c r="S81" i="7"/>
  <c r="M81" i="7"/>
  <c r="S80" i="7"/>
  <c r="M80" i="7"/>
  <c r="S79" i="7"/>
  <c r="M79" i="7"/>
  <c r="S78" i="7"/>
  <c r="M78" i="7"/>
  <c r="S77" i="7"/>
  <c r="M77" i="7"/>
  <c r="S76" i="7"/>
  <c r="M76" i="7"/>
  <c r="S75" i="7"/>
  <c r="M75" i="7"/>
  <c r="S74" i="7"/>
  <c r="M74" i="7"/>
  <c r="S73" i="7"/>
  <c r="M73" i="7"/>
  <c r="S72" i="7"/>
  <c r="M72" i="7"/>
  <c r="S71" i="7"/>
  <c r="M71" i="7"/>
  <c r="S70" i="7"/>
  <c r="M70" i="7"/>
  <c r="S69" i="7"/>
  <c r="M69" i="7"/>
  <c r="S68" i="7"/>
  <c r="M68" i="7"/>
  <c r="S67" i="7"/>
  <c r="M67" i="7"/>
  <c r="S66" i="7"/>
  <c r="M66" i="7"/>
  <c r="S65" i="7"/>
  <c r="M65" i="7"/>
  <c r="S64" i="7"/>
  <c r="M64" i="7"/>
  <c r="S63" i="7"/>
  <c r="M63" i="7"/>
  <c r="S62" i="7"/>
  <c r="M62" i="7"/>
  <c r="S61" i="7"/>
  <c r="M61" i="7"/>
  <c r="S60" i="7"/>
  <c r="M60" i="7"/>
  <c r="S59" i="7"/>
  <c r="M59" i="7"/>
  <c r="S58" i="7"/>
  <c r="M58" i="7"/>
  <c r="S57" i="7"/>
  <c r="M57" i="7"/>
  <c r="S56" i="7"/>
  <c r="M56" i="7"/>
  <c r="S55" i="7"/>
  <c r="M55" i="7"/>
  <c r="S54" i="7"/>
  <c r="M54" i="7"/>
  <c r="S53" i="7"/>
  <c r="M53" i="7"/>
  <c r="S52" i="7"/>
  <c r="M52" i="7"/>
  <c r="S51" i="7"/>
  <c r="M51" i="7"/>
  <c r="S50" i="7"/>
  <c r="M50" i="7"/>
  <c r="S49" i="7"/>
  <c r="M49" i="7"/>
  <c r="S48" i="7"/>
  <c r="M48" i="7"/>
  <c r="S47" i="7"/>
  <c r="M47" i="7"/>
  <c r="S46" i="7"/>
  <c r="M46" i="7"/>
  <c r="S45" i="7"/>
  <c r="M45" i="7"/>
  <c r="S44" i="7"/>
  <c r="M44" i="7"/>
  <c r="S43" i="7"/>
  <c r="M43" i="7"/>
  <c r="S42" i="7"/>
  <c r="M42" i="7"/>
  <c r="S41" i="7"/>
  <c r="M41" i="7"/>
  <c r="S40" i="7"/>
  <c r="M40" i="7"/>
  <c r="S39" i="7"/>
  <c r="M39" i="7"/>
  <c r="S38" i="7"/>
  <c r="M38" i="7"/>
  <c r="S37" i="7"/>
  <c r="M37" i="7"/>
  <c r="S36" i="7"/>
  <c r="M36" i="7"/>
  <c r="S35" i="7"/>
  <c r="M35" i="7"/>
  <c r="S34" i="7"/>
  <c r="M34" i="7"/>
  <c r="S33" i="7"/>
  <c r="M33" i="7"/>
  <c r="S32" i="7"/>
  <c r="M32" i="7"/>
  <c r="S31" i="7"/>
  <c r="M31" i="7"/>
  <c r="U30" i="7"/>
  <c r="T259" i="7" s="1"/>
  <c r="S30" i="7"/>
  <c r="M30" i="7"/>
  <c r="S29" i="7"/>
  <c r="M29" i="7"/>
  <c r="S28" i="7"/>
  <c r="M28" i="7"/>
  <c r="S27" i="7"/>
  <c r="M27" i="7"/>
  <c r="S26" i="7"/>
  <c r="M26" i="7"/>
  <c r="S25" i="7"/>
  <c r="M25" i="7"/>
  <c r="S24" i="7"/>
  <c r="M24" i="7"/>
  <c r="S23" i="7"/>
  <c r="M23" i="7"/>
  <c r="S22" i="7"/>
  <c r="M22" i="7"/>
  <c r="S21" i="7"/>
  <c r="M21" i="7"/>
  <c r="S20" i="7"/>
  <c r="M20" i="7"/>
  <c r="S19" i="7"/>
  <c r="M19" i="7"/>
  <c r="S18" i="7"/>
  <c r="M18" i="7"/>
  <c r="S17" i="7"/>
  <c r="M17" i="7"/>
  <c r="S16" i="7"/>
  <c r="M16" i="7"/>
  <c r="S15" i="7"/>
  <c r="M15" i="7"/>
  <c r="S14" i="7"/>
  <c r="M14" i="7"/>
  <c r="S13" i="7"/>
  <c r="M13" i="7"/>
  <c r="S12" i="7"/>
  <c r="M12" i="7"/>
  <c r="L259" i="7" s="1"/>
  <c r="S11" i="7"/>
  <c r="M11" i="7"/>
  <c r="S10" i="7"/>
  <c r="R260" i="7" s="1"/>
  <c r="M10" i="7"/>
  <c r="L260" i="7" s="1"/>
  <c r="S9" i="7"/>
  <c r="R258" i="7" s="1"/>
  <c r="M9" i="7"/>
  <c r="L258" i="7" s="1"/>
  <c r="T260" i="6"/>
  <c r="S260" i="6"/>
  <c r="S261" i="6" s="1"/>
  <c r="Q260" i="6"/>
  <c r="Q261" i="6" s="1"/>
  <c r="P260" i="6"/>
  <c r="P261" i="6" s="1"/>
  <c r="O260" i="6"/>
  <c r="O261" i="6" s="1"/>
  <c r="N260" i="6"/>
  <c r="N261" i="6" s="1"/>
  <c r="M260" i="6"/>
  <c r="M261" i="6" s="1"/>
  <c r="K260" i="6"/>
  <c r="K261" i="6" s="1"/>
  <c r="J260" i="6"/>
  <c r="J261" i="6" s="1"/>
  <c r="I260" i="6"/>
  <c r="I261" i="6" s="1"/>
  <c r="H260" i="6"/>
  <c r="H261" i="6" s="1"/>
  <c r="G260" i="6"/>
  <c r="G261" i="6" s="1"/>
  <c r="S259" i="6"/>
  <c r="U259" i="6" s="1"/>
  <c r="Q259" i="6"/>
  <c r="P259" i="6"/>
  <c r="O259" i="6"/>
  <c r="N259" i="6"/>
  <c r="M259" i="6"/>
  <c r="K259" i="6"/>
  <c r="J259" i="6"/>
  <c r="V259" i="6" s="1"/>
  <c r="I259" i="6"/>
  <c r="H259" i="6"/>
  <c r="G259" i="6"/>
  <c r="T258" i="6"/>
  <c r="S258" i="6"/>
  <c r="U258" i="6" s="1"/>
  <c r="Q258" i="6"/>
  <c r="P258" i="6"/>
  <c r="O258" i="6"/>
  <c r="N258" i="6"/>
  <c r="M258" i="6"/>
  <c r="K258" i="6"/>
  <c r="J258" i="6"/>
  <c r="V258" i="6" s="1"/>
  <c r="I258" i="6"/>
  <c r="H258" i="6"/>
  <c r="G258" i="6"/>
  <c r="T252" i="6"/>
  <c r="R252" i="6"/>
  <c r="Q252" i="6"/>
  <c r="P252" i="6"/>
  <c r="O252" i="6"/>
  <c r="N252" i="6"/>
  <c r="L252" i="6"/>
  <c r="K252" i="6"/>
  <c r="J252" i="6"/>
  <c r="I252" i="6"/>
  <c r="H252" i="6"/>
  <c r="S251" i="6"/>
  <c r="M251" i="6"/>
  <c r="S250" i="6"/>
  <c r="M250" i="6"/>
  <c r="S249" i="6"/>
  <c r="M249" i="6"/>
  <c r="S248" i="6"/>
  <c r="M248" i="6"/>
  <c r="S247" i="6"/>
  <c r="M247" i="6"/>
  <c r="S246" i="6"/>
  <c r="M246" i="6"/>
  <c r="S245" i="6"/>
  <c r="M245" i="6"/>
  <c r="S244" i="6"/>
  <c r="M244" i="6"/>
  <c r="S243" i="6"/>
  <c r="M243" i="6"/>
  <c r="S242" i="6"/>
  <c r="M242" i="6"/>
  <c r="S241" i="6"/>
  <c r="M241" i="6"/>
  <c r="S240" i="6"/>
  <c r="M240" i="6"/>
  <c r="S239" i="6"/>
  <c r="M239" i="6"/>
  <c r="S238" i="6"/>
  <c r="M238" i="6"/>
  <c r="S237" i="6"/>
  <c r="M237" i="6"/>
  <c r="S236" i="6"/>
  <c r="M236" i="6"/>
  <c r="S235" i="6"/>
  <c r="M235" i="6"/>
  <c r="S234" i="6"/>
  <c r="M234" i="6"/>
  <c r="S233" i="6"/>
  <c r="M233" i="6"/>
  <c r="S232" i="6"/>
  <c r="M232" i="6"/>
  <c r="S231" i="6"/>
  <c r="M231" i="6"/>
  <c r="S230" i="6"/>
  <c r="M230" i="6"/>
  <c r="S229" i="6"/>
  <c r="M229" i="6"/>
  <c r="S228" i="6"/>
  <c r="M228" i="6"/>
  <c r="U227" i="6"/>
  <c r="S227" i="6" s="1"/>
  <c r="M227" i="6"/>
  <c r="S226" i="6"/>
  <c r="M226" i="6"/>
  <c r="S225" i="6"/>
  <c r="M225" i="6"/>
  <c r="S224" i="6"/>
  <c r="M224" i="6"/>
  <c r="S223" i="6"/>
  <c r="M223" i="6"/>
  <c r="S222" i="6"/>
  <c r="M222" i="6"/>
  <c r="S221" i="6"/>
  <c r="M221" i="6"/>
  <c r="S220" i="6"/>
  <c r="M220" i="6"/>
  <c r="S219" i="6"/>
  <c r="M219" i="6"/>
  <c r="S218" i="6"/>
  <c r="M218" i="6"/>
  <c r="S217" i="6"/>
  <c r="M217" i="6"/>
  <c r="S216" i="6"/>
  <c r="M216" i="6"/>
  <c r="S215" i="6"/>
  <c r="M215" i="6"/>
  <c r="S214" i="6"/>
  <c r="M214" i="6"/>
  <c r="S213" i="6"/>
  <c r="M213" i="6"/>
  <c r="S212" i="6"/>
  <c r="M212" i="6"/>
  <c r="S211" i="6"/>
  <c r="M211" i="6"/>
  <c r="S210" i="6"/>
  <c r="M210" i="6"/>
  <c r="S209" i="6"/>
  <c r="M209" i="6"/>
  <c r="S208" i="6"/>
  <c r="M208" i="6"/>
  <c r="S207" i="6"/>
  <c r="M207" i="6"/>
  <c r="S206" i="6"/>
  <c r="M206" i="6"/>
  <c r="S205" i="6"/>
  <c r="M205" i="6"/>
  <c r="S204" i="6"/>
  <c r="M204" i="6"/>
  <c r="S203" i="6"/>
  <c r="M203" i="6"/>
  <c r="S202" i="6"/>
  <c r="M202" i="6"/>
  <c r="S201" i="6"/>
  <c r="M201" i="6"/>
  <c r="S200" i="6"/>
  <c r="M200" i="6"/>
  <c r="S199" i="6"/>
  <c r="M199" i="6"/>
  <c r="S198" i="6"/>
  <c r="M198" i="6"/>
  <c r="S197" i="6"/>
  <c r="M197" i="6"/>
  <c r="S196" i="6"/>
  <c r="M196" i="6"/>
  <c r="S195" i="6"/>
  <c r="M195" i="6"/>
  <c r="S194" i="6"/>
  <c r="M194" i="6"/>
  <c r="S193" i="6"/>
  <c r="M193" i="6"/>
  <c r="S192" i="6"/>
  <c r="M192" i="6"/>
  <c r="S191" i="6"/>
  <c r="M191" i="6"/>
  <c r="S190" i="6"/>
  <c r="M190" i="6"/>
  <c r="S189" i="6"/>
  <c r="M189" i="6"/>
  <c r="S188" i="6"/>
  <c r="M188" i="6"/>
  <c r="S187" i="6"/>
  <c r="M187" i="6"/>
  <c r="S186" i="6"/>
  <c r="M186" i="6"/>
  <c r="S185" i="6"/>
  <c r="M185" i="6"/>
  <c r="S184" i="6"/>
  <c r="M184" i="6"/>
  <c r="S183" i="6"/>
  <c r="M183" i="6"/>
  <c r="S182" i="6"/>
  <c r="M182" i="6"/>
  <c r="U181" i="6"/>
  <c r="S181" i="6"/>
  <c r="M181" i="6"/>
  <c r="S180" i="6"/>
  <c r="M180" i="6"/>
  <c r="S179" i="6"/>
  <c r="M179" i="6"/>
  <c r="S178" i="6"/>
  <c r="M178" i="6"/>
  <c r="S177" i="6"/>
  <c r="M177" i="6"/>
  <c r="S176" i="6"/>
  <c r="M176" i="6"/>
  <c r="S175" i="6"/>
  <c r="M175" i="6"/>
  <c r="S174" i="6"/>
  <c r="M174" i="6"/>
  <c r="S173" i="6"/>
  <c r="M173" i="6"/>
  <c r="S172" i="6"/>
  <c r="M172" i="6"/>
  <c r="S171" i="6"/>
  <c r="M171" i="6"/>
  <c r="S170" i="6"/>
  <c r="M170" i="6"/>
  <c r="S169" i="6"/>
  <c r="M169" i="6"/>
  <c r="S168" i="6"/>
  <c r="M168" i="6"/>
  <c r="S167" i="6"/>
  <c r="M167" i="6"/>
  <c r="S166" i="6"/>
  <c r="M166" i="6"/>
  <c r="S165" i="6"/>
  <c r="M165" i="6"/>
  <c r="S164" i="6"/>
  <c r="M164" i="6"/>
  <c r="S163" i="6"/>
  <c r="M163" i="6"/>
  <c r="S162" i="6"/>
  <c r="M162" i="6"/>
  <c r="S161" i="6"/>
  <c r="M161" i="6"/>
  <c r="S160" i="6"/>
  <c r="M160" i="6"/>
  <c r="S159" i="6"/>
  <c r="M159" i="6"/>
  <c r="S158" i="6"/>
  <c r="M158" i="6"/>
  <c r="S157" i="6"/>
  <c r="M157" i="6"/>
  <c r="S156" i="6"/>
  <c r="M156" i="6"/>
  <c r="S155" i="6"/>
  <c r="M155" i="6"/>
  <c r="S154" i="6"/>
  <c r="M154" i="6"/>
  <c r="S153" i="6"/>
  <c r="M153" i="6"/>
  <c r="S152" i="6"/>
  <c r="M152" i="6"/>
  <c r="S151" i="6"/>
  <c r="M151" i="6"/>
  <c r="U150" i="6"/>
  <c r="S150" i="6" s="1"/>
  <c r="M150" i="6"/>
  <c r="S149" i="6"/>
  <c r="M149" i="6"/>
  <c r="U148" i="6"/>
  <c r="S148" i="6"/>
  <c r="M148" i="6"/>
  <c r="S147" i="6"/>
  <c r="M147" i="6"/>
  <c r="S146" i="6"/>
  <c r="M146" i="6"/>
  <c r="S145" i="6"/>
  <c r="M145" i="6"/>
  <c r="S144" i="6"/>
  <c r="M144" i="6"/>
  <c r="S143" i="6"/>
  <c r="M143" i="6"/>
  <c r="S142" i="6"/>
  <c r="M142" i="6"/>
  <c r="S141" i="6"/>
  <c r="M141" i="6"/>
  <c r="S140" i="6"/>
  <c r="M140" i="6"/>
  <c r="S139" i="6"/>
  <c r="M139" i="6"/>
  <c r="S138" i="6"/>
  <c r="M138" i="6"/>
  <c r="S137" i="6"/>
  <c r="M137" i="6"/>
  <c r="S136" i="6"/>
  <c r="M136" i="6"/>
  <c r="S135" i="6"/>
  <c r="M135" i="6"/>
  <c r="S134" i="6"/>
  <c r="M134" i="6"/>
  <c r="S133" i="6"/>
  <c r="M133" i="6"/>
  <c r="S132" i="6"/>
  <c r="M132" i="6"/>
  <c r="S131" i="6"/>
  <c r="M131" i="6"/>
  <c r="S130" i="6"/>
  <c r="M130" i="6"/>
  <c r="S129" i="6"/>
  <c r="M129" i="6"/>
  <c r="S128" i="6"/>
  <c r="M128" i="6"/>
  <c r="S127" i="6"/>
  <c r="M127" i="6"/>
  <c r="S126" i="6"/>
  <c r="M126" i="6"/>
  <c r="S125" i="6"/>
  <c r="M125" i="6"/>
  <c r="S124" i="6"/>
  <c r="M124" i="6"/>
  <c r="S123" i="6"/>
  <c r="M123" i="6"/>
  <c r="S122" i="6"/>
  <c r="M122" i="6"/>
  <c r="S121" i="6"/>
  <c r="M121" i="6"/>
  <c r="S120" i="6"/>
  <c r="M120" i="6"/>
  <c r="S119" i="6"/>
  <c r="M119" i="6"/>
  <c r="S118" i="6"/>
  <c r="M118" i="6"/>
  <c r="S117" i="6"/>
  <c r="M117" i="6"/>
  <c r="S116" i="6"/>
  <c r="M116" i="6"/>
  <c r="S115" i="6"/>
  <c r="M115" i="6"/>
  <c r="S114" i="6"/>
  <c r="M114" i="6"/>
  <c r="S113" i="6"/>
  <c r="M113" i="6"/>
  <c r="S112" i="6"/>
  <c r="M112" i="6"/>
  <c r="S111" i="6"/>
  <c r="M111" i="6"/>
  <c r="S110" i="6"/>
  <c r="M110" i="6"/>
  <c r="S109" i="6"/>
  <c r="M109" i="6"/>
  <c r="S108" i="6"/>
  <c r="M108" i="6"/>
  <c r="S107" i="6"/>
  <c r="M107" i="6"/>
  <c r="S106" i="6"/>
  <c r="M106" i="6"/>
  <c r="S105" i="6"/>
  <c r="M105" i="6"/>
  <c r="S104" i="6"/>
  <c r="M104" i="6"/>
  <c r="S103" i="6"/>
  <c r="M103" i="6"/>
  <c r="S102" i="6"/>
  <c r="M102" i="6"/>
  <c r="S101" i="6"/>
  <c r="M101" i="6"/>
  <c r="S100" i="6"/>
  <c r="M100" i="6"/>
  <c r="S99" i="6"/>
  <c r="M99" i="6"/>
  <c r="S98" i="6"/>
  <c r="M98" i="6"/>
  <c r="S97" i="6"/>
  <c r="M97" i="6"/>
  <c r="S96" i="6"/>
  <c r="M96" i="6"/>
  <c r="S95" i="6"/>
  <c r="M95" i="6"/>
  <c r="S94" i="6"/>
  <c r="M94" i="6"/>
  <c r="S93" i="6"/>
  <c r="M93" i="6"/>
  <c r="S92" i="6"/>
  <c r="M92" i="6"/>
  <c r="S91" i="6"/>
  <c r="M91" i="6"/>
  <c r="S90" i="6"/>
  <c r="M90" i="6"/>
  <c r="S89" i="6"/>
  <c r="M89" i="6"/>
  <c r="S88" i="6"/>
  <c r="M88" i="6"/>
  <c r="S87" i="6"/>
  <c r="M87" i="6"/>
  <c r="S86" i="6"/>
  <c r="M86" i="6"/>
  <c r="S85" i="6"/>
  <c r="M85" i="6"/>
  <c r="S84" i="6"/>
  <c r="M84" i="6"/>
  <c r="S83" i="6"/>
  <c r="M83" i="6"/>
  <c r="S82" i="6"/>
  <c r="M82" i="6"/>
  <c r="S81" i="6"/>
  <c r="M81" i="6"/>
  <c r="S80" i="6"/>
  <c r="M80" i="6"/>
  <c r="S79" i="6"/>
  <c r="M79" i="6"/>
  <c r="S78" i="6"/>
  <c r="M78" i="6"/>
  <c r="S77" i="6"/>
  <c r="M77" i="6"/>
  <c r="S76" i="6"/>
  <c r="M76" i="6"/>
  <c r="S75" i="6"/>
  <c r="M75" i="6"/>
  <c r="S74" i="6"/>
  <c r="M74" i="6"/>
  <c r="S73" i="6"/>
  <c r="M73" i="6"/>
  <c r="S72" i="6"/>
  <c r="M72" i="6"/>
  <c r="S71" i="6"/>
  <c r="M71" i="6"/>
  <c r="S70" i="6"/>
  <c r="M70" i="6"/>
  <c r="S69" i="6"/>
  <c r="M69" i="6"/>
  <c r="S68" i="6"/>
  <c r="M68" i="6"/>
  <c r="S67" i="6"/>
  <c r="M67" i="6"/>
  <c r="S66" i="6"/>
  <c r="M66" i="6"/>
  <c r="S65" i="6"/>
  <c r="M65" i="6"/>
  <c r="S64" i="6"/>
  <c r="M64" i="6"/>
  <c r="S63" i="6"/>
  <c r="M63" i="6"/>
  <c r="S62" i="6"/>
  <c r="M62" i="6"/>
  <c r="S61" i="6"/>
  <c r="M61" i="6"/>
  <c r="S60" i="6"/>
  <c r="M60" i="6"/>
  <c r="S59" i="6"/>
  <c r="M59" i="6"/>
  <c r="S58" i="6"/>
  <c r="M58" i="6"/>
  <c r="S57" i="6"/>
  <c r="M57" i="6"/>
  <c r="S56" i="6"/>
  <c r="M56" i="6"/>
  <c r="S55" i="6"/>
  <c r="M55" i="6"/>
  <c r="S54" i="6"/>
  <c r="M54" i="6"/>
  <c r="S53" i="6"/>
  <c r="M53" i="6"/>
  <c r="S52" i="6"/>
  <c r="M52" i="6"/>
  <c r="S51" i="6"/>
  <c r="M51" i="6"/>
  <c r="S50" i="6"/>
  <c r="M50" i="6"/>
  <c r="S49" i="6"/>
  <c r="M49" i="6"/>
  <c r="S48" i="6"/>
  <c r="M48" i="6"/>
  <c r="S47" i="6"/>
  <c r="M47" i="6"/>
  <c r="S46" i="6"/>
  <c r="M46" i="6"/>
  <c r="S45" i="6"/>
  <c r="M45" i="6"/>
  <c r="S44" i="6"/>
  <c r="M44" i="6"/>
  <c r="S43" i="6"/>
  <c r="M43" i="6"/>
  <c r="S42" i="6"/>
  <c r="M42" i="6"/>
  <c r="S41" i="6"/>
  <c r="M41" i="6"/>
  <c r="S40" i="6"/>
  <c r="M40" i="6"/>
  <c r="S39" i="6"/>
  <c r="M39" i="6"/>
  <c r="S38" i="6"/>
  <c r="M38" i="6"/>
  <c r="S37" i="6"/>
  <c r="M37" i="6"/>
  <c r="S36" i="6"/>
  <c r="M36" i="6"/>
  <c r="S35" i="6"/>
  <c r="M35" i="6"/>
  <c r="S34" i="6"/>
  <c r="M34" i="6"/>
  <c r="S33" i="6"/>
  <c r="M33" i="6"/>
  <c r="S32" i="6"/>
  <c r="M32" i="6"/>
  <c r="S31" i="6"/>
  <c r="R258" i="6" s="1"/>
  <c r="M31" i="6"/>
  <c r="U30" i="6"/>
  <c r="S30" i="6" s="1"/>
  <c r="M30" i="6"/>
  <c r="S29" i="6"/>
  <c r="M29" i="6"/>
  <c r="S28" i="6"/>
  <c r="M28" i="6"/>
  <c r="S27" i="6"/>
  <c r="M27" i="6"/>
  <c r="S26" i="6"/>
  <c r="M26" i="6"/>
  <c r="S25" i="6"/>
  <c r="M25" i="6"/>
  <c r="S24" i="6"/>
  <c r="M24" i="6"/>
  <c r="S23" i="6"/>
  <c r="M23" i="6"/>
  <c r="S22" i="6"/>
  <c r="M22" i="6"/>
  <c r="S21" i="6"/>
  <c r="M21" i="6"/>
  <c r="S20" i="6"/>
  <c r="M20" i="6"/>
  <c r="S19" i="6"/>
  <c r="M19" i="6"/>
  <c r="S18" i="6"/>
  <c r="M18" i="6"/>
  <c r="S17" i="6"/>
  <c r="M17" i="6"/>
  <c r="S16" i="6"/>
  <c r="M16" i="6"/>
  <c r="S15" i="6"/>
  <c r="M15" i="6"/>
  <c r="S14" i="6"/>
  <c r="M14" i="6"/>
  <c r="S13" i="6"/>
  <c r="M13" i="6"/>
  <c r="S12" i="6"/>
  <c r="M12" i="6"/>
  <c r="L259" i="6" s="1"/>
  <c r="S11" i="6"/>
  <c r="M11" i="6"/>
  <c r="S10" i="6"/>
  <c r="R260" i="6" s="1"/>
  <c r="M10" i="6"/>
  <c r="L260" i="6" s="1"/>
  <c r="S9" i="6"/>
  <c r="M9" i="6"/>
  <c r="L258" i="6" s="1"/>
  <c r="T260" i="5"/>
  <c r="S260" i="5"/>
  <c r="S261" i="5" s="1"/>
  <c r="Q260" i="5"/>
  <c r="Q261" i="5" s="1"/>
  <c r="P260" i="5"/>
  <c r="P261" i="5" s="1"/>
  <c r="O260" i="5"/>
  <c r="O261" i="5" s="1"/>
  <c r="N260" i="5"/>
  <c r="N261" i="5" s="1"/>
  <c r="M260" i="5"/>
  <c r="M261" i="5" s="1"/>
  <c r="K260" i="5"/>
  <c r="K261" i="5" s="1"/>
  <c r="J260" i="5"/>
  <c r="J261" i="5" s="1"/>
  <c r="I260" i="5"/>
  <c r="I261" i="5" s="1"/>
  <c r="H260" i="5"/>
  <c r="H261" i="5" s="1"/>
  <c r="G260" i="5"/>
  <c r="G261" i="5" s="1"/>
  <c r="S259" i="5"/>
  <c r="U259" i="5" s="1"/>
  <c r="Q259" i="5"/>
  <c r="P259" i="5"/>
  <c r="O259" i="5"/>
  <c r="N259" i="5"/>
  <c r="M259" i="5"/>
  <c r="K259" i="5"/>
  <c r="J259" i="5"/>
  <c r="V259" i="5" s="1"/>
  <c r="I259" i="5"/>
  <c r="H259" i="5"/>
  <c r="G259" i="5"/>
  <c r="T258" i="5"/>
  <c r="S258" i="5"/>
  <c r="U258" i="5" s="1"/>
  <c r="Q258" i="5"/>
  <c r="P258" i="5"/>
  <c r="O258" i="5"/>
  <c r="N258" i="5"/>
  <c r="M258" i="5"/>
  <c r="K258" i="5"/>
  <c r="J258" i="5"/>
  <c r="V258" i="5" s="1"/>
  <c r="I258" i="5"/>
  <c r="H258" i="5"/>
  <c r="G258" i="5"/>
  <c r="T252" i="5"/>
  <c r="R252" i="5"/>
  <c r="Q252" i="5"/>
  <c r="P252" i="5"/>
  <c r="O252" i="5"/>
  <c r="N252" i="5"/>
  <c r="L252" i="5"/>
  <c r="K252" i="5"/>
  <c r="J252" i="5"/>
  <c r="I252" i="5"/>
  <c r="H252" i="5"/>
  <c r="S251" i="5"/>
  <c r="M251" i="5"/>
  <c r="S250" i="5"/>
  <c r="M250" i="5"/>
  <c r="S249" i="5"/>
  <c r="M249" i="5"/>
  <c r="S248" i="5"/>
  <c r="M248" i="5"/>
  <c r="S247" i="5"/>
  <c r="M247" i="5"/>
  <c r="S246" i="5"/>
  <c r="M246" i="5"/>
  <c r="S245" i="5"/>
  <c r="M245" i="5"/>
  <c r="S244" i="5"/>
  <c r="M244" i="5"/>
  <c r="S243" i="5"/>
  <c r="M243" i="5"/>
  <c r="S242" i="5"/>
  <c r="M242" i="5"/>
  <c r="S241" i="5"/>
  <c r="M241" i="5"/>
  <c r="S240" i="5"/>
  <c r="M240" i="5"/>
  <c r="S239" i="5"/>
  <c r="M239" i="5"/>
  <c r="S238" i="5"/>
  <c r="M238" i="5"/>
  <c r="S237" i="5"/>
  <c r="M237" i="5"/>
  <c r="S236" i="5"/>
  <c r="M236" i="5"/>
  <c r="S235" i="5"/>
  <c r="M235" i="5"/>
  <c r="S234" i="5"/>
  <c r="M234" i="5"/>
  <c r="S233" i="5"/>
  <c r="M233" i="5"/>
  <c r="S232" i="5"/>
  <c r="M232" i="5"/>
  <c r="S231" i="5"/>
  <c r="M231" i="5"/>
  <c r="S230" i="5"/>
  <c r="M230" i="5"/>
  <c r="S229" i="5"/>
  <c r="M229" i="5"/>
  <c r="S228" i="5"/>
  <c r="M228" i="5"/>
  <c r="U227" i="5"/>
  <c r="S227" i="5"/>
  <c r="M227" i="5"/>
  <c r="S226" i="5"/>
  <c r="M226" i="5"/>
  <c r="S225" i="5"/>
  <c r="M225" i="5"/>
  <c r="S224" i="5"/>
  <c r="M224" i="5"/>
  <c r="S223" i="5"/>
  <c r="M223" i="5"/>
  <c r="S222" i="5"/>
  <c r="M222" i="5"/>
  <c r="S221" i="5"/>
  <c r="M221" i="5"/>
  <c r="S220" i="5"/>
  <c r="M220" i="5"/>
  <c r="S219" i="5"/>
  <c r="M219" i="5"/>
  <c r="S218" i="5"/>
  <c r="M218" i="5"/>
  <c r="S217" i="5"/>
  <c r="M217" i="5"/>
  <c r="S216" i="5"/>
  <c r="M216" i="5"/>
  <c r="S215" i="5"/>
  <c r="M215" i="5"/>
  <c r="S214" i="5"/>
  <c r="M214" i="5"/>
  <c r="S213" i="5"/>
  <c r="M213" i="5"/>
  <c r="S212" i="5"/>
  <c r="M212" i="5"/>
  <c r="S211" i="5"/>
  <c r="M211" i="5"/>
  <c r="S210" i="5"/>
  <c r="M210" i="5"/>
  <c r="S209" i="5"/>
  <c r="M209" i="5"/>
  <c r="S208" i="5"/>
  <c r="M208" i="5"/>
  <c r="S207" i="5"/>
  <c r="M207" i="5"/>
  <c r="S206" i="5"/>
  <c r="M206" i="5"/>
  <c r="S205" i="5"/>
  <c r="M205" i="5"/>
  <c r="S204" i="5"/>
  <c r="M204" i="5"/>
  <c r="S203" i="5"/>
  <c r="M203" i="5"/>
  <c r="S202" i="5"/>
  <c r="M202" i="5"/>
  <c r="S201" i="5"/>
  <c r="M201" i="5"/>
  <c r="S200" i="5"/>
  <c r="M200" i="5"/>
  <c r="S199" i="5"/>
  <c r="M199" i="5"/>
  <c r="S198" i="5"/>
  <c r="M198" i="5"/>
  <c r="S197" i="5"/>
  <c r="M197" i="5"/>
  <c r="S196" i="5"/>
  <c r="M196" i="5"/>
  <c r="S195" i="5"/>
  <c r="M195" i="5"/>
  <c r="S194" i="5"/>
  <c r="M194" i="5"/>
  <c r="S193" i="5"/>
  <c r="M193" i="5"/>
  <c r="S192" i="5"/>
  <c r="M192" i="5"/>
  <c r="S191" i="5"/>
  <c r="M191" i="5"/>
  <c r="S190" i="5"/>
  <c r="M190" i="5"/>
  <c r="S189" i="5"/>
  <c r="M189" i="5"/>
  <c r="S188" i="5"/>
  <c r="M188" i="5"/>
  <c r="S187" i="5"/>
  <c r="M187" i="5"/>
  <c r="S186" i="5"/>
  <c r="M186" i="5"/>
  <c r="S185" i="5"/>
  <c r="M185" i="5"/>
  <c r="S184" i="5"/>
  <c r="M184" i="5"/>
  <c r="S183" i="5"/>
  <c r="M183" i="5"/>
  <c r="S182" i="5"/>
  <c r="M182" i="5"/>
  <c r="U181" i="5"/>
  <c r="S181" i="5" s="1"/>
  <c r="M181" i="5"/>
  <c r="S180" i="5"/>
  <c r="M180" i="5"/>
  <c r="S179" i="5"/>
  <c r="M179" i="5"/>
  <c r="S178" i="5"/>
  <c r="M178" i="5"/>
  <c r="S177" i="5"/>
  <c r="M177" i="5"/>
  <c r="S176" i="5"/>
  <c r="M176" i="5"/>
  <c r="S175" i="5"/>
  <c r="M175" i="5"/>
  <c r="S174" i="5"/>
  <c r="M174" i="5"/>
  <c r="S173" i="5"/>
  <c r="M173" i="5"/>
  <c r="S172" i="5"/>
  <c r="M172" i="5"/>
  <c r="S171" i="5"/>
  <c r="M171" i="5"/>
  <c r="S170" i="5"/>
  <c r="M170" i="5"/>
  <c r="S169" i="5"/>
  <c r="M169" i="5"/>
  <c r="S168" i="5"/>
  <c r="M168" i="5"/>
  <c r="S167" i="5"/>
  <c r="M167" i="5"/>
  <c r="S166" i="5"/>
  <c r="M166" i="5"/>
  <c r="S165" i="5"/>
  <c r="M165" i="5"/>
  <c r="S164" i="5"/>
  <c r="M164" i="5"/>
  <c r="S163" i="5"/>
  <c r="M163" i="5"/>
  <c r="S162" i="5"/>
  <c r="M162" i="5"/>
  <c r="S161" i="5"/>
  <c r="M161" i="5"/>
  <c r="S160" i="5"/>
  <c r="M160" i="5"/>
  <c r="S159" i="5"/>
  <c r="M159" i="5"/>
  <c r="S158" i="5"/>
  <c r="M158" i="5"/>
  <c r="S157" i="5"/>
  <c r="M157" i="5"/>
  <c r="S156" i="5"/>
  <c r="M156" i="5"/>
  <c r="S155" i="5"/>
  <c r="M155" i="5"/>
  <c r="S154" i="5"/>
  <c r="M154" i="5"/>
  <c r="S153" i="5"/>
  <c r="M153" i="5"/>
  <c r="S152" i="5"/>
  <c r="M152" i="5"/>
  <c r="S151" i="5"/>
  <c r="M151" i="5"/>
  <c r="U150" i="5"/>
  <c r="S150" i="5"/>
  <c r="M150" i="5"/>
  <c r="S149" i="5"/>
  <c r="M149" i="5"/>
  <c r="U148" i="5"/>
  <c r="S148" i="5" s="1"/>
  <c r="M148" i="5"/>
  <c r="S147" i="5"/>
  <c r="M147" i="5"/>
  <c r="S146" i="5"/>
  <c r="M146" i="5"/>
  <c r="S145" i="5"/>
  <c r="M145" i="5"/>
  <c r="S144" i="5"/>
  <c r="M144" i="5"/>
  <c r="S143" i="5"/>
  <c r="M143" i="5"/>
  <c r="S142" i="5"/>
  <c r="M142" i="5"/>
  <c r="S141" i="5"/>
  <c r="M141" i="5"/>
  <c r="S140" i="5"/>
  <c r="M140" i="5"/>
  <c r="S139" i="5"/>
  <c r="M139" i="5"/>
  <c r="S138" i="5"/>
  <c r="M138" i="5"/>
  <c r="S137" i="5"/>
  <c r="M137" i="5"/>
  <c r="S136" i="5"/>
  <c r="M136" i="5"/>
  <c r="S135" i="5"/>
  <c r="M135" i="5"/>
  <c r="S134" i="5"/>
  <c r="M134" i="5"/>
  <c r="S133" i="5"/>
  <c r="M133" i="5"/>
  <c r="S132" i="5"/>
  <c r="M132" i="5"/>
  <c r="S131" i="5"/>
  <c r="M131" i="5"/>
  <c r="S130" i="5"/>
  <c r="M130" i="5"/>
  <c r="S129" i="5"/>
  <c r="M129" i="5"/>
  <c r="S128" i="5"/>
  <c r="M128" i="5"/>
  <c r="S127" i="5"/>
  <c r="M127" i="5"/>
  <c r="S126" i="5"/>
  <c r="M126" i="5"/>
  <c r="S125" i="5"/>
  <c r="M125" i="5"/>
  <c r="S124" i="5"/>
  <c r="M124" i="5"/>
  <c r="S123" i="5"/>
  <c r="M123" i="5"/>
  <c r="S122" i="5"/>
  <c r="M122" i="5"/>
  <c r="S121" i="5"/>
  <c r="M121" i="5"/>
  <c r="S120" i="5"/>
  <c r="M120" i="5"/>
  <c r="S119" i="5"/>
  <c r="M119" i="5"/>
  <c r="S118" i="5"/>
  <c r="M118" i="5"/>
  <c r="S117" i="5"/>
  <c r="M117" i="5"/>
  <c r="S116" i="5"/>
  <c r="M116" i="5"/>
  <c r="S115" i="5"/>
  <c r="M115" i="5"/>
  <c r="S114" i="5"/>
  <c r="M114" i="5"/>
  <c r="S113" i="5"/>
  <c r="M113" i="5"/>
  <c r="S112" i="5"/>
  <c r="M112" i="5"/>
  <c r="S111" i="5"/>
  <c r="M111" i="5"/>
  <c r="S110" i="5"/>
  <c r="M110" i="5"/>
  <c r="S109" i="5"/>
  <c r="M109" i="5"/>
  <c r="S108" i="5"/>
  <c r="M108" i="5"/>
  <c r="S107" i="5"/>
  <c r="M107" i="5"/>
  <c r="S106" i="5"/>
  <c r="M106" i="5"/>
  <c r="S105" i="5"/>
  <c r="M105" i="5"/>
  <c r="S104" i="5"/>
  <c r="M104" i="5"/>
  <c r="S103" i="5"/>
  <c r="M103" i="5"/>
  <c r="S102" i="5"/>
  <c r="M102" i="5"/>
  <c r="S101" i="5"/>
  <c r="M101" i="5"/>
  <c r="S100" i="5"/>
  <c r="M100" i="5"/>
  <c r="S99" i="5"/>
  <c r="M99" i="5"/>
  <c r="S98" i="5"/>
  <c r="M98" i="5"/>
  <c r="S97" i="5"/>
  <c r="M97" i="5"/>
  <c r="S96" i="5"/>
  <c r="M96" i="5"/>
  <c r="S95" i="5"/>
  <c r="M95" i="5"/>
  <c r="S94" i="5"/>
  <c r="M94" i="5"/>
  <c r="S93" i="5"/>
  <c r="M93" i="5"/>
  <c r="S92" i="5"/>
  <c r="M92" i="5"/>
  <c r="S91" i="5"/>
  <c r="M91" i="5"/>
  <c r="S90" i="5"/>
  <c r="M90" i="5"/>
  <c r="S89" i="5"/>
  <c r="M89" i="5"/>
  <c r="S88" i="5"/>
  <c r="M88" i="5"/>
  <c r="S87" i="5"/>
  <c r="M87" i="5"/>
  <c r="S86" i="5"/>
  <c r="M86" i="5"/>
  <c r="S85" i="5"/>
  <c r="M85" i="5"/>
  <c r="S84" i="5"/>
  <c r="M84" i="5"/>
  <c r="S83" i="5"/>
  <c r="M83" i="5"/>
  <c r="S82" i="5"/>
  <c r="M82" i="5"/>
  <c r="S81" i="5"/>
  <c r="M81" i="5"/>
  <c r="S80" i="5"/>
  <c r="M80" i="5"/>
  <c r="S79" i="5"/>
  <c r="M79" i="5"/>
  <c r="S78" i="5"/>
  <c r="M78" i="5"/>
  <c r="S77" i="5"/>
  <c r="M77" i="5"/>
  <c r="S76" i="5"/>
  <c r="M76" i="5"/>
  <c r="S75" i="5"/>
  <c r="M75" i="5"/>
  <c r="S74" i="5"/>
  <c r="M74" i="5"/>
  <c r="S73" i="5"/>
  <c r="M73" i="5"/>
  <c r="S72" i="5"/>
  <c r="M72" i="5"/>
  <c r="S71" i="5"/>
  <c r="M71" i="5"/>
  <c r="S70" i="5"/>
  <c r="M70" i="5"/>
  <c r="S69" i="5"/>
  <c r="M69" i="5"/>
  <c r="S68" i="5"/>
  <c r="M68" i="5"/>
  <c r="S67" i="5"/>
  <c r="M67" i="5"/>
  <c r="S66" i="5"/>
  <c r="M66" i="5"/>
  <c r="S65" i="5"/>
  <c r="M65" i="5"/>
  <c r="S64" i="5"/>
  <c r="M64" i="5"/>
  <c r="S63" i="5"/>
  <c r="M63" i="5"/>
  <c r="S62" i="5"/>
  <c r="M62" i="5"/>
  <c r="S61" i="5"/>
  <c r="M61" i="5"/>
  <c r="S60" i="5"/>
  <c r="M60" i="5"/>
  <c r="S59" i="5"/>
  <c r="M59" i="5"/>
  <c r="S58" i="5"/>
  <c r="M58" i="5"/>
  <c r="S57" i="5"/>
  <c r="M57" i="5"/>
  <c r="S56" i="5"/>
  <c r="M56" i="5"/>
  <c r="S55" i="5"/>
  <c r="M55" i="5"/>
  <c r="S54" i="5"/>
  <c r="M54" i="5"/>
  <c r="S53" i="5"/>
  <c r="M53" i="5"/>
  <c r="S52" i="5"/>
  <c r="M52" i="5"/>
  <c r="S51" i="5"/>
  <c r="M51" i="5"/>
  <c r="S50" i="5"/>
  <c r="M50" i="5"/>
  <c r="S49" i="5"/>
  <c r="M49" i="5"/>
  <c r="S48" i="5"/>
  <c r="M48" i="5"/>
  <c r="S47" i="5"/>
  <c r="M47" i="5"/>
  <c r="S46" i="5"/>
  <c r="M46" i="5"/>
  <c r="S45" i="5"/>
  <c r="M45" i="5"/>
  <c r="S44" i="5"/>
  <c r="M44" i="5"/>
  <c r="S43" i="5"/>
  <c r="M43" i="5"/>
  <c r="S42" i="5"/>
  <c r="M42" i="5"/>
  <c r="S41" i="5"/>
  <c r="M41" i="5"/>
  <c r="S40" i="5"/>
  <c r="M40" i="5"/>
  <c r="S39" i="5"/>
  <c r="M39" i="5"/>
  <c r="S38" i="5"/>
  <c r="M38" i="5"/>
  <c r="S37" i="5"/>
  <c r="M37" i="5"/>
  <c r="S36" i="5"/>
  <c r="M36" i="5"/>
  <c r="S35" i="5"/>
  <c r="M35" i="5"/>
  <c r="S34" i="5"/>
  <c r="M34" i="5"/>
  <c r="S33" i="5"/>
  <c r="M33" i="5"/>
  <c r="S32" i="5"/>
  <c r="M32" i="5"/>
  <c r="S31" i="5"/>
  <c r="M31" i="5"/>
  <c r="U30" i="5"/>
  <c r="T259" i="5" s="1"/>
  <c r="S30" i="5"/>
  <c r="M30" i="5"/>
  <c r="S29" i="5"/>
  <c r="M29" i="5"/>
  <c r="S28" i="5"/>
  <c r="M28" i="5"/>
  <c r="S27" i="5"/>
  <c r="M27" i="5"/>
  <c r="S26" i="5"/>
  <c r="M26" i="5"/>
  <c r="S25" i="5"/>
  <c r="M25" i="5"/>
  <c r="S24" i="5"/>
  <c r="M24" i="5"/>
  <c r="S23" i="5"/>
  <c r="M23" i="5"/>
  <c r="S22" i="5"/>
  <c r="M22" i="5"/>
  <c r="S21" i="5"/>
  <c r="M21" i="5"/>
  <c r="S20" i="5"/>
  <c r="M20" i="5"/>
  <c r="S19" i="5"/>
  <c r="M19" i="5"/>
  <c r="S18" i="5"/>
  <c r="M18" i="5"/>
  <c r="S17" i="5"/>
  <c r="M17" i="5"/>
  <c r="S16" i="5"/>
  <c r="M16" i="5"/>
  <c r="S15" i="5"/>
  <c r="M15" i="5"/>
  <c r="S14" i="5"/>
  <c r="M14" i="5"/>
  <c r="S13" i="5"/>
  <c r="M13" i="5"/>
  <c r="S12" i="5"/>
  <c r="R259" i="5" s="1"/>
  <c r="M12" i="5"/>
  <c r="L259" i="5" s="1"/>
  <c r="S11" i="5"/>
  <c r="M11" i="5"/>
  <c r="S10" i="5"/>
  <c r="R260" i="5" s="1"/>
  <c r="M10" i="5"/>
  <c r="L260" i="5" s="1"/>
  <c r="S9" i="5"/>
  <c r="R258" i="5" s="1"/>
  <c r="M9" i="5"/>
  <c r="L258" i="5" s="1"/>
  <c r="T260" i="4"/>
  <c r="T261" i="4" s="1"/>
  <c r="S260" i="4"/>
  <c r="S261" i="4" s="1"/>
  <c r="Q260" i="4"/>
  <c r="Q261" i="4" s="1"/>
  <c r="P260" i="4"/>
  <c r="P261" i="4" s="1"/>
  <c r="O260" i="4"/>
  <c r="O261" i="4" s="1"/>
  <c r="N260" i="4"/>
  <c r="N261" i="4" s="1"/>
  <c r="M260" i="4"/>
  <c r="M261" i="4" s="1"/>
  <c r="K260" i="4"/>
  <c r="K261" i="4" s="1"/>
  <c r="J260" i="4"/>
  <c r="J261" i="4" s="1"/>
  <c r="I260" i="4"/>
  <c r="I261" i="4" s="1"/>
  <c r="H260" i="4"/>
  <c r="H261" i="4" s="1"/>
  <c r="G260" i="4"/>
  <c r="G261" i="4" s="1"/>
  <c r="T259" i="4"/>
  <c r="S259" i="4"/>
  <c r="U259" i="4" s="1"/>
  <c r="Q259" i="4"/>
  <c r="P259" i="4"/>
  <c r="O259" i="4"/>
  <c r="N259" i="4"/>
  <c r="M259" i="4"/>
  <c r="L259" i="4"/>
  <c r="K259" i="4"/>
  <c r="J259" i="4"/>
  <c r="V259" i="4" s="1"/>
  <c r="I259" i="4"/>
  <c r="H259" i="4"/>
  <c r="G259" i="4"/>
  <c r="T258" i="4"/>
  <c r="S258" i="4"/>
  <c r="U258" i="4" s="1"/>
  <c r="Q258" i="4"/>
  <c r="P258" i="4"/>
  <c r="O258" i="4"/>
  <c r="N258" i="4"/>
  <c r="M258" i="4"/>
  <c r="L258" i="4"/>
  <c r="K258" i="4"/>
  <c r="J258" i="4"/>
  <c r="V258" i="4" s="1"/>
  <c r="I258" i="4"/>
  <c r="H258" i="4"/>
  <c r="G258" i="4"/>
  <c r="U252" i="4"/>
  <c r="T252" i="4"/>
  <c r="R252" i="4"/>
  <c r="Q252" i="4"/>
  <c r="P252" i="4"/>
  <c r="O252" i="4"/>
  <c r="N252" i="4"/>
  <c r="M252" i="4"/>
  <c r="L252" i="4"/>
  <c r="K252" i="4"/>
  <c r="J252" i="4"/>
  <c r="I252" i="4"/>
  <c r="H252" i="4"/>
  <c r="S251" i="4"/>
  <c r="M251" i="4"/>
  <c r="S250" i="4"/>
  <c r="M250" i="4"/>
  <c r="S249" i="4"/>
  <c r="M249" i="4"/>
  <c r="S248" i="4"/>
  <c r="M248" i="4"/>
  <c r="S247" i="4"/>
  <c r="M247" i="4"/>
  <c r="S246" i="4"/>
  <c r="M246" i="4"/>
  <c r="S245" i="4"/>
  <c r="M245" i="4"/>
  <c r="S244" i="4"/>
  <c r="M244" i="4"/>
  <c r="S243" i="4"/>
  <c r="M243" i="4"/>
  <c r="S242" i="4"/>
  <c r="M242" i="4"/>
  <c r="S241" i="4"/>
  <c r="M241" i="4"/>
  <c r="S240" i="4"/>
  <c r="M240" i="4"/>
  <c r="S239" i="4"/>
  <c r="M239" i="4"/>
  <c r="S238" i="4"/>
  <c r="M238" i="4"/>
  <c r="S237" i="4"/>
  <c r="M237" i="4"/>
  <c r="S236" i="4"/>
  <c r="M236" i="4"/>
  <c r="S235" i="4"/>
  <c r="M235" i="4"/>
  <c r="S234" i="4"/>
  <c r="M234" i="4"/>
  <c r="S233" i="4"/>
  <c r="M233" i="4"/>
  <c r="S232" i="4"/>
  <c r="M232" i="4"/>
  <c r="S231" i="4"/>
  <c r="M231" i="4"/>
  <c r="S230" i="4"/>
  <c r="M230" i="4"/>
  <c r="S229" i="4"/>
  <c r="M229" i="4"/>
  <c r="S228" i="4"/>
  <c r="M228" i="4"/>
  <c r="S227" i="4"/>
  <c r="M227" i="4"/>
  <c r="S226" i="4"/>
  <c r="M226" i="4"/>
  <c r="S225" i="4"/>
  <c r="M225" i="4"/>
  <c r="S224" i="4"/>
  <c r="M224" i="4"/>
  <c r="S223" i="4"/>
  <c r="M223" i="4"/>
  <c r="S222" i="4"/>
  <c r="M222" i="4"/>
  <c r="S221" i="4"/>
  <c r="M221" i="4"/>
  <c r="S220" i="4"/>
  <c r="M220" i="4"/>
  <c r="S219" i="4"/>
  <c r="M219" i="4"/>
  <c r="S218" i="4"/>
  <c r="M218" i="4"/>
  <c r="S217" i="4"/>
  <c r="M217" i="4"/>
  <c r="S216" i="4"/>
  <c r="M216" i="4"/>
  <c r="S215" i="4"/>
  <c r="M215" i="4"/>
  <c r="S214" i="4"/>
  <c r="M214" i="4"/>
  <c r="S213" i="4"/>
  <c r="M213" i="4"/>
  <c r="S212" i="4"/>
  <c r="M212" i="4"/>
  <c r="S211" i="4"/>
  <c r="M211" i="4"/>
  <c r="S210" i="4"/>
  <c r="M210" i="4"/>
  <c r="S209" i="4"/>
  <c r="M209" i="4"/>
  <c r="S208" i="4"/>
  <c r="M208" i="4"/>
  <c r="S207" i="4"/>
  <c r="M207" i="4"/>
  <c r="S206" i="4"/>
  <c r="M206" i="4"/>
  <c r="S205" i="4"/>
  <c r="M205" i="4"/>
  <c r="S204" i="4"/>
  <c r="M204" i="4"/>
  <c r="S203" i="4"/>
  <c r="M203" i="4"/>
  <c r="S202" i="4"/>
  <c r="M202" i="4"/>
  <c r="S201" i="4"/>
  <c r="M201" i="4"/>
  <c r="S200" i="4"/>
  <c r="M200" i="4"/>
  <c r="S199" i="4"/>
  <c r="M199" i="4"/>
  <c r="S198" i="4"/>
  <c r="M198" i="4"/>
  <c r="S197" i="4"/>
  <c r="M197" i="4"/>
  <c r="S196" i="4"/>
  <c r="M196" i="4"/>
  <c r="S195" i="4"/>
  <c r="M195" i="4"/>
  <c r="S194" i="4"/>
  <c r="M194" i="4"/>
  <c r="S193" i="4"/>
  <c r="M193" i="4"/>
  <c r="S192" i="4"/>
  <c r="M192" i="4"/>
  <c r="S191" i="4"/>
  <c r="M191" i="4"/>
  <c r="S190" i="4"/>
  <c r="M190" i="4"/>
  <c r="S189" i="4"/>
  <c r="M189" i="4"/>
  <c r="S188" i="4"/>
  <c r="M188" i="4"/>
  <c r="S187" i="4"/>
  <c r="M187" i="4"/>
  <c r="S186" i="4"/>
  <c r="M186" i="4"/>
  <c r="S185" i="4"/>
  <c r="M185" i="4"/>
  <c r="S184" i="4"/>
  <c r="M184" i="4"/>
  <c r="S183" i="4"/>
  <c r="M183" i="4"/>
  <c r="S182" i="4"/>
  <c r="M182" i="4"/>
  <c r="S181" i="4"/>
  <c r="M181" i="4"/>
  <c r="S180" i="4"/>
  <c r="M180" i="4"/>
  <c r="S179" i="4"/>
  <c r="M179" i="4"/>
  <c r="S178" i="4"/>
  <c r="M178" i="4"/>
  <c r="S177" i="4"/>
  <c r="M177" i="4"/>
  <c r="S176" i="4"/>
  <c r="M176" i="4"/>
  <c r="S175" i="4"/>
  <c r="M175" i="4"/>
  <c r="S174" i="4"/>
  <c r="M174" i="4"/>
  <c r="S173" i="4"/>
  <c r="M173" i="4"/>
  <c r="S172" i="4"/>
  <c r="M172" i="4"/>
  <c r="S171" i="4"/>
  <c r="M171" i="4"/>
  <c r="S170" i="4"/>
  <c r="M170" i="4"/>
  <c r="S169" i="4"/>
  <c r="M169" i="4"/>
  <c r="S168" i="4"/>
  <c r="M168" i="4"/>
  <c r="S167" i="4"/>
  <c r="M167" i="4"/>
  <c r="S166" i="4"/>
  <c r="M166" i="4"/>
  <c r="S165" i="4"/>
  <c r="M165" i="4"/>
  <c r="S164" i="4"/>
  <c r="M164" i="4"/>
  <c r="S163" i="4"/>
  <c r="M163" i="4"/>
  <c r="S162" i="4"/>
  <c r="M162" i="4"/>
  <c r="S161" i="4"/>
  <c r="M161" i="4"/>
  <c r="S160" i="4"/>
  <c r="M160" i="4"/>
  <c r="S159" i="4"/>
  <c r="M159" i="4"/>
  <c r="S158" i="4"/>
  <c r="M158" i="4"/>
  <c r="S157" i="4"/>
  <c r="M157" i="4"/>
  <c r="S156" i="4"/>
  <c r="M156" i="4"/>
  <c r="S155" i="4"/>
  <c r="M155" i="4"/>
  <c r="S154" i="4"/>
  <c r="M154" i="4"/>
  <c r="S153" i="4"/>
  <c r="M153" i="4"/>
  <c r="S152" i="4"/>
  <c r="M152" i="4"/>
  <c r="S151" i="4"/>
  <c r="M151" i="4"/>
  <c r="S150" i="4"/>
  <c r="M150" i="4"/>
  <c r="S149" i="4"/>
  <c r="M149" i="4"/>
  <c r="S148" i="4"/>
  <c r="M148" i="4"/>
  <c r="S147" i="4"/>
  <c r="M147" i="4"/>
  <c r="S146" i="4"/>
  <c r="M146" i="4"/>
  <c r="S145" i="4"/>
  <c r="M145" i="4"/>
  <c r="S144" i="4"/>
  <c r="M144" i="4"/>
  <c r="S143" i="4"/>
  <c r="M143" i="4"/>
  <c r="S142" i="4"/>
  <c r="M142" i="4"/>
  <c r="S141" i="4"/>
  <c r="M141" i="4"/>
  <c r="S140" i="4"/>
  <c r="M140" i="4"/>
  <c r="S139" i="4"/>
  <c r="M139" i="4"/>
  <c r="S138" i="4"/>
  <c r="M138" i="4"/>
  <c r="S137" i="4"/>
  <c r="M137" i="4"/>
  <c r="S136" i="4"/>
  <c r="M136" i="4"/>
  <c r="S135" i="4"/>
  <c r="M135" i="4"/>
  <c r="S134" i="4"/>
  <c r="M134" i="4"/>
  <c r="S133" i="4"/>
  <c r="M133" i="4"/>
  <c r="S132" i="4"/>
  <c r="M132" i="4"/>
  <c r="S131" i="4"/>
  <c r="M131" i="4"/>
  <c r="S130" i="4"/>
  <c r="M130" i="4"/>
  <c r="S129" i="4"/>
  <c r="M129" i="4"/>
  <c r="S128" i="4"/>
  <c r="M128" i="4"/>
  <c r="S127" i="4"/>
  <c r="M127" i="4"/>
  <c r="S126" i="4"/>
  <c r="M126" i="4"/>
  <c r="S125" i="4"/>
  <c r="M125" i="4"/>
  <c r="S124" i="4"/>
  <c r="M124" i="4"/>
  <c r="S123" i="4"/>
  <c r="M123" i="4"/>
  <c r="S122" i="4"/>
  <c r="M122" i="4"/>
  <c r="S121" i="4"/>
  <c r="M121" i="4"/>
  <c r="S120" i="4"/>
  <c r="M120" i="4"/>
  <c r="S119" i="4"/>
  <c r="M119" i="4"/>
  <c r="S118" i="4"/>
  <c r="M118" i="4"/>
  <c r="S117" i="4"/>
  <c r="M117" i="4"/>
  <c r="S116" i="4"/>
  <c r="M116" i="4"/>
  <c r="S115" i="4"/>
  <c r="M115" i="4"/>
  <c r="S114" i="4"/>
  <c r="M114" i="4"/>
  <c r="S113" i="4"/>
  <c r="M113" i="4"/>
  <c r="S112" i="4"/>
  <c r="M112" i="4"/>
  <c r="S111" i="4"/>
  <c r="M111" i="4"/>
  <c r="S110" i="4"/>
  <c r="M110" i="4"/>
  <c r="S109" i="4"/>
  <c r="M109" i="4"/>
  <c r="S108" i="4"/>
  <c r="M108" i="4"/>
  <c r="S107" i="4"/>
  <c r="M107" i="4"/>
  <c r="S106" i="4"/>
  <c r="M106" i="4"/>
  <c r="S105" i="4"/>
  <c r="M105" i="4"/>
  <c r="S104" i="4"/>
  <c r="M104" i="4"/>
  <c r="S103" i="4"/>
  <c r="M103" i="4"/>
  <c r="S102" i="4"/>
  <c r="M102" i="4"/>
  <c r="S101" i="4"/>
  <c r="M101" i="4"/>
  <c r="S100" i="4"/>
  <c r="M100" i="4"/>
  <c r="S99" i="4"/>
  <c r="M99" i="4"/>
  <c r="S98" i="4"/>
  <c r="M98" i="4"/>
  <c r="S97" i="4"/>
  <c r="M97" i="4"/>
  <c r="S96" i="4"/>
  <c r="M96" i="4"/>
  <c r="S95" i="4"/>
  <c r="M95" i="4"/>
  <c r="S94" i="4"/>
  <c r="M94" i="4"/>
  <c r="S93" i="4"/>
  <c r="M93" i="4"/>
  <c r="S92" i="4"/>
  <c r="M92" i="4"/>
  <c r="S91" i="4"/>
  <c r="M91" i="4"/>
  <c r="S90" i="4"/>
  <c r="M90" i="4"/>
  <c r="S89" i="4"/>
  <c r="M89" i="4"/>
  <c r="S88" i="4"/>
  <c r="M88" i="4"/>
  <c r="S87" i="4"/>
  <c r="M87" i="4"/>
  <c r="S86" i="4"/>
  <c r="M86" i="4"/>
  <c r="S85" i="4"/>
  <c r="M85" i="4"/>
  <c r="S84" i="4"/>
  <c r="M84" i="4"/>
  <c r="S83" i="4"/>
  <c r="M83" i="4"/>
  <c r="S82" i="4"/>
  <c r="M82" i="4"/>
  <c r="S81" i="4"/>
  <c r="M81" i="4"/>
  <c r="S80" i="4"/>
  <c r="M80" i="4"/>
  <c r="S79" i="4"/>
  <c r="M79" i="4"/>
  <c r="S78" i="4"/>
  <c r="M78" i="4"/>
  <c r="S77" i="4"/>
  <c r="M77" i="4"/>
  <c r="S76" i="4"/>
  <c r="M76" i="4"/>
  <c r="S75" i="4"/>
  <c r="M75" i="4"/>
  <c r="S74" i="4"/>
  <c r="M74" i="4"/>
  <c r="S73" i="4"/>
  <c r="M73" i="4"/>
  <c r="S72" i="4"/>
  <c r="M72" i="4"/>
  <c r="S71" i="4"/>
  <c r="M71" i="4"/>
  <c r="S70" i="4"/>
  <c r="M70" i="4"/>
  <c r="S69" i="4"/>
  <c r="M69" i="4"/>
  <c r="S68" i="4"/>
  <c r="M68" i="4"/>
  <c r="S67" i="4"/>
  <c r="M67" i="4"/>
  <c r="S66" i="4"/>
  <c r="M66" i="4"/>
  <c r="S65" i="4"/>
  <c r="M65" i="4"/>
  <c r="S64" i="4"/>
  <c r="M64" i="4"/>
  <c r="S63" i="4"/>
  <c r="M63" i="4"/>
  <c r="S62" i="4"/>
  <c r="M62" i="4"/>
  <c r="S61" i="4"/>
  <c r="M61" i="4"/>
  <c r="S60" i="4"/>
  <c r="M60" i="4"/>
  <c r="S59" i="4"/>
  <c r="M59" i="4"/>
  <c r="S58" i="4"/>
  <c r="M58" i="4"/>
  <c r="S57" i="4"/>
  <c r="M57" i="4"/>
  <c r="S56" i="4"/>
  <c r="M56" i="4"/>
  <c r="S55" i="4"/>
  <c r="M55" i="4"/>
  <c r="S54" i="4"/>
  <c r="M54" i="4"/>
  <c r="S53" i="4"/>
  <c r="M53" i="4"/>
  <c r="S52" i="4"/>
  <c r="M52" i="4"/>
  <c r="S51" i="4"/>
  <c r="M51" i="4"/>
  <c r="S50" i="4"/>
  <c r="M50" i="4"/>
  <c r="S49" i="4"/>
  <c r="M49" i="4"/>
  <c r="S48" i="4"/>
  <c r="M48" i="4"/>
  <c r="S47" i="4"/>
  <c r="M47" i="4"/>
  <c r="S46" i="4"/>
  <c r="M46" i="4"/>
  <c r="S45" i="4"/>
  <c r="M45" i="4"/>
  <c r="S44" i="4"/>
  <c r="M44" i="4"/>
  <c r="S43" i="4"/>
  <c r="M43" i="4"/>
  <c r="S42" i="4"/>
  <c r="M42" i="4"/>
  <c r="S41" i="4"/>
  <c r="M41" i="4"/>
  <c r="S40" i="4"/>
  <c r="M40" i="4"/>
  <c r="S39" i="4"/>
  <c r="M39" i="4"/>
  <c r="S38" i="4"/>
  <c r="M38" i="4"/>
  <c r="S37" i="4"/>
  <c r="M37" i="4"/>
  <c r="S36" i="4"/>
  <c r="M36" i="4"/>
  <c r="S35" i="4"/>
  <c r="M35" i="4"/>
  <c r="S34" i="4"/>
  <c r="M34" i="4"/>
  <c r="S33" i="4"/>
  <c r="M33" i="4"/>
  <c r="S32" i="4"/>
  <c r="M32" i="4"/>
  <c r="S31" i="4"/>
  <c r="M31" i="4"/>
  <c r="S30" i="4"/>
  <c r="M30" i="4"/>
  <c r="S29" i="4"/>
  <c r="M29" i="4"/>
  <c r="S28" i="4"/>
  <c r="M28" i="4"/>
  <c r="S27" i="4"/>
  <c r="M27" i="4"/>
  <c r="S26" i="4"/>
  <c r="M26" i="4"/>
  <c r="S25" i="4"/>
  <c r="M25" i="4"/>
  <c r="S24" i="4"/>
  <c r="M24" i="4"/>
  <c r="S23" i="4"/>
  <c r="M23" i="4"/>
  <c r="S22" i="4"/>
  <c r="M22" i="4"/>
  <c r="S21" i="4"/>
  <c r="M21" i="4"/>
  <c r="S20" i="4"/>
  <c r="M20" i="4"/>
  <c r="S19" i="4"/>
  <c r="M19" i="4"/>
  <c r="S18" i="4"/>
  <c r="M18" i="4"/>
  <c r="S17" i="4"/>
  <c r="M17" i="4"/>
  <c r="S16" i="4"/>
  <c r="M16" i="4"/>
  <c r="S15" i="4"/>
  <c r="M15" i="4"/>
  <c r="S14" i="4"/>
  <c r="M14" i="4"/>
  <c r="S13" i="4"/>
  <c r="M13" i="4"/>
  <c r="S12" i="4"/>
  <c r="R259" i="4" s="1"/>
  <c r="M12" i="4"/>
  <c r="S11" i="4"/>
  <c r="M11" i="4"/>
  <c r="S10" i="4"/>
  <c r="R260" i="4" s="1"/>
  <c r="M10" i="4"/>
  <c r="L260" i="4" s="1"/>
  <c r="L261" i="4" s="1"/>
  <c r="S9" i="4"/>
  <c r="R258" i="4" s="1"/>
  <c r="M9" i="4"/>
  <c r="T260" i="3"/>
  <c r="T261" i="3" s="1"/>
  <c r="S260" i="3"/>
  <c r="S261" i="3" s="1"/>
  <c r="Q260" i="3"/>
  <c r="Q261" i="3" s="1"/>
  <c r="P260" i="3"/>
  <c r="P261" i="3" s="1"/>
  <c r="O260" i="3"/>
  <c r="O261" i="3" s="1"/>
  <c r="N260" i="3"/>
  <c r="N261" i="3" s="1"/>
  <c r="M260" i="3"/>
  <c r="M261" i="3" s="1"/>
  <c r="K260" i="3"/>
  <c r="K261" i="3" s="1"/>
  <c r="J260" i="3"/>
  <c r="J261" i="3" s="1"/>
  <c r="I260" i="3"/>
  <c r="I261" i="3" s="1"/>
  <c r="H260" i="3"/>
  <c r="H261" i="3" s="1"/>
  <c r="G260" i="3"/>
  <c r="G261" i="3" s="1"/>
  <c r="T259" i="3"/>
  <c r="S259" i="3"/>
  <c r="U259" i="3" s="1"/>
  <c r="Q259" i="3"/>
  <c r="P259" i="3"/>
  <c r="O259" i="3"/>
  <c r="N259" i="3"/>
  <c r="M259" i="3"/>
  <c r="L259" i="3"/>
  <c r="K259" i="3"/>
  <c r="J259" i="3"/>
  <c r="V259" i="3" s="1"/>
  <c r="I259" i="3"/>
  <c r="H259" i="3"/>
  <c r="G259" i="3"/>
  <c r="T258" i="3"/>
  <c r="S258" i="3"/>
  <c r="U258" i="3" s="1"/>
  <c r="Q258" i="3"/>
  <c r="P258" i="3"/>
  <c r="O258" i="3"/>
  <c r="N258" i="3"/>
  <c r="M258" i="3"/>
  <c r="L258" i="3"/>
  <c r="K258" i="3"/>
  <c r="J258" i="3"/>
  <c r="V258" i="3" s="1"/>
  <c r="I258" i="3"/>
  <c r="H258" i="3"/>
  <c r="G258" i="3"/>
  <c r="U252" i="3"/>
  <c r="T252" i="3"/>
  <c r="R252" i="3"/>
  <c r="Q252" i="3"/>
  <c r="P252" i="3"/>
  <c r="O252" i="3"/>
  <c r="N252" i="3"/>
  <c r="M252" i="3"/>
  <c r="L252" i="3"/>
  <c r="K252" i="3"/>
  <c r="J252" i="3"/>
  <c r="I252" i="3"/>
  <c r="H252" i="3"/>
  <c r="S251" i="3"/>
  <c r="M251" i="3"/>
  <c r="S250" i="3"/>
  <c r="M250" i="3"/>
  <c r="S249" i="3"/>
  <c r="M249" i="3"/>
  <c r="S248" i="3"/>
  <c r="M248" i="3"/>
  <c r="S247" i="3"/>
  <c r="M247" i="3"/>
  <c r="S246" i="3"/>
  <c r="M246" i="3"/>
  <c r="S245" i="3"/>
  <c r="M245" i="3"/>
  <c r="S244" i="3"/>
  <c r="M244" i="3"/>
  <c r="S243" i="3"/>
  <c r="M243" i="3"/>
  <c r="S242" i="3"/>
  <c r="M242" i="3"/>
  <c r="S241" i="3"/>
  <c r="M241" i="3"/>
  <c r="S240" i="3"/>
  <c r="M240" i="3"/>
  <c r="S239" i="3"/>
  <c r="M239" i="3"/>
  <c r="S238" i="3"/>
  <c r="M238" i="3"/>
  <c r="S237" i="3"/>
  <c r="M237" i="3"/>
  <c r="S236" i="3"/>
  <c r="M236" i="3"/>
  <c r="S235" i="3"/>
  <c r="M235" i="3"/>
  <c r="S234" i="3"/>
  <c r="M234" i="3"/>
  <c r="S233" i="3"/>
  <c r="M233" i="3"/>
  <c r="S232" i="3"/>
  <c r="M232" i="3"/>
  <c r="S231" i="3"/>
  <c r="M231" i="3"/>
  <c r="S230" i="3"/>
  <c r="M230" i="3"/>
  <c r="S229" i="3"/>
  <c r="M229" i="3"/>
  <c r="S228" i="3"/>
  <c r="M228" i="3"/>
  <c r="S227" i="3"/>
  <c r="M227" i="3"/>
  <c r="S226" i="3"/>
  <c r="M226" i="3"/>
  <c r="S225" i="3"/>
  <c r="M225" i="3"/>
  <c r="S224" i="3"/>
  <c r="M224" i="3"/>
  <c r="S223" i="3"/>
  <c r="M223" i="3"/>
  <c r="S222" i="3"/>
  <c r="M222" i="3"/>
  <c r="S221" i="3"/>
  <c r="M221" i="3"/>
  <c r="S220" i="3"/>
  <c r="M220" i="3"/>
  <c r="S219" i="3"/>
  <c r="M219" i="3"/>
  <c r="S218" i="3"/>
  <c r="M218" i="3"/>
  <c r="S217" i="3"/>
  <c r="M217" i="3"/>
  <c r="S216" i="3"/>
  <c r="M216" i="3"/>
  <c r="S215" i="3"/>
  <c r="M215" i="3"/>
  <c r="S214" i="3"/>
  <c r="M214" i="3"/>
  <c r="S213" i="3"/>
  <c r="M213" i="3"/>
  <c r="S212" i="3"/>
  <c r="M212" i="3"/>
  <c r="S211" i="3"/>
  <c r="M211" i="3"/>
  <c r="S210" i="3"/>
  <c r="M210" i="3"/>
  <c r="S209" i="3"/>
  <c r="M209" i="3"/>
  <c r="S208" i="3"/>
  <c r="M208" i="3"/>
  <c r="S207" i="3"/>
  <c r="M207" i="3"/>
  <c r="S206" i="3"/>
  <c r="M206" i="3"/>
  <c r="S205" i="3"/>
  <c r="M205" i="3"/>
  <c r="S204" i="3"/>
  <c r="M204" i="3"/>
  <c r="S203" i="3"/>
  <c r="M203" i="3"/>
  <c r="S202" i="3"/>
  <c r="M202" i="3"/>
  <c r="S201" i="3"/>
  <c r="M201" i="3"/>
  <c r="S200" i="3"/>
  <c r="M200" i="3"/>
  <c r="S199" i="3"/>
  <c r="M199" i="3"/>
  <c r="S198" i="3"/>
  <c r="M198" i="3"/>
  <c r="S197" i="3"/>
  <c r="M197" i="3"/>
  <c r="S196" i="3"/>
  <c r="M196" i="3"/>
  <c r="S195" i="3"/>
  <c r="M195" i="3"/>
  <c r="S194" i="3"/>
  <c r="M194" i="3"/>
  <c r="S193" i="3"/>
  <c r="M193" i="3"/>
  <c r="S192" i="3"/>
  <c r="M192" i="3"/>
  <c r="S191" i="3"/>
  <c r="M191" i="3"/>
  <c r="S190" i="3"/>
  <c r="M190" i="3"/>
  <c r="S189" i="3"/>
  <c r="M189" i="3"/>
  <c r="S188" i="3"/>
  <c r="M188" i="3"/>
  <c r="S187" i="3"/>
  <c r="M187" i="3"/>
  <c r="S186" i="3"/>
  <c r="M186" i="3"/>
  <c r="S185" i="3"/>
  <c r="M185" i="3"/>
  <c r="S184" i="3"/>
  <c r="M184" i="3"/>
  <c r="S183" i="3"/>
  <c r="M183" i="3"/>
  <c r="S182" i="3"/>
  <c r="M182" i="3"/>
  <c r="S181" i="3"/>
  <c r="M181" i="3"/>
  <c r="S180" i="3"/>
  <c r="M180" i="3"/>
  <c r="S179" i="3"/>
  <c r="M179" i="3"/>
  <c r="S178" i="3"/>
  <c r="M178" i="3"/>
  <c r="S177" i="3"/>
  <c r="M177" i="3"/>
  <c r="S176" i="3"/>
  <c r="M176" i="3"/>
  <c r="S175" i="3"/>
  <c r="M175" i="3"/>
  <c r="S174" i="3"/>
  <c r="M174" i="3"/>
  <c r="S173" i="3"/>
  <c r="M173" i="3"/>
  <c r="S172" i="3"/>
  <c r="M172" i="3"/>
  <c r="S171" i="3"/>
  <c r="M171" i="3"/>
  <c r="S170" i="3"/>
  <c r="M170" i="3"/>
  <c r="S169" i="3"/>
  <c r="M169" i="3"/>
  <c r="S168" i="3"/>
  <c r="M168" i="3"/>
  <c r="S167" i="3"/>
  <c r="M167" i="3"/>
  <c r="S166" i="3"/>
  <c r="M166" i="3"/>
  <c r="S165" i="3"/>
  <c r="M165" i="3"/>
  <c r="S164" i="3"/>
  <c r="M164" i="3"/>
  <c r="S163" i="3"/>
  <c r="M163" i="3"/>
  <c r="S162" i="3"/>
  <c r="M162" i="3"/>
  <c r="S161" i="3"/>
  <c r="M161" i="3"/>
  <c r="S160" i="3"/>
  <c r="M160" i="3"/>
  <c r="S159" i="3"/>
  <c r="M159" i="3"/>
  <c r="S158" i="3"/>
  <c r="M158" i="3"/>
  <c r="S157" i="3"/>
  <c r="M157" i="3"/>
  <c r="S156" i="3"/>
  <c r="M156" i="3"/>
  <c r="S155" i="3"/>
  <c r="M155" i="3"/>
  <c r="S154" i="3"/>
  <c r="M154" i="3"/>
  <c r="S153" i="3"/>
  <c r="M153" i="3"/>
  <c r="S152" i="3"/>
  <c r="M152" i="3"/>
  <c r="S151" i="3"/>
  <c r="M151" i="3"/>
  <c r="S150" i="3"/>
  <c r="M150" i="3"/>
  <c r="S149" i="3"/>
  <c r="M149" i="3"/>
  <c r="S148" i="3"/>
  <c r="M148" i="3"/>
  <c r="S147" i="3"/>
  <c r="M147" i="3"/>
  <c r="S146" i="3"/>
  <c r="M146" i="3"/>
  <c r="S145" i="3"/>
  <c r="M145" i="3"/>
  <c r="S144" i="3"/>
  <c r="M144" i="3"/>
  <c r="S143" i="3"/>
  <c r="M143" i="3"/>
  <c r="S142" i="3"/>
  <c r="M142" i="3"/>
  <c r="S141" i="3"/>
  <c r="M141" i="3"/>
  <c r="S140" i="3"/>
  <c r="M140" i="3"/>
  <c r="S139" i="3"/>
  <c r="M139" i="3"/>
  <c r="S138" i="3"/>
  <c r="M138" i="3"/>
  <c r="S137" i="3"/>
  <c r="M137" i="3"/>
  <c r="S136" i="3"/>
  <c r="M136" i="3"/>
  <c r="S135" i="3"/>
  <c r="M135" i="3"/>
  <c r="S134" i="3"/>
  <c r="M134" i="3"/>
  <c r="S133" i="3"/>
  <c r="M133" i="3"/>
  <c r="S132" i="3"/>
  <c r="M132" i="3"/>
  <c r="S131" i="3"/>
  <c r="M131" i="3"/>
  <c r="S130" i="3"/>
  <c r="M130" i="3"/>
  <c r="S129" i="3"/>
  <c r="M129" i="3"/>
  <c r="S128" i="3"/>
  <c r="M128" i="3"/>
  <c r="S127" i="3"/>
  <c r="M127" i="3"/>
  <c r="S126" i="3"/>
  <c r="M126" i="3"/>
  <c r="S125" i="3"/>
  <c r="M125" i="3"/>
  <c r="S124" i="3"/>
  <c r="M124" i="3"/>
  <c r="S123" i="3"/>
  <c r="M123" i="3"/>
  <c r="S122" i="3"/>
  <c r="M122" i="3"/>
  <c r="S121" i="3"/>
  <c r="M121" i="3"/>
  <c r="S120" i="3"/>
  <c r="M120" i="3"/>
  <c r="S119" i="3"/>
  <c r="M119" i="3"/>
  <c r="S118" i="3"/>
  <c r="M118" i="3"/>
  <c r="S117" i="3"/>
  <c r="M117" i="3"/>
  <c r="S116" i="3"/>
  <c r="M116" i="3"/>
  <c r="S115" i="3"/>
  <c r="M115" i="3"/>
  <c r="S114" i="3"/>
  <c r="M114" i="3"/>
  <c r="S113" i="3"/>
  <c r="M113" i="3"/>
  <c r="S112" i="3"/>
  <c r="M112" i="3"/>
  <c r="S111" i="3"/>
  <c r="M111" i="3"/>
  <c r="S110" i="3"/>
  <c r="M110" i="3"/>
  <c r="S109" i="3"/>
  <c r="M109" i="3"/>
  <c r="S108" i="3"/>
  <c r="M108" i="3"/>
  <c r="S107" i="3"/>
  <c r="M107" i="3"/>
  <c r="S106" i="3"/>
  <c r="M106" i="3"/>
  <c r="S105" i="3"/>
  <c r="M105" i="3"/>
  <c r="S104" i="3"/>
  <c r="M104" i="3"/>
  <c r="S103" i="3"/>
  <c r="M103" i="3"/>
  <c r="S102" i="3"/>
  <c r="M102" i="3"/>
  <c r="S101" i="3"/>
  <c r="M101" i="3"/>
  <c r="S100" i="3"/>
  <c r="M100" i="3"/>
  <c r="S99" i="3"/>
  <c r="M99" i="3"/>
  <c r="S98" i="3"/>
  <c r="M98" i="3"/>
  <c r="S97" i="3"/>
  <c r="M97" i="3"/>
  <c r="S96" i="3"/>
  <c r="M96" i="3"/>
  <c r="S95" i="3"/>
  <c r="M95" i="3"/>
  <c r="S94" i="3"/>
  <c r="M94" i="3"/>
  <c r="S93" i="3"/>
  <c r="M93" i="3"/>
  <c r="S92" i="3"/>
  <c r="M92" i="3"/>
  <c r="S91" i="3"/>
  <c r="M91" i="3"/>
  <c r="S90" i="3"/>
  <c r="M90" i="3"/>
  <c r="S89" i="3"/>
  <c r="M89" i="3"/>
  <c r="S88" i="3"/>
  <c r="M88" i="3"/>
  <c r="S87" i="3"/>
  <c r="M87" i="3"/>
  <c r="S86" i="3"/>
  <c r="M86" i="3"/>
  <c r="S85" i="3"/>
  <c r="M85" i="3"/>
  <c r="S84" i="3"/>
  <c r="M84" i="3"/>
  <c r="S83" i="3"/>
  <c r="M83" i="3"/>
  <c r="S82" i="3"/>
  <c r="M82" i="3"/>
  <c r="S81" i="3"/>
  <c r="M81" i="3"/>
  <c r="S80" i="3"/>
  <c r="M80" i="3"/>
  <c r="S79" i="3"/>
  <c r="M79" i="3"/>
  <c r="S78" i="3"/>
  <c r="M78" i="3"/>
  <c r="S77" i="3"/>
  <c r="M77" i="3"/>
  <c r="S76" i="3"/>
  <c r="M76" i="3"/>
  <c r="S75" i="3"/>
  <c r="M75" i="3"/>
  <c r="S74" i="3"/>
  <c r="M74" i="3"/>
  <c r="S73" i="3"/>
  <c r="M73" i="3"/>
  <c r="S72" i="3"/>
  <c r="M72" i="3"/>
  <c r="S71" i="3"/>
  <c r="M71" i="3"/>
  <c r="S70" i="3"/>
  <c r="M70" i="3"/>
  <c r="S69" i="3"/>
  <c r="M69" i="3"/>
  <c r="S68" i="3"/>
  <c r="M68" i="3"/>
  <c r="S67" i="3"/>
  <c r="M67" i="3"/>
  <c r="S66" i="3"/>
  <c r="M66" i="3"/>
  <c r="S65" i="3"/>
  <c r="M65" i="3"/>
  <c r="S64" i="3"/>
  <c r="M64" i="3"/>
  <c r="S63" i="3"/>
  <c r="M63" i="3"/>
  <c r="S62" i="3"/>
  <c r="M62" i="3"/>
  <c r="S61" i="3"/>
  <c r="M61" i="3"/>
  <c r="S60" i="3"/>
  <c r="M60" i="3"/>
  <c r="S59" i="3"/>
  <c r="M59" i="3"/>
  <c r="S58" i="3"/>
  <c r="M58" i="3"/>
  <c r="S57" i="3"/>
  <c r="M57" i="3"/>
  <c r="S56" i="3"/>
  <c r="M56" i="3"/>
  <c r="S55" i="3"/>
  <c r="M55" i="3"/>
  <c r="S54" i="3"/>
  <c r="M54" i="3"/>
  <c r="S53" i="3"/>
  <c r="M53" i="3"/>
  <c r="S52" i="3"/>
  <c r="M52" i="3"/>
  <c r="S51" i="3"/>
  <c r="M51" i="3"/>
  <c r="S50" i="3"/>
  <c r="M50" i="3"/>
  <c r="S49" i="3"/>
  <c r="M49" i="3"/>
  <c r="S48" i="3"/>
  <c r="M48" i="3"/>
  <c r="S47" i="3"/>
  <c r="M47" i="3"/>
  <c r="S46" i="3"/>
  <c r="M46" i="3"/>
  <c r="S45" i="3"/>
  <c r="M45" i="3"/>
  <c r="S44" i="3"/>
  <c r="M44" i="3"/>
  <c r="S43" i="3"/>
  <c r="M43" i="3"/>
  <c r="S42" i="3"/>
  <c r="M42" i="3"/>
  <c r="S41" i="3"/>
  <c r="M41" i="3"/>
  <c r="S40" i="3"/>
  <c r="M40" i="3"/>
  <c r="S39" i="3"/>
  <c r="M39" i="3"/>
  <c r="S38" i="3"/>
  <c r="M38" i="3"/>
  <c r="S37" i="3"/>
  <c r="M37" i="3"/>
  <c r="S36" i="3"/>
  <c r="M36" i="3"/>
  <c r="S35" i="3"/>
  <c r="M35" i="3"/>
  <c r="S34" i="3"/>
  <c r="M34" i="3"/>
  <c r="S33" i="3"/>
  <c r="M33" i="3"/>
  <c r="S32" i="3"/>
  <c r="M32" i="3"/>
  <c r="S31" i="3"/>
  <c r="M31" i="3"/>
  <c r="S30" i="3"/>
  <c r="M30" i="3"/>
  <c r="S29" i="3"/>
  <c r="M29" i="3"/>
  <c r="S28" i="3"/>
  <c r="M28" i="3"/>
  <c r="S27" i="3"/>
  <c r="M27" i="3"/>
  <c r="S26" i="3"/>
  <c r="M26" i="3"/>
  <c r="S25" i="3"/>
  <c r="M25" i="3"/>
  <c r="S24" i="3"/>
  <c r="M24" i="3"/>
  <c r="S23" i="3"/>
  <c r="M23" i="3"/>
  <c r="S22" i="3"/>
  <c r="M22" i="3"/>
  <c r="S21" i="3"/>
  <c r="M21" i="3"/>
  <c r="S20" i="3"/>
  <c r="M20" i="3"/>
  <c r="S19" i="3"/>
  <c r="M19" i="3"/>
  <c r="S18" i="3"/>
  <c r="M18" i="3"/>
  <c r="S17" i="3"/>
  <c r="M17" i="3"/>
  <c r="S16" i="3"/>
  <c r="M16" i="3"/>
  <c r="S15" i="3"/>
  <c r="M15" i="3"/>
  <c r="S14" i="3"/>
  <c r="M14" i="3"/>
  <c r="S13" i="3"/>
  <c r="M13" i="3"/>
  <c r="S12" i="3"/>
  <c r="R259" i="3" s="1"/>
  <c r="M12" i="3"/>
  <c r="S11" i="3"/>
  <c r="M11" i="3"/>
  <c r="S10" i="3"/>
  <c r="R260" i="3" s="1"/>
  <c r="M10" i="3"/>
  <c r="L260" i="3" s="1"/>
  <c r="L261" i="3" s="1"/>
  <c r="S9" i="3"/>
  <c r="R258" i="3" s="1"/>
  <c r="M9" i="3"/>
  <c r="T260" i="2"/>
  <c r="T261" i="2" s="1"/>
  <c r="S260" i="2"/>
  <c r="S261" i="2" s="1"/>
  <c r="Q260" i="2"/>
  <c r="Q261" i="2" s="1"/>
  <c r="P260" i="2"/>
  <c r="P261" i="2" s="1"/>
  <c r="O260" i="2"/>
  <c r="O261" i="2" s="1"/>
  <c r="N260" i="2"/>
  <c r="N261" i="2" s="1"/>
  <c r="M260" i="2"/>
  <c r="M261" i="2" s="1"/>
  <c r="K260" i="2"/>
  <c r="K261" i="2" s="1"/>
  <c r="J260" i="2"/>
  <c r="J261" i="2" s="1"/>
  <c r="I260" i="2"/>
  <c r="I261" i="2" s="1"/>
  <c r="H260" i="2"/>
  <c r="H261" i="2" s="1"/>
  <c r="G260" i="2"/>
  <c r="G261" i="2" s="1"/>
  <c r="T259" i="2"/>
  <c r="S259" i="2"/>
  <c r="U259" i="2" s="1"/>
  <c r="Q259" i="2"/>
  <c r="P259" i="2"/>
  <c r="O259" i="2"/>
  <c r="N259" i="2"/>
  <c r="M259" i="2"/>
  <c r="K259" i="2"/>
  <c r="J259" i="2"/>
  <c r="V259" i="2" s="1"/>
  <c r="I259" i="2"/>
  <c r="H259" i="2"/>
  <c r="G259" i="2"/>
  <c r="T258" i="2"/>
  <c r="S258" i="2"/>
  <c r="U258" i="2" s="1"/>
  <c r="Q258" i="2"/>
  <c r="P258" i="2"/>
  <c r="O258" i="2"/>
  <c r="N258" i="2"/>
  <c r="M258" i="2"/>
  <c r="L258" i="2"/>
  <c r="K258" i="2"/>
  <c r="J258" i="2"/>
  <c r="V258" i="2" s="1"/>
  <c r="I258" i="2"/>
  <c r="H258" i="2"/>
  <c r="G258" i="2"/>
  <c r="U252" i="2"/>
  <c r="T252" i="2"/>
  <c r="R252" i="2"/>
  <c r="Q252" i="2"/>
  <c r="P252" i="2"/>
  <c r="O252" i="2"/>
  <c r="N252" i="2"/>
  <c r="M252" i="2"/>
  <c r="L252" i="2"/>
  <c r="K252" i="2"/>
  <c r="J252" i="2"/>
  <c r="I252" i="2"/>
  <c r="H252" i="2"/>
  <c r="S251" i="2"/>
  <c r="M251" i="2"/>
  <c r="S250" i="2"/>
  <c r="M250" i="2"/>
  <c r="S249" i="2"/>
  <c r="M249" i="2"/>
  <c r="S248" i="2"/>
  <c r="M248" i="2"/>
  <c r="S247" i="2"/>
  <c r="M247" i="2"/>
  <c r="S246" i="2"/>
  <c r="M246" i="2"/>
  <c r="S245" i="2"/>
  <c r="M245" i="2"/>
  <c r="S244" i="2"/>
  <c r="M244" i="2"/>
  <c r="S243" i="2"/>
  <c r="M243" i="2"/>
  <c r="S242" i="2"/>
  <c r="M242" i="2"/>
  <c r="S241" i="2"/>
  <c r="M241" i="2"/>
  <c r="S240" i="2"/>
  <c r="M240" i="2"/>
  <c r="S239" i="2"/>
  <c r="M239" i="2"/>
  <c r="S238" i="2"/>
  <c r="M238" i="2"/>
  <c r="S237" i="2"/>
  <c r="M237" i="2"/>
  <c r="S236" i="2"/>
  <c r="M236" i="2"/>
  <c r="S235" i="2"/>
  <c r="M235" i="2"/>
  <c r="S234" i="2"/>
  <c r="M234" i="2"/>
  <c r="S233" i="2"/>
  <c r="M233" i="2"/>
  <c r="S232" i="2"/>
  <c r="M232" i="2"/>
  <c r="S231" i="2"/>
  <c r="M231" i="2"/>
  <c r="S230" i="2"/>
  <c r="M230" i="2"/>
  <c r="S229" i="2"/>
  <c r="M229" i="2"/>
  <c r="S228" i="2"/>
  <c r="M228" i="2"/>
  <c r="S227" i="2"/>
  <c r="M227" i="2"/>
  <c r="S226" i="2"/>
  <c r="M226" i="2"/>
  <c r="S225" i="2"/>
  <c r="M225" i="2"/>
  <c r="S224" i="2"/>
  <c r="M224" i="2"/>
  <c r="S223" i="2"/>
  <c r="M223" i="2"/>
  <c r="S222" i="2"/>
  <c r="M222" i="2"/>
  <c r="S221" i="2"/>
  <c r="M221" i="2"/>
  <c r="S220" i="2"/>
  <c r="M220" i="2"/>
  <c r="S219" i="2"/>
  <c r="M219" i="2"/>
  <c r="S218" i="2"/>
  <c r="M218" i="2"/>
  <c r="S217" i="2"/>
  <c r="M217" i="2"/>
  <c r="S216" i="2"/>
  <c r="M216" i="2"/>
  <c r="S215" i="2"/>
  <c r="M215" i="2"/>
  <c r="S214" i="2"/>
  <c r="M214" i="2"/>
  <c r="S213" i="2"/>
  <c r="M213" i="2"/>
  <c r="S212" i="2"/>
  <c r="M212" i="2"/>
  <c r="S211" i="2"/>
  <c r="M211" i="2"/>
  <c r="S210" i="2"/>
  <c r="M210" i="2"/>
  <c r="S209" i="2"/>
  <c r="M209" i="2"/>
  <c r="S208" i="2"/>
  <c r="M208" i="2"/>
  <c r="S207" i="2"/>
  <c r="M207" i="2"/>
  <c r="S206" i="2"/>
  <c r="M206" i="2"/>
  <c r="S205" i="2"/>
  <c r="M205" i="2"/>
  <c r="S204" i="2"/>
  <c r="M204" i="2"/>
  <c r="S203" i="2"/>
  <c r="M203" i="2"/>
  <c r="S202" i="2"/>
  <c r="M202" i="2"/>
  <c r="S201" i="2"/>
  <c r="M201" i="2"/>
  <c r="S200" i="2"/>
  <c r="M200" i="2"/>
  <c r="S199" i="2"/>
  <c r="M199" i="2"/>
  <c r="S198" i="2"/>
  <c r="M198" i="2"/>
  <c r="S197" i="2"/>
  <c r="M197" i="2"/>
  <c r="S196" i="2"/>
  <c r="M196" i="2"/>
  <c r="S195" i="2"/>
  <c r="M195" i="2"/>
  <c r="S194" i="2"/>
  <c r="M194" i="2"/>
  <c r="S193" i="2"/>
  <c r="M193" i="2"/>
  <c r="S192" i="2"/>
  <c r="M192" i="2"/>
  <c r="S191" i="2"/>
  <c r="M191" i="2"/>
  <c r="S190" i="2"/>
  <c r="M190" i="2"/>
  <c r="S189" i="2"/>
  <c r="M189" i="2"/>
  <c r="S188" i="2"/>
  <c r="M188" i="2"/>
  <c r="S187" i="2"/>
  <c r="M187" i="2"/>
  <c r="S186" i="2"/>
  <c r="M186" i="2"/>
  <c r="S185" i="2"/>
  <c r="M185" i="2"/>
  <c r="S184" i="2"/>
  <c r="M184" i="2"/>
  <c r="S183" i="2"/>
  <c r="M183" i="2"/>
  <c r="S182" i="2"/>
  <c r="M182" i="2"/>
  <c r="S181" i="2"/>
  <c r="M181" i="2"/>
  <c r="S180" i="2"/>
  <c r="M180" i="2"/>
  <c r="S179" i="2"/>
  <c r="M179" i="2"/>
  <c r="S178" i="2"/>
  <c r="M178" i="2"/>
  <c r="S177" i="2"/>
  <c r="M177" i="2"/>
  <c r="S176" i="2"/>
  <c r="M176" i="2"/>
  <c r="S175" i="2"/>
  <c r="M175" i="2"/>
  <c r="S174" i="2"/>
  <c r="M174" i="2"/>
  <c r="S173" i="2"/>
  <c r="M173" i="2"/>
  <c r="S172" i="2"/>
  <c r="M172" i="2"/>
  <c r="S171" i="2"/>
  <c r="M171" i="2"/>
  <c r="S170" i="2"/>
  <c r="M170" i="2"/>
  <c r="S169" i="2"/>
  <c r="M169" i="2"/>
  <c r="S168" i="2"/>
  <c r="M168" i="2"/>
  <c r="S167" i="2"/>
  <c r="M167" i="2"/>
  <c r="S166" i="2"/>
  <c r="M166" i="2"/>
  <c r="S165" i="2"/>
  <c r="M165" i="2"/>
  <c r="S164" i="2"/>
  <c r="M164" i="2"/>
  <c r="S163" i="2"/>
  <c r="M163" i="2"/>
  <c r="S162" i="2"/>
  <c r="M162" i="2"/>
  <c r="S161" i="2"/>
  <c r="M161" i="2"/>
  <c r="S160" i="2"/>
  <c r="M160" i="2"/>
  <c r="S159" i="2"/>
  <c r="M159" i="2"/>
  <c r="S158" i="2"/>
  <c r="M158" i="2"/>
  <c r="S157" i="2"/>
  <c r="M157" i="2"/>
  <c r="S156" i="2"/>
  <c r="M156" i="2"/>
  <c r="S155" i="2"/>
  <c r="M155" i="2"/>
  <c r="S154" i="2"/>
  <c r="M154" i="2"/>
  <c r="S153" i="2"/>
  <c r="M153" i="2"/>
  <c r="S152" i="2"/>
  <c r="M152" i="2"/>
  <c r="S151" i="2"/>
  <c r="M151" i="2"/>
  <c r="S150" i="2"/>
  <c r="M150" i="2"/>
  <c r="S149" i="2"/>
  <c r="M149" i="2"/>
  <c r="S148" i="2"/>
  <c r="M148" i="2"/>
  <c r="S147" i="2"/>
  <c r="M147" i="2"/>
  <c r="S146" i="2"/>
  <c r="M146" i="2"/>
  <c r="S145" i="2"/>
  <c r="M145" i="2"/>
  <c r="S144" i="2"/>
  <c r="M144" i="2"/>
  <c r="S143" i="2"/>
  <c r="M143" i="2"/>
  <c r="S142" i="2"/>
  <c r="M142" i="2"/>
  <c r="S141" i="2"/>
  <c r="M141" i="2"/>
  <c r="S140" i="2"/>
  <c r="M140" i="2"/>
  <c r="S139" i="2"/>
  <c r="M139" i="2"/>
  <c r="S138" i="2"/>
  <c r="M138" i="2"/>
  <c r="S137" i="2"/>
  <c r="M137" i="2"/>
  <c r="S136" i="2"/>
  <c r="M136" i="2"/>
  <c r="S135" i="2"/>
  <c r="M135" i="2"/>
  <c r="S134" i="2"/>
  <c r="M134" i="2"/>
  <c r="S133" i="2"/>
  <c r="M133" i="2"/>
  <c r="S132" i="2"/>
  <c r="M132" i="2"/>
  <c r="S131" i="2"/>
  <c r="M131" i="2"/>
  <c r="S130" i="2"/>
  <c r="M130" i="2"/>
  <c r="S129" i="2"/>
  <c r="M129" i="2"/>
  <c r="S128" i="2"/>
  <c r="M128" i="2"/>
  <c r="S127" i="2"/>
  <c r="M127" i="2"/>
  <c r="S126" i="2"/>
  <c r="M126" i="2"/>
  <c r="S125" i="2"/>
  <c r="M125" i="2"/>
  <c r="S124" i="2"/>
  <c r="M124" i="2"/>
  <c r="S123" i="2"/>
  <c r="M123" i="2"/>
  <c r="S122" i="2"/>
  <c r="M122" i="2"/>
  <c r="S121" i="2"/>
  <c r="M121" i="2"/>
  <c r="S120" i="2"/>
  <c r="M120" i="2"/>
  <c r="S119" i="2"/>
  <c r="M119" i="2"/>
  <c r="S118" i="2"/>
  <c r="M118" i="2"/>
  <c r="S117" i="2"/>
  <c r="M117" i="2"/>
  <c r="S116" i="2"/>
  <c r="M116" i="2"/>
  <c r="S115" i="2"/>
  <c r="M115" i="2"/>
  <c r="S114" i="2"/>
  <c r="M114" i="2"/>
  <c r="S113" i="2"/>
  <c r="M113" i="2"/>
  <c r="S112" i="2"/>
  <c r="M112" i="2"/>
  <c r="S111" i="2"/>
  <c r="M111" i="2"/>
  <c r="S110" i="2"/>
  <c r="M110" i="2"/>
  <c r="S109" i="2"/>
  <c r="M109" i="2"/>
  <c r="S108" i="2"/>
  <c r="M108" i="2"/>
  <c r="S107" i="2"/>
  <c r="M107" i="2"/>
  <c r="S106" i="2"/>
  <c r="M106" i="2"/>
  <c r="S105" i="2"/>
  <c r="M105" i="2"/>
  <c r="S104" i="2"/>
  <c r="M104" i="2"/>
  <c r="S103" i="2"/>
  <c r="M103" i="2"/>
  <c r="S102" i="2"/>
  <c r="M102" i="2"/>
  <c r="S101" i="2"/>
  <c r="M101" i="2"/>
  <c r="S100" i="2"/>
  <c r="M100" i="2"/>
  <c r="S99" i="2"/>
  <c r="M99" i="2"/>
  <c r="S98" i="2"/>
  <c r="M98" i="2"/>
  <c r="S97" i="2"/>
  <c r="M97" i="2"/>
  <c r="S96" i="2"/>
  <c r="M96" i="2"/>
  <c r="S95" i="2"/>
  <c r="M95" i="2"/>
  <c r="S94" i="2"/>
  <c r="M94" i="2"/>
  <c r="S93" i="2"/>
  <c r="M93" i="2"/>
  <c r="S92" i="2"/>
  <c r="M92" i="2"/>
  <c r="S91" i="2"/>
  <c r="M91" i="2"/>
  <c r="S90" i="2"/>
  <c r="M90" i="2"/>
  <c r="S89" i="2"/>
  <c r="M89" i="2"/>
  <c r="S88" i="2"/>
  <c r="M88" i="2"/>
  <c r="S87" i="2"/>
  <c r="M87" i="2"/>
  <c r="S86" i="2"/>
  <c r="M86" i="2"/>
  <c r="S85" i="2"/>
  <c r="M85" i="2"/>
  <c r="S84" i="2"/>
  <c r="M84" i="2"/>
  <c r="S83" i="2"/>
  <c r="M83" i="2"/>
  <c r="S82" i="2"/>
  <c r="M82" i="2"/>
  <c r="S81" i="2"/>
  <c r="M81" i="2"/>
  <c r="S80" i="2"/>
  <c r="M80" i="2"/>
  <c r="S79" i="2"/>
  <c r="M79" i="2"/>
  <c r="S78" i="2"/>
  <c r="M78" i="2"/>
  <c r="S77" i="2"/>
  <c r="M77" i="2"/>
  <c r="S76" i="2"/>
  <c r="M76" i="2"/>
  <c r="S75" i="2"/>
  <c r="M75" i="2"/>
  <c r="S74" i="2"/>
  <c r="M74" i="2"/>
  <c r="S73" i="2"/>
  <c r="M73" i="2"/>
  <c r="S72" i="2"/>
  <c r="M72" i="2"/>
  <c r="S71" i="2"/>
  <c r="M71" i="2"/>
  <c r="S70" i="2"/>
  <c r="M70" i="2"/>
  <c r="S69" i="2"/>
  <c r="M69" i="2"/>
  <c r="S68" i="2"/>
  <c r="M68" i="2"/>
  <c r="S67" i="2"/>
  <c r="M67" i="2"/>
  <c r="S66" i="2"/>
  <c r="M66" i="2"/>
  <c r="S65" i="2"/>
  <c r="M65" i="2"/>
  <c r="S64" i="2"/>
  <c r="M64" i="2"/>
  <c r="S63" i="2"/>
  <c r="M63" i="2"/>
  <c r="S62" i="2"/>
  <c r="M62" i="2"/>
  <c r="S61" i="2"/>
  <c r="M61" i="2"/>
  <c r="S60" i="2"/>
  <c r="M60" i="2"/>
  <c r="S59" i="2"/>
  <c r="M59" i="2"/>
  <c r="S58" i="2"/>
  <c r="M58" i="2"/>
  <c r="S57" i="2"/>
  <c r="M57" i="2"/>
  <c r="S56" i="2"/>
  <c r="M56" i="2"/>
  <c r="S55" i="2"/>
  <c r="M55" i="2"/>
  <c r="S54" i="2"/>
  <c r="M54" i="2"/>
  <c r="S53" i="2"/>
  <c r="M53" i="2"/>
  <c r="S52" i="2"/>
  <c r="M52" i="2"/>
  <c r="S51" i="2"/>
  <c r="M51" i="2"/>
  <c r="S50" i="2"/>
  <c r="M50" i="2"/>
  <c r="S49" i="2"/>
  <c r="M49" i="2"/>
  <c r="S48" i="2"/>
  <c r="M48" i="2"/>
  <c r="S47" i="2"/>
  <c r="M47" i="2"/>
  <c r="S46" i="2"/>
  <c r="M46" i="2"/>
  <c r="S45" i="2"/>
  <c r="M45" i="2"/>
  <c r="S44" i="2"/>
  <c r="M44" i="2"/>
  <c r="S43" i="2"/>
  <c r="M43" i="2"/>
  <c r="S42" i="2"/>
  <c r="M42" i="2"/>
  <c r="S41" i="2"/>
  <c r="M41" i="2"/>
  <c r="S40" i="2"/>
  <c r="M40" i="2"/>
  <c r="S39" i="2"/>
  <c r="M39" i="2"/>
  <c r="S38" i="2"/>
  <c r="M38" i="2"/>
  <c r="S37" i="2"/>
  <c r="M37" i="2"/>
  <c r="S36" i="2"/>
  <c r="M36" i="2"/>
  <c r="S35" i="2"/>
  <c r="M35" i="2"/>
  <c r="S34" i="2"/>
  <c r="M34" i="2"/>
  <c r="S33" i="2"/>
  <c r="M33" i="2"/>
  <c r="S32" i="2"/>
  <c r="M32" i="2"/>
  <c r="S31" i="2"/>
  <c r="M31" i="2"/>
  <c r="S30" i="2"/>
  <c r="M30" i="2"/>
  <c r="S29" i="2"/>
  <c r="M29" i="2"/>
  <c r="S28" i="2"/>
  <c r="M28" i="2"/>
  <c r="S27" i="2"/>
  <c r="M27" i="2"/>
  <c r="S26" i="2"/>
  <c r="M26" i="2"/>
  <c r="S25" i="2"/>
  <c r="M25" i="2"/>
  <c r="S24" i="2"/>
  <c r="M24" i="2"/>
  <c r="S23" i="2"/>
  <c r="M23" i="2"/>
  <c r="S22" i="2"/>
  <c r="M22" i="2"/>
  <c r="S21" i="2"/>
  <c r="M21" i="2"/>
  <c r="S20" i="2"/>
  <c r="M20" i="2"/>
  <c r="S19" i="2"/>
  <c r="M19" i="2"/>
  <c r="S18" i="2"/>
  <c r="M18" i="2"/>
  <c r="S17" i="2"/>
  <c r="M17" i="2"/>
  <c r="S16" i="2"/>
  <c r="M16" i="2"/>
  <c r="S15" i="2"/>
  <c r="M15" i="2"/>
  <c r="S14" i="2"/>
  <c r="M14" i="2"/>
  <c r="S13" i="2"/>
  <c r="M13" i="2"/>
  <c r="S12" i="2"/>
  <c r="R259" i="2" s="1"/>
  <c r="M12" i="2"/>
  <c r="L259" i="2" s="1"/>
  <c r="S11" i="2"/>
  <c r="M11" i="2"/>
  <c r="S10" i="2"/>
  <c r="R260" i="2" s="1"/>
  <c r="M10" i="2"/>
  <c r="L260" i="2" s="1"/>
  <c r="L261" i="2" s="1"/>
  <c r="S9" i="2"/>
  <c r="R258" i="2" s="1"/>
  <c r="M9" i="2"/>
  <c r="T262" i="1"/>
  <c r="T263" i="1" s="1"/>
  <c r="S262" i="1"/>
  <c r="S263" i="1" s="1"/>
  <c r="Q262" i="1"/>
  <c r="Q263" i="1" s="1"/>
  <c r="P262" i="1"/>
  <c r="P263" i="1" s="1"/>
  <c r="O262" i="1"/>
  <c r="O263" i="1" s="1"/>
  <c r="N262" i="1"/>
  <c r="N263" i="1" s="1"/>
  <c r="M262" i="1"/>
  <c r="M263" i="1" s="1"/>
  <c r="K262" i="1"/>
  <c r="K263" i="1" s="1"/>
  <c r="J262" i="1"/>
  <c r="J263" i="1" s="1"/>
  <c r="I262" i="1"/>
  <c r="I263" i="1" s="1"/>
  <c r="H262" i="1"/>
  <c r="H263" i="1" s="1"/>
  <c r="G262" i="1"/>
  <c r="G263" i="1" s="1"/>
  <c r="T261" i="1"/>
  <c r="S261" i="1"/>
  <c r="U261" i="1" s="1"/>
  <c r="Q261" i="1"/>
  <c r="P261" i="1"/>
  <c r="O261" i="1"/>
  <c r="N261" i="1"/>
  <c r="M261" i="1"/>
  <c r="K261" i="1"/>
  <c r="J261" i="1"/>
  <c r="V261" i="1" s="1"/>
  <c r="I261" i="1"/>
  <c r="H261" i="1"/>
  <c r="G261" i="1"/>
  <c r="T260" i="1"/>
  <c r="S260" i="1"/>
  <c r="U260" i="1" s="1"/>
  <c r="Q260" i="1"/>
  <c r="P260" i="1"/>
  <c r="O260" i="1"/>
  <c r="N260" i="1"/>
  <c r="M260" i="1"/>
  <c r="L260" i="1"/>
  <c r="K260" i="1"/>
  <c r="J260" i="1"/>
  <c r="V260" i="1" s="1"/>
  <c r="I260" i="1"/>
  <c r="H260" i="1"/>
  <c r="G260" i="1"/>
  <c r="U254" i="1"/>
  <c r="T254" i="1"/>
  <c r="R254" i="1"/>
  <c r="Q254" i="1"/>
  <c r="P254" i="1"/>
  <c r="O254" i="1"/>
  <c r="N254" i="1"/>
  <c r="M254" i="1"/>
  <c r="L254" i="1"/>
  <c r="K254" i="1"/>
  <c r="J254" i="1"/>
  <c r="I254" i="1"/>
  <c r="H254" i="1"/>
  <c r="S253" i="1"/>
  <c r="M253" i="1"/>
  <c r="S252" i="1"/>
  <c r="M252" i="1"/>
  <c r="S251" i="1"/>
  <c r="M251" i="1"/>
  <c r="S250" i="1"/>
  <c r="M250" i="1"/>
  <c r="S249" i="1"/>
  <c r="M249" i="1"/>
  <c r="S248" i="1"/>
  <c r="M248" i="1"/>
  <c r="S247" i="1"/>
  <c r="M247" i="1"/>
  <c r="S246" i="1"/>
  <c r="M246" i="1"/>
  <c r="S245" i="1"/>
  <c r="M245" i="1"/>
  <c r="S244" i="1"/>
  <c r="M244" i="1"/>
  <c r="S243" i="1"/>
  <c r="M243" i="1"/>
  <c r="S242" i="1"/>
  <c r="M242" i="1"/>
  <c r="S241" i="1"/>
  <c r="M241" i="1"/>
  <c r="S240" i="1"/>
  <c r="M240" i="1"/>
  <c r="S239" i="1"/>
  <c r="M239" i="1"/>
  <c r="S238" i="1"/>
  <c r="M238" i="1"/>
  <c r="S237" i="1"/>
  <c r="M237" i="1"/>
  <c r="S236" i="1"/>
  <c r="M236" i="1"/>
  <c r="S235" i="1"/>
  <c r="M235" i="1"/>
  <c r="S234" i="1"/>
  <c r="M234" i="1"/>
  <c r="S233" i="1"/>
  <c r="M233" i="1"/>
  <c r="S232" i="1"/>
  <c r="M232" i="1"/>
  <c r="S231" i="1"/>
  <c r="M231" i="1"/>
  <c r="S230" i="1"/>
  <c r="M230" i="1"/>
  <c r="S229" i="1"/>
  <c r="M229" i="1"/>
  <c r="S228" i="1"/>
  <c r="M228" i="1"/>
  <c r="S227" i="1"/>
  <c r="M227" i="1"/>
  <c r="S226" i="1"/>
  <c r="M226" i="1"/>
  <c r="S225" i="1"/>
  <c r="M225" i="1"/>
  <c r="S224" i="1"/>
  <c r="M224" i="1"/>
  <c r="S223" i="1"/>
  <c r="M223" i="1"/>
  <c r="S222" i="1"/>
  <c r="M222" i="1"/>
  <c r="S221" i="1"/>
  <c r="M221" i="1"/>
  <c r="S220" i="1"/>
  <c r="M220" i="1"/>
  <c r="S219" i="1"/>
  <c r="M219" i="1"/>
  <c r="S218" i="1"/>
  <c r="M218" i="1"/>
  <c r="S217" i="1"/>
  <c r="M217" i="1"/>
  <c r="S216" i="1"/>
  <c r="M216" i="1"/>
  <c r="S215" i="1"/>
  <c r="M215" i="1"/>
  <c r="S214" i="1"/>
  <c r="M214" i="1"/>
  <c r="S213" i="1"/>
  <c r="M213" i="1"/>
  <c r="S212" i="1"/>
  <c r="M212" i="1"/>
  <c r="S211" i="1"/>
  <c r="M211" i="1"/>
  <c r="S210" i="1"/>
  <c r="M210" i="1"/>
  <c r="S209" i="1"/>
  <c r="M209" i="1"/>
  <c r="S208" i="1"/>
  <c r="M208" i="1"/>
  <c r="S207" i="1"/>
  <c r="M207" i="1"/>
  <c r="S206" i="1"/>
  <c r="M206" i="1"/>
  <c r="S205" i="1"/>
  <c r="M205" i="1"/>
  <c r="S204" i="1"/>
  <c r="M204" i="1"/>
  <c r="S203" i="1"/>
  <c r="M203" i="1"/>
  <c r="S202" i="1"/>
  <c r="M202" i="1"/>
  <c r="S201" i="1"/>
  <c r="M201" i="1"/>
  <c r="S200" i="1"/>
  <c r="M200" i="1"/>
  <c r="S199" i="1"/>
  <c r="M199" i="1"/>
  <c r="S198" i="1"/>
  <c r="M198" i="1"/>
  <c r="S197" i="1"/>
  <c r="M197" i="1"/>
  <c r="S196" i="1"/>
  <c r="M196" i="1"/>
  <c r="S195" i="1"/>
  <c r="M195" i="1"/>
  <c r="S194" i="1"/>
  <c r="M194" i="1"/>
  <c r="S193" i="1"/>
  <c r="M193" i="1"/>
  <c r="S192" i="1"/>
  <c r="M192" i="1"/>
  <c r="S191" i="1"/>
  <c r="M191" i="1"/>
  <c r="S190" i="1"/>
  <c r="M190" i="1"/>
  <c r="S189" i="1"/>
  <c r="M189" i="1"/>
  <c r="S188" i="1"/>
  <c r="M188" i="1"/>
  <c r="S187" i="1"/>
  <c r="M187" i="1"/>
  <c r="S186" i="1"/>
  <c r="M186" i="1"/>
  <c r="S185" i="1"/>
  <c r="M185" i="1"/>
  <c r="S184" i="1"/>
  <c r="M184" i="1"/>
  <c r="S183" i="1"/>
  <c r="M183" i="1"/>
  <c r="S182" i="1"/>
  <c r="M182" i="1"/>
  <c r="S181" i="1"/>
  <c r="M181" i="1"/>
  <c r="S180" i="1"/>
  <c r="M180" i="1"/>
  <c r="S179" i="1"/>
  <c r="M179" i="1"/>
  <c r="S178" i="1"/>
  <c r="M178" i="1"/>
  <c r="S177" i="1"/>
  <c r="M177" i="1"/>
  <c r="S176" i="1"/>
  <c r="M176" i="1"/>
  <c r="S175" i="1"/>
  <c r="M175" i="1"/>
  <c r="S174" i="1"/>
  <c r="M174" i="1"/>
  <c r="S173" i="1"/>
  <c r="M173" i="1"/>
  <c r="S172" i="1"/>
  <c r="M172" i="1"/>
  <c r="S171" i="1"/>
  <c r="M171" i="1"/>
  <c r="S170" i="1"/>
  <c r="M170" i="1"/>
  <c r="S169" i="1"/>
  <c r="M169" i="1"/>
  <c r="S168" i="1"/>
  <c r="M168" i="1"/>
  <c r="S167" i="1"/>
  <c r="M167" i="1"/>
  <c r="S166" i="1"/>
  <c r="M166" i="1"/>
  <c r="S165" i="1"/>
  <c r="M165" i="1"/>
  <c r="S164" i="1"/>
  <c r="M164" i="1"/>
  <c r="S163" i="1"/>
  <c r="M163" i="1"/>
  <c r="S162" i="1"/>
  <c r="M162" i="1"/>
  <c r="S161" i="1"/>
  <c r="M161" i="1"/>
  <c r="S160" i="1"/>
  <c r="M160" i="1"/>
  <c r="S159" i="1"/>
  <c r="M159" i="1"/>
  <c r="S158" i="1"/>
  <c r="M158" i="1"/>
  <c r="S157" i="1"/>
  <c r="M157" i="1"/>
  <c r="S156" i="1"/>
  <c r="M156" i="1"/>
  <c r="S155" i="1"/>
  <c r="M155" i="1"/>
  <c r="S154" i="1"/>
  <c r="M154" i="1"/>
  <c r="S153" i="1"/>
  <c r="M153" i="1"/>
  <c r="S152" i="1"/>
  <c r="M152" i="1"/>
  <c r="S151" i="1"/>
  <c r="M151" i="1"/>
  <c r="S150" i="1"/>
  <c r="M150" i="1"/>
  <c r="S149" i="1"/>
  <c r="M149" i="1"/>
  <c r="S148" i="1"/>
  <c r="M148" i="1"/>
  <c r="S147" i="1"/>
  <c r="M147" i="1"/>
  <c r="S146" i="1"/>
  <c r="M146" i="1"/>
  <c r="S145" i="1"/>
  <c r="M145" i="1"/>
  <c r="S144" i="1"/>
  <c r="M144" i="1"/>
  <c r="S143" i="1"/>
  <c r="M143" i="1"/>
  <c r="S142" i="1"/>
  <c r="M142" i="1"/>
  <c r="S141" i="1"/>
  <c r="M141" i="1"/>
  <c r="S140" i="1"/>
  <c r="M140" i="1"/>
  <c r="S139" i="1"/>
  <c r="M139" i="1"/>
  <c r="S138" i="1"/>
  <c r="M138" i="1"/>
  <c r="S137" i="1"/>
  <c r="M137" i="1"/>
  <c r="S136" i="1"/>
  <c r="M136" i="1"/>
  <c r="S135" i="1"/>
  <c r="M135" i="1"/>
  <c r="S134" i="1"/>
  <c r="M134" i="1"/>
  <c r="S133" i="1"/>
  <c r="M133" i="1"/>
  <c r="S132" i="1"/>
  <c r="M132" i="1"/>
  <c r="S131" i="1"/>
  <c r="M131" i="1"/>
  <c r="S130" i="1"/>
  <c r="M130" i="1"/>
  <c r="S129" i="1"/>
  <c r="M129" i="1"/>
  <c r="S128" i="1"/>
  <c r="M128" i="1"/>
  <c r="S127" i="1"/>
  <c r="M127" i="1"/>
  <c r="S126" i="1"/>
  <c r="M126" i="1"/>
  <c r="S125" i="1"/>
  <c r="M125" i="1"/>
  <c r="S124" i="1"/>
  <c r="M124" i="1"/>
  <c r="S123" i="1"/>
  <c r="M123" i="1"/>
  <c r="S122" i="1"/>
  <c r="M122" i="1"/>
  <c r="S121" i="1"/>
  <c r="M121" i="1"/>
  <c r="S120" i="1"/>
  <c r="M120" i="1"/>
  <c r="S119" i="1"/>
  <c r="M119" i="1"/>
  <c r="S118" i="1"/>
  <c r="M118" i="1"/>
  <c r="S117" i="1"/>
  <c r="M117" i="1"/>
  <c r="S116" i="1"/>
  <c r="M116" i="1"/>
  <c r="S115" i="1"/>
  <c r="M115" i="1"/>
  <c r="S114" i="1"/>
  <c r="M114" i="1"/>
  <c r="S113" i="1"/>
  <c r="M113" i="1"/>
  <c r="S112" i="1"/>
  <c r="M112" i="1"/>
  <c r="S111" i="1"/>
  <c r="M111" i="1"/>
  <c r="S110" i="1"/>
  <c r="M110" i="1"/>
  <c r="S109" i="1"/>
  <c r="M109" i="1"/>
  <c r="S108" i="1"/>
  <c r="M108" i="1"/>
  <c r="S107" i="1"/>
  <c r="M107" i="1"/>
  <c r="S106" i="1"/>
  <c r="M106" i="1"/>
  <c r="S105" i="1"/>
  <c r="M105" i="1"/>
  <c r="S104" i="1"/>
  <c r="M104" i="1"/>
  <c r="S103" i="1"/>
  <c r="M103" i="1"/>
  <c r="S102" i="1"/>
  <c r="M102" i="1"/>
  <c r="S101" i="1"/>
  <c r="M101" i="1"/>
  <c r="S100" i="1"/>
  <c r="M100" i="1"/>
  <c r="S99" i="1"/>
  <c r="M99" i="1"/>
  <c r="S98" i="1"/>
  <c r="M98" i="1"/>
  <c r="S97" i="1"/>
  <c r="M97" i="1"/>
  <c r="S96" i="1"/>
  <c r="M96" i="1"/>
  <c r="S95" i="1"/>
  <c r="M95" i="1"/>
  <c r="S94" i="1"/>
  <c r="M94" i="1"/>
  <c r="S93" i="1"/>
  <c r="M93" i="1"/>
  <c r="S92" i="1"/>
  <c r="M92" i="1"/>
  <c r="S91" i="1"/>
  <c r="M91" i="1"/>
  <c r="S90" i="1"/>
  <c r="M90" i="1"/>
  <c r="S89" i="1"/>
  <c r="M89" i="1"/>
  <c r="S88" i="1"/>
  <c r="M88" i="1"/>
  <c r="S87" i="1"/>
  <c r="M87" i="1"/>
  <c r="S86" i="1"/>
  <c r="M86" i="1"/>
  <c r="S85" i="1"/>
  <c r="M85" i="1"/>
  <c r="S84" i="1"/>
  <c r="M84" i="1"/>
  <c r="S83" i="1"/>
  <c r="M83" i="1"/>
  <c r="S82" i="1"/>
  <c r="M82" i="1"/>
  <c r="S81" i="1"/>
  <c r="M81" i="1"/>
  <c r="S80" i="1"/>
  <c r="M80" i="1"/>
  <c r="S79" i="1"/>
  <c r="M79" i="1"/>
  <c r="S78" i="1"/>
  <c r="M78" i="1"/>
  <c r="S77" i="1"/>
  <c r="M77" i="1"/>
  <c r="S76" i="1"/>
  <c r="M76" i="1"/>
  <c r="S75" i="1"/>
  <c r="M75" i="1"/>
  <c r="S74" i="1"/>
  <c r="M74" i="1"/>
  <c r="S73" i="1"/>
  <c r="M73" i="1"/>
  <c r="S72" i="1"/>
  <c r="M72" i="1"/>
  <c r="S71" i="1"/>
  <c r="M71" i="1"/>
  <c r="S70" i="1"/>
  <c r="M70" i="1"/>
  <c r="S69" i="1"/>
  <c r="M69" i="1"/>
  <c r="S68" i="1"/>
  <c r="M68" i="1"/>
  <c r="S67" i="1"/>
  <c r="M67" i="1"/>
  <c r="S66" i="1"/>
  <c r="M66" i="1"/>
  <c r="S65" i="1"/>
  <c r="M65" i="1"/>
  <c r="S64" i="1"/>
  <c r="M64" i="1"/>
  <c r="S63" i="1"/>
  <c r="M63" i="1"/>
  <c r="S62" i="1"/>
  <c r="M62" i="1"/>
  <c r="S61" i="1"/>
  <c r="M61" i="1"/>
  <c r="S60" i="1"/>
  <c r="M60" i="1"/>
  <c r="S59" i="1"/>
  <c r="M59" i="1"/>
  <c r="S58" i="1"/>
  <c r="M58" i="1"/>
  <c r="S57" i="1"/>
  <c r="M57" i="1"/>
  <c r="S56" i="1"/>
  <c r="M56" i="1"/>
  <c r="S55" i="1"/>
  <c r="M55" i="1"/>
  <c r="S54" i="1"/>
  <c r="M54" i="1"/>
  <c r="S53" i="1"/>
  <c r="M53" i="1"/>
  <c r="S52" i="1"/>
  <c r="M52" i="1"/>
  <c r="S51" i="1"/>
  <c r="M51" i="1"/>
  <c r="S50" i="1"/>
  <c r="M50" i="1"/>
  <c r="S49" i="1"/>
  <c r="M49" i="1"/>
  <c r="S48" i="1"/>
  <c r="M48" i="1"/>
  <c r="S47" i="1"/>
  <c r="M47" i="1"/>
  <c r="S46" i="1"/>
  <c r="M46" i="1"/>
  <c r="S45" i="1"/>
  <c r="M45" i="1"/>
  <c r="S44" i="1"/>
  <c r="M44" i="1"/>
  <c r="S43" i="1"/>
  <c r="M43" i="1"/>
  <c r="S42" i="1"/>
  <c r="M42" i="1"/>
  <c r="S41" i="1"/>
  <c r="M41" i="1"/>
  <c r="S40" i="1"/>
  <c r="M40" i="1"/>
  <c r="S39" i="1"/>
  <c r="M39" i="1"/>
  <c r="S38" i="1"/>
  <c r="M38" i="1"/>
  <c r="S37" i="1"/>
  <c r="M37" i="1"/>
  <c r="S36" i="1"/>
  <c r="M36" i="1"/>
  <c r="S35" i="1"/>
  <c r="M35" i="1"/>
  <c r="S34" i="1"/>
  <c r="M34" i="1"/>
  <c r="S33" i="1"/>
  <c r="M33" i="1"/>
  <c r="S32" i="1"/>
  <c r="M32" i="1"/>
  <c r="S31" i="1"/>
  <c r="M31" i="1"/>
  <c r="S30" i="1"/>
  <c r="M30" i="1"/>
  <c r="S29" i="1"/>
  <c r="M29" i="1"/>
  <c r="S28" i="1"/>
  <c r="M28" i="1"/>
  <c r="S27" i="1"/>
  <c r="M27" i="1"/>
  <c r="S26" i="1"/>
  <c r="M26" i="1"/>
  <c r="S25" i="1"/>
  <c r="M25" i="1"/>
  <c r="S24" i="1"/>
  <c r="M24" i="1"/>
  <c r="S23" i="1"/>
  <c r="M23" i="1"/>
  <c r="S22" i="1"/>
  <c r="M22" i="1"/>
  <c r="S21" i="1"/>
  <c r="M21" i="1"/>
  <c r="S20" i="1"/>
  <c r="M20" i="1"/>
  <c r="S19" i="1"/>
  <c r="M19" i="1"/>
  <c r="S18" i="1"/>
  <c r="M18" i="1"/>
  <c r="S17" i="1"/>
  <c r="M17" i="1"/>
  <c r="S16" i="1"/>
  <c r="M16" i="1"/>
  <c r="S15" i="1"/>
  <c r="M15" i="1"/>
  <c r="S14" i="1"/>
  <c r="R261" i="1" s="1"/>
  <c r="M14" i="1"/>
  <c r="L261" i="1" s="1"/>
  <c r="S13" i="1"/>
  <c r="M13" i="1"/>
  <c r="S10" i="1"/>
  <c r="R262" i="1" s="1"/>
  <c r="M10" i="1"/>
  <c r="L262" i="1" s="1"/>
  <c r="L263" i="1" s="1"/>
  <c r="S9" i="1"/>
  <c r="R260" i="1" s="1"/>
  <c r="M9" i="1"/>
  <c r="R263" i="1" l="1"/>
  <c r="R261" i="2"/>
  <c r="R261" i="4"/>
  <c r="L261" i="5"/>
  <c r="T261" i="5"/>
  <c r="R259" i="6"/>
  <c r="R261" i="6" s="1"/>
  <c r="S252" i="6"/>
  <c r="R259" i="7"/>
  <c r="R261" i="7" s="1"/>
  <c r="L261" i="8"/>
  <c r="L261" i="9"/>
  <c r="R261" i="3"/>
  <c r="R261" i="5"/>
  <c r="L261" i="6"/>
  <c r="L261" i="7"/>
  <c r="T261" i="7"/>
  <c r="T261" i="8"/>
  <c r="R261" i="9"/>
  <c r="V261" i="9"/>
  <c r="S254" i="1"/>
  <c r="V262" i="1"/>
  <c r="V263" i="1" s="1"/>
  <c r="S252" i="2"/>
  <c r="V260" i="2"/>
  <c r="V261" i="2" s="1"/>
  <c r="S252" i="3"/>
  <c r="V260" i="3"/>
  <c r="V261" i="3" s="1"/>
  <c r="S252" i="4"/>
  <c r="V260" i="4"/>
  <c r="V261" i="4" s="1"/>
  <c r="U260" i="5"/>
  <c r="U261" i="5" s="1"/>
  <c r="M252" i="6"/>
  <c r="U252" i="6"/>
  <c r="T259" i="6"/>
  <c r="T261" i="6" s="1"/>
  <c r="V260" i="6"/>
  <c r="V261" i="6" s="1"/>
  <c r="U260" i="7"/>
  <c r="U261" i="7" s="1"/>
  <c r="U260" i="8"/>
  <c r="U261" i="8" s="1"/>
  <c r="T259" i="9"/>
  <c r="T261" i="9" s="1"/>
  <c r="J261" i="9"/>
  <c r="R258" i="10"/>
  <c r="S252" i="10"/>
  <c r="R261" i="10"/>
  <c r="U260" i="10"/>
  <c r="U261" i="10" s="1"/>
  <c r="R273" i="11"/>
  <c r="G273" i="11"/>
  <c r="I273" i="11"/>
  <c r="K273" i="11"/>
  <c r="L269" i="12"/>
  <c r="N269" i="12"/>
  <c r="L271" i="13"/>
  <c r="R271" i="13"/>
  <c r="R281" i="14"/>
  <c r="L289" i="15"/>
  <c r="T287" i="16"/>
  <c r="R289" i="17"/>
  <c r="L289" i="19"/>
  <c r="N289" i="19"/>
  <c r="S289" i="19"/>
  <c r="V287" i="20"/>
  <c r="M289" i="20"/>
  <c r="V287" i="21"/>
  <c r="M289" i="21"/>
  <c r="S291" i="22"/>
  <c r="L289" i="23"/>
  <c r="L291" i="23" s="1"/>
  <c r="S291" i="23"/>
  <c r="L291" i="24"/>
  <c r="L289" i="24"/>
  <c r="V289" i="25"/>
  <c r="M291" i="25"/>
  <c r="U291" i="26"/>
  <c r="V291" i="26"/>
  <c r="M293" i="26"/>
  <c r="V291" i="27"/>
  <c r="M293" i="27"/>
  <c r="U291" i="28"/>
  <c r="V291" i="28"/>
  <c r="M293" i="28"/>
  <c r="S293" i="29"/>
  <c r="U295" i="30"/>
  <c r="S297" i="30"/>
  <c r="U262" i="1"/>
  <c r="U263" i="1" s="1"/>
  <c r="U260" i="2"/>
  <c r="U261" i="2" s="1"/>
  <c r="U260" i="3"/>
  <c r="U261" i="3" s="1"/>
  <c r="U260" i="4"/>
  <c r="U261" i="4" s="1"/>
  <c r="M252" i="5"/>
  <c r="S252" i="5"/>
  <c r="U252" i="5"/>
  <c r="V260" i="5"/>
  <c r="V261" i="5" s="1"/>
  <c r="U260" i="6"/>
  <c r="U261" i="6" s="1"/>
  <c r="M252" i="7"/>
  <c r="S252" i="7"/>
  <c r="U252" i="7"/>
  <c r="V260" i="7"/>
  <c r="V261" i="7" s="1"/>
  <c r="S16" i="8"/>
  <c r="R259" i="8" s="1"/>
  <c r="R261" i="8" s="1"/>
  <c r="M252" i="8"/>
  <c r="S252" i="8"/>
  <c r="U252" i="8"/>
  <c r="V260" i="8"/>
  <c r="V261" i="8" s="1"/>
  <c r="M252" i="9"/>
  <c r="S252" i="9"/>
  <c r="U252" i="9"/>
  <c r="L258" i="10"/>
  <c r="L260" i="10"/>
  <c r="T259" i="10"/>
  <c r="T261" i="10" s="1"/>
  <c r="N259" i="10"/>
  <c r="N261" i="10" s="1"/>
  <c r="O252" i="10"/>
  <c r="M92" i="10"/>
  <c r="L259" i="10" s="1"/>
  <c r="V258" i="10"/>
  <c r="L270" i="11"/>
  <c r="M264" i="11"/>
  <c r="L273" i="11"/>
  <c r="M273" i="11"/>
  <c r="O273" i="11"/>
  <c r="Q273" i="11"/>
  <c r="T269" i="12"/>
  <c r="T281" i="14"/>
  <c r="U287" i="15"/>
  <c r="V287" i="15"/>
  <c r="M289" i="15"/>
  <c r="R287" i="16"/>
  <c r="R285" i="16"/>
  <c r="N287" i="16"/>
  <c r="L289" i="17"/>
  <c r="V287" i="18"/>
  <c r="M289" i="18"/>
  <c r="R287" i="19"/>
  <c r="R289" i="19" s="1"/>
  <c r="V287" i="19"/>
  <c r="M289" i="19"/>
  <c r="T289" i="19"/>
  <c r="S289" i="20"/>
  <c r="L289" i="21"/>
  <c r="S289" i="21"/>
  <c r="V289" i="22"/>
  <c r="M291" i="22"/>
  <c r="V289" i="23"/>
  <c r="M291" i="23"/>
  <c r="R291" i="24"/>
  <c r="M291" i="24"/>
  <c r="S293" i="27"/>
  <c r="L293" i="28"/>
  <c r="V291" i="29"/>
  <c r="R297" i="30"/>
  <c r="V295" i="30"/>
  <c r="M297" i="30"/>
  <c r="R297" i="31"/>
  <c r="U272" i="11"/>
  <c r="U273" i="11" s="1"/>
  <c r="U268" i="12"/>
  <c r="U269" i="12" s="1"/>
  <c r="M262" i="13"/>
  <c r="S262" i="13"/>
  <c r="V270" i="13"/>
  <c r="V271" i="13" s="1"/>
  <c r="U280" i="14"/>
  <c r="U281" i="14" s="1"/>
  <c r="M280" i="15"/>
  <c r="V288" i="15"/>
  <c r="V289" i="15" s="1"/>
  <c r="U286" i="16"/>
  <c r="U287" i="16" s="1"/>
  <c r="N280" i="17"/>
  <c r="T280" i="17"/>
  <c r="S287" i="17"/>
  <c r="U287" i="17" s="1"/>
  <c r="U288" i="17"/>
  <c r="M36" i="18"/>
  <c r="L287" i="18" s="1"/>
  <c r="L289" i="18" s="1"/>
  <c r="S36" i="18"/>
  <c r="R287" i="18" s="1"/>
  <c r="R289" i="18" s="1"/>
  <c r="M280" i="18"/>
  <c r="S280" i="18"/>
  <c r="V288" i="18"/>
  <c r="V289" i="18" s="1"/>
  <c r="T280" i="19"/>
  <c r="U288" i="19"/>
  <c r="U289" i="19" s="1"/>
  <c r="S20" i="20"/>
  <c r="R287" i="20" s="1"/>
  <c r="R289" i="20" s="1"/>
  <c r="M28" i="20"/>
  <c r="L287" i="20" s="1"/>
  <c r="L289" i="20" s="1"/>
  <c r="S280" i="20"/>
  <c r="V288" i="20"/>
  <c r="V289" i="20" s="1"/>
  <c r="S14" i="21"/>
  <c r="S280" i="21" s="1"/>
  <c r="N280" i="21"/>
  <c r="T280" i="21"/>
  <c r="U288" i="21"/>
  <c r="U289" i="21" s="1"/>
  <c r="S20" i="22"/>
  <c r="R289" i="22" s="1"/>
  <c r="R291" i="22" s="1"/>
  <c r="M28" i="22"/>
  <c r="L289" i="22" s="1"/>
  <c r="L291" i="22" s="1"/>
  <c r="M282" i="22"/>
  <c r="V290" i="22"/>
  <c r="V291" i="22" s="1"/>
  <c r="S14" i="23"/>
  <c r="R289" i="23" s="1"/>
  <c r="R291" i="23" s="1"/>
  <c r="N282" i="23"/>
  <c r="T282" i="23"/>
  <c r="U290" i="23"/>
  <c r="U291" i="23" s="1"/>
  <c r="N282" i="24"/>
  <c r="T282" i="24"/>
  <c r="S289" i="24"/>
  <c r="U289" i="24" s="1"/>
  <c r="U290" i="24"/>
  <c r="S24" i="25"/>
  <c r="R289" i="25" s="1"/>
  <c r="R291" i="25" s="1"/>
  <c r="M104" i="25"/>
  <c r="L289" i="25" s="1"/>
  <c r="L291" i="25" s="1"/>
  <c r="M282" i="25"/>
  <c r="V290" i="25"/>
  <c r="V291" i="25" s="1"/>
  <c r="S14" i="26"/>
  <c r="S284" i="26" s="1"/>
  <c r="M16" i="26"/>
  <c r="L291" i="26" s="1"/>
  <c r="L293" i="26" s="1"/>
  <c r="N284" i="26"/>
  <c r="T284" i="26"/>
  <c r="U292" i="26"/>
  <c r="U293" i="26" s="1"/>
  <c r="S24" i="27"/>
  <c r="R291" i="27" s="1"/>
  <c r="R293" i="27" s="1"/>
  <c r="M36" i="27"/>
  <c r="L291" i="27" s="1"/>
  <c r="L293" i="27" s="1"/>
  <c r="M284" i="27"/>
  <c r="V292" i="27"/>
  <c r="V293" i="27" s="1"/>
  <c r="S12" i="28"/>
  <c r="N284" i="28"/>
  <c r="T284" i="28"/>
  <c r="U292" i="28"/>
  <c r="U293" i="28" s="1"/>
  <c r="S14" i="29"/>
  <c r="R291" i="29" s="1"/>
  <c r="R293" i="29" s="1"/>
  <c r="M16" i="29"/>
  <c r="L291" i="29" s="1"/>
  <c r="L293" i="29" s="1"/>
  <c r="S284" i="29"/>
  <c r="V292" i="29"/>
  <c r="V293" i="29" s="1"/>
  <c r="S288" i="30"/>
  <c r="V296" i="30"/>
  <c r="V297" i="30" s="1"/>
  <c r="S288" i="31"/>
  <c r="M295" i="31"/>
  <c r="V295" i="31" s="1"/>
  <c r="S295" i="31"/>
  <c r="U296" i="31"/>
  <c r="L295" i="32"/>
  <c r="L297" i="32" s="1"/>
  <c r="S295" i="32"/>
  <c r="L294" i="33"/>
  <c r="M297" i="33"/>
  <c r="R301" i="34"/>
  <c r="L302" i="35"/>
  <c r="S302" i="35"/>
  <c r="L304" i="36"/>
  <c r="V302" i="36"/>
  <c r="M304" i="36"/>
  <c r="U260" i="9"/>
  <c r="U261" i="9" s="1"/>
  <c r="M252" i="10"/>
  <c r="U252" i="10"/>
  <c r="V260" i="10"/>
  <c r="V261" i="10" s="1"/>
  <c r="S264" i="11"/>
  <c r="V272" i="11"/>
  <c r="V273" i="11" s="1"/>
  <c r="S16" i="12"/>
  <c r="R267" i="12" s="1"/>
  <c r="R269" i="12" s="1"/>
  <c r="M260" i="12"/>
  <c r="O260" i="12"/>
  <c r="U260" i="12"/>
  <c r="V268" i="12"/>
  <c r="V269" i="12" s="1"/>
  <c r="U270" i="13"/>
  <c r="U271" i="13" s="1"/>
  <c r="M36" i="14"/>
  <c r="L279" i="14" s="1"/>
  <c r="L281" i="14" s="1"/>
  <c r="M272" i="14"/>
  <c r="O272" i="14"/>
  <c r="S272" i="14"/>
  <c r="U272" i="14"/>
  <c r="V280" i="14"/>
  <c r="V281" i="14" s="1"/>
  <c r="S20" i="15"/>
  <c r="N280" i="15"/>
  <c r="T280" i="15"/>
  <c r="U288" i="15"/>
  <c r="U289" i="15" s="1"/>
  <c r="M36" i="16"/>
  <c r="L285" i="16" s="1"/>
  <c r="L287" i="16" s="1"/>
  <c r="M278" i="16"/>
  <c r="O278" i="16"/>
  <c r="S278" i="16"/>
  <c r="U278" i="16"/>
  <c r="V286" i="16"/>
  <c r="V287" i="16" s="1"/>
  <c r="M280" i="17"/>
  <c r="S280" i="17"/>
  <c r="U280" i="17"/>
  <c r="V288" i="17"/>
  <c r="N280" i="18"/>
  <c r="U288" i="18"/>
  <c r="U289" i="18" s="1"/>
  <c r="M280" i="19"/>
  <c r="O280" i="19"/>
  <c r="S280" i="19"/>
  <c r="U280" i="19"/>
  <c r="V288" i="19"/>
  <c r="V289" i="19" s="1"/>
  <c r="N280" i="20"/>
  <c r="U288" i="20"/>
  <c r="U289" i="20" s="1"/>
  <c r="M280" i="21"/>
  <c r="V288" i="21"/>
  <c r="V289" i="21" s="1"/>
  <c r="N282" i="22"/>
  <c r="U290" i="22"/>
  <c r="U291" i="22" s="1"/>
  <c r="M282" i="23"/>
  <c r="S282" i="23"/>
  <c r="V290" i="23"/>
  <c r="V291" i="23" s="1"/>
  <c r="M282" i="24"/>
  <c r="S282" i="24"/>
  <c r="V290" i="24"/>
  <c r="U290" i="25"/>
  <c r="U291" i="25" s="1"/>
  <c r="M284" i="26"/>
  <c r="V292" i="26"/>
  <c r="V293" i="26" s="1"/>
  <c r="U292" i="27"/>
  <c r="U293" i="27" s="1"/>
  <c r="M284" i="28"/>
  <c r="V292" i="28"/>
  <c r="V293" i="28" s="1"/>
  <c r="N284" i="29"/>
  <c r="U292" i="29"/>
  <c r="U293" i="29" s="1"/>
  <c r="M18" i="30"/>
  <c r="M288" i="30" s="1"/>
  <c r="N288" i="30"/>
  <c r="T288" i="30"/>
  <c r="U296" i="30"/>
  <c r="U297" i="30" s="1"/>
  <c r="M18" i="31"/>
  <c r="M288" i="31" s="1"/>
  <c r="V296" i="31"/>
  <c r="R296" i="32"/>
  <c r="S14" i="32"/>
  <c r="S288" i="32" s="1"/>
  <c r="N288" i="32"/>
  <c r="M288" i="32"/>
  <c r="M295" i="32"/>
  <c r="M297" i="32" s="1"/>
  <c r="N297" i="32"/>
  <c r="P297" i="32"/>
  <c r="R294" i="33"/>
  <c r="R296" i="33"/>
  <c r="S295" i="33"/>
  <c r="U295" i="33" s="1"/>
  <c r="S14" i="33"/>
  <c r="R295" i="33" s="1"/>
  <c r="T288" i="33"/>
  <c r="M54" i="33"/>
  <c r="M288" i="33" s="1"/>
  <c r="N288" i="33"/>
  <c r="U299" i="34"/>
  <c r="V299" i="34"/>
  <c r="M301" i="34"/>
  <c r="R302" i="35"/>
  <c r="R300" i="35"/>
  <c r="U302" i="36"/>
  <c r="S304" i="36"/>
  <c r="V296" i="33"/>
  <c r="S292" i="34"/>
  <c r="V300" i="34"/>
  <c r="N293" i="35"/>
  <c r="T293" i="35"/>
  <c r="M300" i="35"/>
  <c r="V300" i="35" s="1"/>
  <c r="U301" i="35"/>
  <c r="M295" i="36"/>
  <c r="V303" i="36"/>
  <c r="V304" i="36" s="1"/>
  <c r="R302" i="37"/>
  <c r="R300" i="37"/>
  <c r="M300" i="37"/>
  <c r="M302" i="37" s="1"/>
  <c r="N293" i="37"/>
  <c r="M293" i="37"/>
  <c r="R299" i="37"/>
  <c r="N302" i="37"/>
  <c r="P302" i="37"/>
  <c r="S302" i="37"/>
  <c r="L302" i="38"/>
  <c r="L304" i="38" s="1"/>
  <c r="V302" i="38"/>
  <c r="M304" i="38"/>
  <c r="R302" i="39"/>
  <c r="R304" i="39" s="1"/>
  <c r="S304" i="39"/>
  <c r="V302" i="40"/>
  <c r="M304" i="40"/>
  <c r="S304" i="41"/>
  <c r="V296" i="32"/>
  <c r="S288" i="33"/>
  <c r="U296" i="33"/>
  <c r="U297" i="33" s="1"/>
  <c r="M18" i="34"/>
  <c r="L299" i="34" s="1"/>
  <c r="L301" i="34" s="1"/>
  <c r="N292" i="34"/>
  <c r="T292" i="34"/>
  <c r="U300" i="34"/>
  <c r="U301" i="34" s="1"/>
  <c r="M293" i="35"/>
  <c r="S293" i="35"/>
  <c r="V301" i="35"/>
  <c r="S14" i="36"/>
  <c r="S295" i="36" s="1"/>
  <c r="N295" i="36"/>
  <c r="T295" i="36"/>
  <c r="U303" i="36"/>
  <c r="U304" i="36" s="1"/>
  <c r="L301" i="37"/>
  <c r="L300" i="37"/>
  <c r="S300" i="37"/>
  <c r="T293" i="37"/>
  <c r="M18" i="37"/>
  <c r="V300" i="37"/>
  <c r="H302" i="37"/>
  <c r="J302" i="37"/>
  <c r="T302" i="37"/>
  <c r="S304" i="38"/>
  <c r="V302" i="39"/>
  <c r="M304" i="39"/>
  <c r="S304" i="40"/>
  <c r="V302" i="41"/>
  <c r="M304" i="41"/>
  <c r="U301" i="37"/>
  <c r="S26" i="38"/>
  <c r="R302" i="38" s="1"/>
  <c r="R304" i="38" s="1"/>
  <c r="M28" i="38"/>
  <c r="M295" i="38"/>
  <c r="V303" i="38"/>
  <c r="V304" i="38" s="1"/>
  <c r="S14" i="39"/>
  <c r="S295" i="39" s="1"/>
  <c r="M16" i="39"/>
  <c r="L302" i="39" s="1"/>
  <c r="L304" i="39" s="1"/>
  <c r="N295" i="39"/>
  <c r="T295" i="39"/>
  <c r="U303" i="39"/>
  <c r="U304" i="39" s="1"/>
  <c r="S26" i="40"/>
  <c r="R302" i="40" s="1"/>
  <c r="R304" i="40" s="1"/>
  <c r="M28" i="40"/>
  <c r="L302" i="40" s="1"/>
  <c r="L304" i="40" s="1"/>
  <c r="M295" i="40"/>
  <c r="V303" i="40"/>
  <c r="V304" i="40" s="1"/>
  <c r="S14" i="41"/>
  <c r="S295" i="41" s="1"/>
  <c r="M16" i="41"/>
  <c r="L302" i="41" s="1"/>
  <c r="L304" i="41" s="1"/>
  <c r="N295" i="41"/>
  <c r="T295" i="41"/>
  <c r="U303" i="41"/>
  <c r="U304" i="41" s="1"/>
  <c r="L301" i="42"/>
  <c r="M295" i="42"/>
  <c r="L303" i="42"/>
  <c r="L304" i="42" s="1"/>
  <c r="L302" i="42"/>
  <c r="S302" i="42"/>
  <c r="U302" i="42" s="1"/>
  <c r="M302" i="42"/>
  <c r="N295" i="42"/>
  <c r="M304" i="42"/>
  <c r="V302" i="43"/>
  <c r="M304" i="43"/>
  <c r="U302" i="44"/>
  <c r="S304" i="44"/>
  <c r="L302" i="45"/>
  <c r="L304" i="45" s="1"/>
  <c r="V302" i="45"/>
  <c r="M304" i="45"/>
  <c r="V301" i="37"/>
  <c r="U303" i="38"/>
  <c r="U304" i="38" s="1"/>
  <c r="V303" i="39"/>
  <c r="V304" i="39" s="1"/>
  <c r="U303" i="40"/>
  <c r="U304" i="40" s="1"/>
  <c r="M295" i="41"/>
  <c r="V303" i="41"/>
  <c r="V304" i="41" s="1"/>
  <c r="R301" i="42"/>
  <c r="S295" i="42"/>
  <c r="R304" i="42"/>
  <c r="T295" i="42"/>
  <c r="G304" i="42"/>
  <c r="S304" i="43"/>
  <c r="L302" i="44"/>
  <c r="L304" i="44" s="1"/>
  <c r="V302" i="44"/>
  <c r="M304" i="44"/>
  <c r="U302" i="45"/>
  <c r="S304" i="45"/>
  <c r="U303" i="42"/>
  <c r="S26" i="43"/>
  <c r="R302" i="43" s="1"/>
  <c r="R304" i="43" s="1"/>
  <c r="M28" i="43"/>
  <c r="L302" i="43" s="1"/>
  <c r="L304" i="43" s="1"/>
  <c r="M295" i="43"/>
  <c r="V303" i="43"/>
  <c r="V304" i="43" s="1"/>
  <c r="V303" i="44"/>
  <c r="V304" i="44" s="1"/>
  <c r="M53" i="45"/>
  <c r="S59" i="45"/>
  <c r="R302" i="45" s="1"/>
  <c r="R304" i="45" s="1"/>
  <c r="M295" i="45"/>
  <c r="S295" i="45"/>
  <c r="V303" i="45"/>
  <c r="V304" i="45" s="1"/>
  <c r="R301" i="46"/>
  <c r="R303" i="46"/>
  <c r="R302" i="46"/>
  <c r="M302" i="46"/>
  <c r="N295" i="46"/>
  <c r="S302" i="46"/>
  <c r="U302" i="46" s="1"/>
  <c r="T295" i="46"/>
  <c r="S295" i="46"/>
  <c r="V302" i="46"/>
  <c r="H304" i="46"/>
  <c r="M304" i="46"/>
  <c r="V303" i="42"/>
  <c r="U303" i="43"/>
  <c r="U304" i="43" s="1"/>
  <c r="M14" i="44"/>
  <c r="M295" i="44" s="1"/>
  <c r="S14" i="44"/>
  <c r="R302" i="44" s="1"/>
  <c r="R304" i="44" s="1"/>
  <c r="N295" i="44"/>
  <c r="T295" i="44"/>
  <c r="U303" i="44"/>
  <c r="U304" i="44" s="1"/>
  <c r="U303" i="45"/>
  <c r="U304" i="45" s="1"/>
  <c r="L302" i="46"/>
  <c r="L304" i="46" s="1"/>
  <c r="M295" i="46"/>
  <c r="N304" i="46"/>
  <c r="S304" i="46"/>
  <c r="V303" i="46"/>
  <c r="V304" i="46" s="1"/>
  <c r="R303" i="47"/>
  <c r="U304" i="47"/>
  <c r="T297" i="47"/>
  <c r="G306" i="47"/>
  <c r="I306" i="47"/>
  <c r="S306" i="47"/>
  <c r="L308" i="48"/>
  <c r="V306" i="48"/>
  <c r="M308" i="48"/>
  <c r="R306" i="49"/>
  <c r="R308" i="49" s="1"/>
  <c r="V306" i="49"/>
  <c r="U303" i="46"/>
  <c r="U304" i="46" s="1"/>
  <c r="L303" i="47"/>
  <c r="M297" i="47"/>
  <c r="L305" i="47"/>
  <c r="L304" i="47"/>
  <c r="M14" i="47"/>
  <c r="S14" i="47"/>
  <c r="S297" i="47" s="1"/>
  <c r="N297" i="47"/>
  <c r="V304" i="47"/>
  <c r="M306" i="47"/>
  <c r="R308" i="48"/>
  <c r="U306" i="48"/>
  <c r="S308" i="48"/>
  <c r="S308" i="49"/>
  <c r="V305" i="47"/>
  <c r="V306" i="47" s="1"/>
  <c r="N299" i="48"/>
  <c r="T299" i="48"/>
  <c r="U307" i="48"/>
  <c r="U308" i="48" s="1"/>
  <c r="M14" i="49"/>
  <c r="M299" i="49" s="1"/>
  <c r="S14" i="49"/>
  <c r="N299" i="49"/>
  <c r="T299" i="49"/>
  <c r="U307" i="49"/>
  <c r="U308" i="49" s="1"/>
  <c r="L305" i="50"/>
  <c r="M299" i="50"/>
  <c r="L306" i="50"/>
  <c r="L308" i="50" s="1"/>
  <c r="M14" i="50"/>
  <c r="T299" i="50"/>
  <c r="U305" i="50"/>
  <c r="G308" i="50"/>
  <c r="I308" i="50"/>
  <c r="K308" i="50"/>
  <c r="S308" i="50"/>
  <c r="L308" i="51"/>
  <c r="S308" i="51"/>
  <c r="U305" i="47"/>
  <c r="U306" i="47" s="1"/>
  <c r="M299" i="48"/>
  <c r="S299" i="48"/>
  <c r="V307" i="48"/>
  <c r="V308" i="48" s="1"/>
  <c r="S299" i="49"/>
  <c r="V307" i="49"/>
  <c r="V308" i="49" s="1"/>
  <c r="R305" i="50"/>
  <c r="S299" i="50"/>
  <c r="R308" i="50"/>
  <c r="R306" i="50"/>
  <c r="U306" i="50"/>
  <c r="N299" i="50"/>
  <c r="V306" i="50"/>
  <c r="M308" i="50"/>
  <c r="R308" i="51"/>
  <c r="U306" i="51"/>
  <c r="V306" i="51"/>
  <c r="M308" i="51"/>
  <c r="V307" i="50"/>
  <c r="V308" i="50" s="1"/>
  <c r="N299" i="51"/>
  <c r="T299" i="51"/>
  <c r="U307" i="51"/>
  <c r="U308" i="51" s="1"/>
  <c r="U307" i="50"/>
  <c r="U308" i="50" s="1"/>
  <c r="M299" i="51"/>
  <c r="S299" i="51"/>
  <c r="V307" i="51"/>
  <c r="R304" i="47" l="1"/>
  <c r="R306" i="47" s="1"/>
  <c r="V308" i="51"/>
  <c r="L306" i="47"/>
  <c r="R304" i="46"/>
  <c r="S295" i="44"/>
  <c r="S295" i="43"/>
  <c r="U304" i="42"/>
  <c r="S304" i="42"/>
  <c r="M295" i="39"/>
  <c r="V302" i="37"/>
  <c r="V302" i="42"/>
  <c r="V304" i="42" s="1"/>
  <c r="S295" i="40"/>
  <c r="S295" i="38"/>
  <c r="U302" i="37"/>
  <c r="U300" i="37"/>
  <c r="L302" i="37"/>
  <c r="R302" i="41"/>
  <c r="R304" i="41" s="1"/>
  <c r="V301" i="34"/>
  <c r="M292" i="34"/>
  <c r="R302" i="36"/>
  <c r="R304" i="36" s="1"/>
  <c r="M302" i="35"/>
  <c r="S297" i="33"/>
  <c r="V295" i="32"/>
  <c r="V297" i="32" s="1"/>
  <c r="R295" i="32"/>
  <c r="V297" i="31"/>
  <c r="R287" i="15"/>
  <c r="R289" i="15" s="1"/>
  <c r="S280" i="15"/>
  <c r="S260" i="12"/>
  <c r="U300" i="35"/>
  <c r="U302" i="35" s="1"/>
  <c r="L295" i="33"/>
  <c r="L297" i="33" s="1"/>
  <c r="S297" i="32"/>
  <c r="U295" i="32"/>
  <c r="U297" i="32" s="1"/>
  <c r="U295" i="31"/>
  <c r="U297" i="31" s="1"/>
  <c r="M284" i="29"/>
  <c r="R291" i="28"/>
  <c r="R293" i="28" s="1"/>
  <c r="S284" i="28"/>
  <c r="S284" i="27"/>
  <c r="S282" i="25"/>
  <c r="U291" i="24"/>
  <c r="V287" i="17"/>
  <c r="L261" i="10"/>
  <c r="M297" i="31"/>
  <c r="L295" i="31"/>
  <c r="L297" i="31" s="1"/>
  <c r="L295" i="30"/>
  <c r="L297" i="30" s="1"/>
  <c r="R291" i="26"/>
  <c r="R293" i="26" s="1"/>
  <c r="S291" i="24"/>
  <c r="L306" i="49"/>
  <c r="L308" i="49" s="1"/>
  <c r="V302" i="35"/>
  <c r="R297" i="33"/>
  <c r="R297" i="32"/>
  <c r="V289" i="17"/>
  <c r="V295" i="33"/>
  <c r="V297" i="33" s="1"/>
  <c r="S282" i="22"/>
  <c r="M280" i="20"/>
  <c r="U289" i="17"/>
  <c r="S297" i="31"/>
  <c r="V289" i="24"/>
  <c r="V291" i="24" s="1"/>
  <c r="S289" i="17"/>
  <c r="R287" i="21"/>
  <c r="R289" i="21" s="1"/>
</calcChain>
</file>

<file path=xl/sharedStrings.xml><?xml version="1.0" encoding="utf-8"?>
<sst xmlns="http://schemas.openxmlformats.org/spreadsheetml/2006/main" count="46649" uniqueCount="503">
  <si>
    <t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у 2019 році</t>
  </si>
  <si>
    <t>Регіональний центр з надання безоплатної вторинної правової допомоги у Рівненській області</t>
  </si>
  <si>
    <t>(назва регіонального центру з надання БВПД, яким підготовано інформацію)</t>
  </si>
  <si>
    <t>№</t>
  </si>
  <si>
    <t>І. Інформація про адвоката, який надає БВПД</t>
  </si>
  <si>
    <t>ІІ. Інформація за дорученнями, виданими у 2019 році</t>
  </si>
  <si>
    <t>ІІІ. Інформація за дорученнями, виданими у попередніх бюджетних періодах (включаючи ті, за якими станом на 01.01.2019 р. зареєстровано кредиторську заборгованість)</t>
  </si>
  <si>
    <t>ПІБ адвокатів, з якими центрами з надання БВПД (було) укладено контракт / договір</t>
  </si>
  <si>
    <t>Організаційна форма адвокатської діяльності (ІНД, АБ, АО)</t>
  </si>
  <si>
    <t>Назва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</si>
  <si>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</si>
  <si>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/ договору (дата укладання, №)</t>
  </si>
  <si>
    <t>Назва центру з надання БВПД, з яким адвокатом (було) укладено контракт / договір (скорочено)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</si>
  <si>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</si>
  <si>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</si>
  <si>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</si>
  <si>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сума  за прийнятими актами</t>
  </si>
  <si>
    <t>кількість оплачених актів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</si>
  <si>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</si>
  <si>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</si>
  <si>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</si>
  <si>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Алімамедов Імран Акпер Огли</t>
  </si>
  <si>
    <t>ІНД</t>
  </si>
  <si>
    <t>смт.Рокитне</t>
  </si>
  <si>
    <t>Рівненський РЦ</t>
  </si>
  <si>
    <t>Сарненський МЦ</t>
  </si>
  <si>
    <t>Байда Ігор Васильович</t>
  </si>
  <si>
    <t>м.Рівне</t>
  </si>
  <si>
    <t>Рівненський МЦ</t>
  </si>
  <si>
    <t>Баранчук Володимир Миколайович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</si>
  <si>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</si>
  <si>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Барилюк Алла Іванівна</t>
  </si>
  <si>
    <t>Адвокатське бюро Барилюк Алли Іванівни</t>
  </si>
  <si>
    <t>Бідюк Світлана Віталіївна</t>
  </si>
  <si>
    <t>Бідюк Тетяна В'ячеславівна</t>
  </si>
  <si>
    <t>Бірук Тетяна Борисівна</t>
  </si>
  <si>
    <t>АБ Бірук Т.Б.</t>
  </si>
  <si>
    <t>м.Радивилів</t>
  </si>
  <si>
    <t>Богельський Ігор Володимирович</t>
  </si>
  <si>
    <t>АБ</t>
  </si>
  <si>
    <t>АБ Богельського І.В.</t>
  </si>
  <si>
    <t>Дубровицький р-н</t>
  </si>
  <si>
    <t>Бодрягов Віктор Сергійович</t>
  </si>
  <si>
    <t xml:space="preserve">  </t>
  </si>
  <si>
    <t>Бойчук Костянтин Мефодійович</t>
  </si>
  <si>
    <t>Бондар Юрій Миколайович</t>
  </si>
  <si>
    <t>АО</t>
  </si>
  <si>
    <t>Адвокатське об'єднання "ІСТИНА"</t>
  </si>
  <si>
    <t>Боржецький Олександр Леонідович</t>
  </si>
  <si>
    <t>Боротюк Олександр Олександрович</t>
  </si>
  <si>
    <t>м. Березне</t>
  </si>
  <si>
    <t>Бурма Олексій Віталійович</t>
  </si>
  <si>
    <t>Ващишин Олександр Петрович</t>
  </si>
  <si>
    <t>Волощук Петро Степанович</t>
  </si>
  <si>
    <t>Адвокатське об"єднання "Україна-Захід"</t>
  </si>
  <si>
    <t>м.Вараш</t>
  </si>
  <si>
    <t>Войтюк Тетяна Леонідівна</t>
  </si>
  <si>
    <t>Адвокатське бюро Войтюк Т.Л.</t>
  </si>
  <si>
    <t>м.Здолбунів</t>
  </si>
  <si>
    <t>Войцешук Анатолій Олексійович</t>
  </si>
  <si>
    <t>Губар Володимир Євгенович</t>
  </si>
  <si>
    <t>Адвокатське бюро Губара Володимира</t>
  </si>
  <si>
    <t>Губар Наталія Всеволодівна</t>
  </si>
  <si>
    <t>Адвокатське бюро Губар Наталії</t>
  </si>
  <si>
    <t xml:space="preserve">Дубич Тарас Володимирович </t>
  </si>
  <si>
    <t>м. Рівне</t>
  </si>
  <si>
    <t>Драган Володимир Петрович</t>
  </si>
  <si>
    <t>смт.Млинів</t>
  </si>
  <si>
    <t>Дремлюга Юрій Сергійович</t>
  </si>
  <si>
    <t>Адвокатське бюро "Юрія Дремлюги"</t>
  </si>
  <si>
    <t>Денисюк Віталій Степанович</t>
  </si>
  <si>
    <t>АБ ПД Денисюка</t>
  </si>
  <si>
    <t>Жилінська Тетяна Петрівна</t>
  </si>
  <si>
    <t>Іванців Михайло Романович</t>
  </si>
  <si>
    <t>Іващенко Ірина Ігорівна</t>
  </si>
  <si>
    <t>АБ Іващенко І.І.</t>
  </si>
  <si>
    <t>Іовчик Оксана Анатоліївна</t>
  </si>
  <si>
    <t xml:space="preserve">м.Рівне </t>
  </si>
  <si>
    <t>Захарець Олександр Володимирович</t>
  </si>
  <si>
    <t>Захарчук Микола Іванович</t>
  </si>
  <si>
    <t>Зозуля Максим Петрович</t>
  </si>
  <si>
    <t>Зуйков Олег Геннадійович</t>
  </si>
  <si>
    <t>Ковташ Василь Данилович</t>
  </si>
  <si>
    <t>м. Дубровиця</t>
  </si>
  <si>
    <t>Корицька Наталія Кузьмівна</t>
  </si>
  <si>
    <t>Костишин Віктор Степанович</t>
  </si>
  <si>
    <t>Кравченя Марія Максимівна</t>
  </si>
  <si>
    <t>Кругліцька Валентина Михайлівна</t>
  </si>
  <si>
    <t>Адвокатське бюро "Кругліцької Валентини"</t>
  </si>
  <si>
    <t>смт. Володимирець</t>
  </si>
  <si>
    <t>Кисельова Мирослава Ігорівна</t>
  </si>
  <si>
    <t xml:space="preserve">АБ Мирослови Кисельової </t>
  </si>
  <si>
    <t>Ковальчук Микола Олексійович</t>
  </si>
  <si>
    <t>Косів Сергій Павлович</t>
  </si>
  <si>
    <t>Крестинська Людмила Аполлінаріївна</t>
  </si>
  <si>
    <t>АБ Крестинської Людмили</t>
  </si>
  <si>
    <t>смт.Володимирець</t>
  </si>
  <si>
    <t>Кузьмарук Олександр Сергійович</t>
  </si>
  <si>
    <t>Кульпач Володимир Миколайович</t>
  </si>
  <si>
    <t>м.Корець</t>
  </si>
  <si>
    <t>Лазарчук Ганна Валеріївна</t>
  </si>
  <si>
    <t xml:space="preserve">АБ Лазарчук </t>
  </si>
  <si>
    <t>Лейковський Андрій Миколайович</t>
  </si>
  <si>
    <t>Лейковський Микола Павлович</t>
  </si>
  <si>
    <t>Луцик Катерина Василівна</t>
  </si>
  <si>
    <t>АБ Луцик Катерині Василівни</t>
  </si>
  <si>
    <t>Лютко Федір Карпович</t>
  </si>
  <si>
    <t>Адвокатське бюро  "Лютко та сини"</t>
  </si>
  <si>
    <t>Ляшко Дмитро Володимирович</t>
  </si>
  <si>
    <t>АО "ІСТИНА"</t>
  </si>
  <si>
    <t>Ляшук Юрій Леонідович</t>
  </si>
  <si>
    <t>Максимчук Валерій Миколайович</t>
  </si>
  <si>
    <t>м.Острог</t>
  </si>
  <si>
    <t xml:space="preserve">Максимович Максим Миколайович </t>
  </si>
  <si>
    <t>АБ "Максимович та партнери"</t>
  </si>
  <si>
    <t>Марчук Руслан Іванович</t>
  </si>
  <si>
    <t>Мельничук Єлизавета Степанівна</t>
  </si>
  <si>
    <t>Мервінський Валентин Васильович</t>
  </si>
  <si>
    <t>Меркулов Сергій Анатолійович</t>
  </si>
  <si>
    <t>Михалець Геннадій Вікторович</t>
  </si>
  <si>
    <t>АБ Михалець Г.В.</t>
  </si>
  <si>
    <t>м.Сарни</t>
  </si>
  <si>
    <t>Невідомський Олександр Анатолійович</t>
  </si>
  <si>
    <t>АБ "Правово допомога Невідомського"</t>
  </si>
  <si>
    <t>Негрей Олександр Михайлович</t>
  </si>
  <si>
    <t>АБ Негрея О.М.</t>
  </si>
  <si>
    <t>Нікольченко Борис Борисович</t>
  </si>
  <si>
    <t>Новосад Володимир Олександрович</t>
  </si>
  <si>
    <t>Овдіюк Дмитро Васильович</t>
  </si>
  <si>
    <t>АБ Овдіюка Д.В.</t>
  </si>
  <si>
    <t>Оніщук Марія Адамівна</t>
  </si>
  <si>
    <t>м.Березне</t>
  </si>
  <si>
    <t>Оніщук Святослав Петрович</t>
  </si>
  <si>
    <t>Осика Юрій Петрович</t>
  </si>
  <si>
    <t>Остапенко Володимир Сергійович</t>
  </si>
  <si>
    <t>АБ Остапенка Володимира</t>
  </si>
  <si>
    <t>м.Костопіль</t>
  </si>
  <si>
    <t>Павлюк Ірина Анатоліївна</t>
  </si>
  <si>
    <t>Панчелюга Катерина Миколаївна</t>
  </si>
  <si>
    <t>Панчина Петро Євгенович</t>
  </si>
  <si>
    <t>Парчук Сергій Васильович</t>
  </si>
  <si>
    <t>Пашкевич Ірина Андріївна</t>
  </si>
  <si>
    <t>Перетятко Анатолій Леонідович</t>
  </si>
  <si>
    <t>Петрук Олексій Володимирович</t>
  </si>
  <si>
    <t>АБ Петрука О.В.</t>
  </si>
  <si>
    <t>смт.Гоща</t>
  </si>
  <si>
    <t>Пилипів Іван Ігорович</t>
  </si>
  <si>
    <t>АБ Пилипів І.І.</t>
  </si>
  <si>
    <t>Пилипів Ігор Іванович</t>
  </si>
  <si>
    <t>АБ Пилипів Ігор Іванович</t>
  </si>
  <si>
    <t>Полюхович Оксана Іванівна</t>
  </si>
  <si>
    <t>Адвокатське бюро "Оксани Полюхович"</t>
  </si>
  <si>
    <t>м. Вараш</t>
  </si>
  <si>
    <t>Протопович Арсен Рюрикович</t>
  </si>
  <si>
    <t>АБ Арсена Протопович "Рюрикович та партнери"</t>
  </si>
  <si>
    <t>Прядун Олександр Маркович</t>
  </si>
  <si>
    <t>Редзель Микола Миколайович</t>
  </si>
  <si>
    <t>Ремовський Станіслав Валерійович</t>
  </si>
  <si>
    <t>Рідченко Володимир Михайлович</t>
  </si>
  <si>
    <t>Рідченко Марія Володимирівна</t>
  </si>
  <si>
    <t>м.Дубно</t>
  </si>
  <si>
    <t>Рудик Віталій Романович</t>
  </si>
  <si>
    <t>Рудик Олександр Андрійович</t>
  </si>
  <si>
    <t xml:space="preserve">  АБ Олександра Рудика</t>
  </si>
  <si>
    <t>Ромашко Людмила Григорівна</t>
  </si>
  <si>
    <t>Савенко Тетяна Миколаївна</t>
  </si>
  <si>
    <t>Савчук Борис Борисович</t>
  </si>
  <si>
    <t>Сав'як Василь Васильович</t>
  </si>
  <si>
    <t>Адвокатське об'єднання "Істина"</t>
  </si>
  <si>
    <t xml:space="preserve">Самардак Катерина Володимирівна </t>
  </si>
  <si>
    <t>Самолюк Валерій Віталійович</t>
  </si>
  <si>
    <t>Самороков Валентин Олександрович</t>
  </si>
  <si>
    <t>Семейко Віталій Валерійович</t>
  </si>
  <si>
    <t>Симончук Іван Іванович</t>
  </si>
  <si>
    <t>Слободін Антон Сергійович</t>
  </si>
  <si>
    <t>АБ "СЛОБОДІН І ПАРТНЕРИ"</t>
  </si>
  <si>
    <t xml:space="preserve">м.Вараш </t>
  </si>
  <si>
    <t>Сокол Дмитро Степанович</t>
  </si>
  <si>
    <t>Стефанський Валерій Мирославович</t>
  </si>
  <si>
    <t>Таборовець Андрій Петрович</t>
  </si>
  <si>
    <t>Теперик Оксана Василівна</t>
  </si>
  <si>
    <t>АО "Юридична компанія "РАМ"</t>
  </si>
  <si>
    <t>Теперик Олександр Вячеславович</t>
  </si>
  <si>
    <t>Ткачук Віталій Миколайович</t>
  </si>
  <si>
    <t>Торош Серігй Олексійович</t>
  </si>
  <si>
    <t>Троцюк Олександр Степанович</t>
  </si>
  <si>
    <t>Турович Оксана Миколаївна</t>
  </si>
  <si>
    <t>Удод Віктор Федорович</t>
  </si>
  <si>
    <t>Філатова Алла Валеріївна</t>
  </si>
  <si>
    <t>Цісар Ірина Валентинівна</t>
  </si>
  <si>
    <t>Хомюк Віталій Ярославович</t>
  </si>
  <si>
    <t>АБ Хомюка В.Я.</t>
  </si>
  <si>
    <t>Шаповал Сергій Олександрович</t>
  </si>
  <si>
    <t>Острозький р-н</t>
  </si>
  <si>
    <t>Шевчук Віктор Миколайович</t>
  </si>
  <si>
    <t>Шевчук Віктор Сергійович</t>
  </si>
  <si>
    <t>Шендера Олена Миколаївна</t>
  </si>
  <si>
    <t>Шеруда Олена Павлівна</t>
  </si>
  <si>
    <t>Шминдрук Ольга Федорівна</t>
  </si>
  <si>
    <t xml:space="preserve">Щур Олександр Валерійович </t>
  </si>
  <si>
    <t>Юхимчук Іван Миколайович</t>
  </si>
  <si>
    <t>Яскевич Федір Олександрович</t>
  </si>
  <si>
    <t>Ярема Світлана Василівна</t>
  </si>
  <si>
    <t>Ярмошик Валерій Григорович</t>
  </si>
  <si>
    <t>Ярощук Юрій Антонович</t>
  </si>
  <si>
    <t xml:space="preserve">Разом </t>
  </si>
  <si>
    <t xml:space="preserve">    </t>
  </si>
  <si>
    <t>Загальна сума касових видатків за затвердженими актами, грн</t>
  </si>
  <si>
    <t>Загальна заборгованість (в т.ч. незареєстрована в органах ДКСУ)</t>
  </si>
  <si>
    <t>24.01.2019 № 107-19</t>
  </si>
  <si>
    <t>а</t>
  </si>
  <si>
    <t xml:space="preserve">                                                      </t>
  </si>
  <si>
    <t>09/02-19</t>
  </si>
  <si>
    <t>20/02-19</t>
  </si>
  <si>
    <t>08/02-19</t>
  </si>
  <si>
    <t>24.01.2019 № 19-19</t>
  </si>
  <si>
    <t>02/02-19</t>
  </si>
  <si>
    <t>21/02-19</t>
  </si>
  <si>
    <t>24.01.2019 № 53-19</t>
  </si>
  <si>
    <t>АБ "Олександра Ващишина"</t>
  </si>
  <si>
    <t>28.01.2019 № 84-19</t>
  </si>
  <si>
    <t>18/02-19</t>
  </si>
  <si>
    <t>12/02-19</t>
  </si>
  <si>
    <t>06/02-19</t>
  </si>
  <si>
    <t>АБ Зуйкова Олега Геннадійовича</t>
  </si>
  <si>
    <t>28.01.2019 № 31-19</t>
  </si>
  <si>
    <t>АБ "Дмитра Сокола"</t>
  </si>
  <si>
    <t>24.01.2019 № 111-19</t>
  </si>
  <si>
    <t>24.01.2019 № 34-19</t>
  </si>
  <si>
    <t>17/02-19</t>
  </si>
  <si>
    <t>10/02-19</t>
  </si>
  <si>
    <t>АБ "Шевчука Віктора"</t>
  </si>
  <si>
    <t>24.01.2019 № 02-19</t>
  </si>
  <si>
    <t>23/02-19</t>
  </si>
  <si>
    <t>22/02-19</t>
  </si>
  <si>
    <t>24/02-19</t>
  </si>
  <si>
    <t>28.01.2019 № 09-19</t>
  </si>
  <si>
    <t>28.01.2019 № 13-19</t>
  </si>
  <si>
    <t>АБ "Оніщука Святослава"</t>
  </si>
  <si>
    <t>30.01.2019 № 97-19</t>
  </si>
  <si>
    <t>13/02-19</t>
  </si>
  <si>
    <t>04/02-19</t>
  </si>
  <si>
    <t>16/02-19</t>
  </si>
  <si>
    <t>15/02-19</t>
  </si>
  <si>
    <t>01/02-19</t>
  </si>
  <si>
    <t>28.01.2019 № 41-19</t>
  </si>
  <si>
    <t>30.01.2019 № 52-19</t>
  </si>
  <si>
    <t>26/02-19</t>
  </si>
  <si>
    <t>30.01.2019 № 18-19</t>
  </si>
  <si>
    <t>03/02-19</t>
  </si>
  <si>
    <t>15.02.2019 № 11-19</t>
  </si>
  <si>
    <t>12.02.2019 № 60-19</t>
  </si>
  <si>
    <t>11/02-19</t>
  </si>
  <si>
    <t>05/02-19</t>
  </si>
  <si>
    <t>25/02-19</t>
  </si>
  <si>
    <t>15.02.2019 № 12-19</t>
  </si>
  <si>
    <t>07/02-19</t>
  </si>
  <si>
    <t>15.02.2019 № 78-19</t>
  </si>
  <si>
    <t>АБ "Бойчука Костянтина"</t>
  </si>
  <si>
    <t>11.02.2019 № 10-19</t>
  </si>
  <si>
    <t>14/02-19</t>
  </si>
  <si>
    <t>15.02.2019 № 03-19</t>
  </si>
  <si>
    <t>19/02-19</t>
  </si>
  <si>
    <t>28.01.2019 № 89-19</t>
  </si>
  <si>
    <t>АБ "Іващенко Ірини"</t>
  </si>
  <si>
    <t>11.02.2019 № 20-19</t>
  </si>
  <si>
    <t>АБ "Марії Кравчені"</t>
  </si>
  <si>
    <t>11.02.2019 № 86-19</t>
  </si>
  <si>
    <t>15.02.2019 № 76-19</t>
  </si>
  <si>
    <t>11.02.2019 № 40-19</t>
  </si>
  <si>
    <t>АБ "Правова допомога Кульпача В.М."</t>
  </si>
  <si>
    <t>11.02.2019 № 104-19</t>
  </si>
  <si>
    <t>11.02.2019 № 27-19</t>
  </si>
  <si>
    <t>15.02.2019 № 61-19</t>
  </si>
  <si>
    <t>15.02.2019 № 62-19</t>
  </si>
  <si>
    <t>19.02.2019 №5/03-17</t>
  </si>
  <si>
    <t>37/02-19</t>
  </si>
  <si>
    <t>АБ "Бірук Тетяни Борисівни"</t>
  </si>
  <si>
    <t>19.02.2019 № 26-19</t>
  </si>
  <si>
    <t>19.02.2019 № 66-19</t>
  </si>
  <si>
    <t>АБ Остапенка Володимира Сергійовича</t>
  </si>
  <si>
    <t>АБ Войтюк Тетяни Леонідівни</t>
  </si>
  <si>
    <t>12.02.2019 № 07-19</t>
  </si>
  <si>
    <t>18.02.2019 № 22-19</t>
  </si>
  <si>
    <t>АБ "Правова допомога Денисюка"</t>
  </si>
  <si>
    <t>18.02.2019 № 43-19</t>
  </si>
  <si>
    <t>44/02-19</t>
  </si>
  <si>
    <t>46/02-19</t>
  </si>
  <si>
    <t>АБ Володимира Рідченка</t>
  </si>
  <si>
    <t>15.02.2019 № 64-19</t>
  </si>
  <si>
    <t>19.02.2019 №2/03-17</t>
  </si>
  <si>
    <t>19.02.2019 № 58-19</t>
  </si>
  <si>
    <t>21.02.2019 № 24-19</t>
  </si>
  <si>
    <t>19.02.2019 №1/03-17</t>
  </si>
  <si>
    <t>38/02-19</t>
  </si>
  <si>
    <t>48/02-19</t>
  </si>
  <si>
    <t xml:space="preserve">АБ "Ганни Лазарчук" </t>
  </si>
  <si>
    <t>21.02.2019 № 73-19</t>
  </si>
  <si>
    <t>52/02-19</t>
  </si>
  <si>
    <t>40/02-19</t>
  </si>
  <si>
    <t>43/02-19</t>
  </si>
  <si>
    <t>АБ Луцик Катерини Василівни</t>
  </si>
  <si>
    <t>19.02.2019 № 05-19</t>
  </si>
  <si>
    <t>АБ "Віталія Семейка"</t>
  </si>
  <si>
    <t>15.02.2019 № 21-19</t>
  </si>
  <si>
    <t>18.02.2019 № 88-19</t>
  </si>
  <si>
    <t>32/02-19</t>
  </si>
  <si>
    <t>19.02.2019 № 15-19</t>
  </si>
  <si>
    <t>18.02.2019 № 25-19</t>
  </si>
  <si>
    <t>АБ "Меркулов та партнери"</t>
  </si>
  <si>
    <t>18.02.2019 № 108-19</t>
  </si>
  <si>
    <t>АБ Михальця  Геннадія Вікторовича</t>
  </si>
  <si>
    <t>18.02.2019 № 38-19</t>
  </si>
  <si>
    <t>19.02.2019 №7/03-17</t>
  </si>
  <si>
    <t>АБ Негрея Олександра Михайловича</t>
  </si>
  <si>
    <t>11.02.2019 № 67-19</t>
  </si>
  <si>
    <t>30/02-19</t>
  </si>
  <si>
    <t>41/02-19</t>
  </si>
  <si>
    <t>11.02.2019 № 17-19</t>
  </si>
  <si>
    <t>АБ "Віктора Шевчука"</t>
  </si>
  <si>
    <t>15.02.2019 № 79-19</t>
  </si>
  <si>
    <t>27/02-19</t>
  </si>
  <si>
    <t>АБ "Павлюк Ірини"</t>
  </si>
  <si>
    <t>19.02.2019 № 77-19</t>
  </si>
  <si>
    <t>18.02.2019 № 55-19</t>
  </si>
  <si>
    <t>19.02.2019 № 30-19</t>
  </si>
  <si>
    <t>42/02-19</t>
  </si>
  <si>
    <t>АБ Петрука Олексія Володимировича</t>
  </si>
  <si>
    <t>АБ Пилипів Іван Ігорович</t>
  </si>
  <si>
    <t>18.02.2019 № 14-19</t>
  </si>
  <si>
    <t>34/02-19</t>
  </si>
  <si>
    <t>19.02.2019 №6/03-17</t>
  </si>
  <si>
    <t>АБ "Рюрикович та партнери"</t>
  </si>
  <si>
    <t>18.02.2019 № 50-19</t>
  </si>
  <si>
    <t>49/02-19</t>
  </si>
  <si>
    <t>50/02-19</t>
  </si>
  <si>
    <t>47/02-19</t>
  </si>
  <si>
    <t>53/02-19</t>
  </si>
  <si>
    <t>АБ "Симончука Івана Івановича"</t>
  </si>
  <si>
    <t>19.02.2019 №4/03-17</t>
  </si>
  <si>
    <t>19.02.2019 №3/03-17</t>
  </si>
  <si>
    <t>15.03.2016 № 67-16</t>
  </si>
  <si>
    <t>28/02-19</t>
  </si>
  <si>
    <t>19.02.2019 № 04-19</t>
  </si>
  <si>
    <t>51/02-19</t>
  </si>
  <si>
    <t>33/02-19</t>
  </si>
  <si>
    <t>39/02-19</t>
  </si>
  <si>
    <t>45/02-19</t>
  </si>
  <si>
    <t>29/02-19</t>
  </si>
  <si>
    <t>36/02-19</t>
  </si>
  <si>
    <t>35/02-19</t>
  </si>
  <si>
    <t>31/02-19</t>
  </si>
  <si>
    <t>22.03.2019 № 06-19</t>
  </si>
  <si>
    <t>22.03.2019 № 45-19</t>
  </si>
  <si>
    <t>28.03.2019 № 72-19</t>
  </si>
  <si>
    <t>АБ Олексія Бурми "Крікс"</t>
  </si>
  <si>
    <t>22.03.2019 № 69-19</t>
  </si>
  <si>
    <t>Воронюк Катерина Юріївна</t>
  </si>
  <si>
    <t>Гончаренко Олена Анатоліївна</t>
  </si>
  <si>
    <t>22.03.2019 № 85-19</t>
  </si>
  <si>
    <t>28.03.2019 № 33-19</t>
  </si>
  <si>
    <t>Дупак Валентин Германович</t>
  </si>
  <si>
    <t>Єрьомкін Ігор Володимирович</t>
  </si>
  <si>
    <t>АБ "Жилінська Тетяна Петрівна"</t>
  </si>
  <si>
    <t>28.03.2019 № 101-19</t>
  </si>
  <si>
    <t>Казбулатова Оксана Миколаївна</t>
  </si>
  <si>
    <t>22.03.2019 № 28-19</t>
  </si>
  <si>
    <t>Наконечна Дарія Олексіївна</t>
  </si>
  <si>
    <t>28.03.2019 № 68-19</t>
  </si>
  <si>
    <t>АБ "Парчук Правничі послуги"</t>
  </si>
  <si>
    <t>22.03.2019 № 109-19</t>
  </si>
  <si>
    <t>АБ Ірини Пашкевич</t>
  </si>
  <si>
    <t>22.03.2019 № 99-19</t>
  </si>
  <si>
    <t>Поліщук Тетяна Сергіївна</t>
  </si>
  <si>
    <t>АБ "Валентина Саморокова"</t>
  </si>
  <si>
    <t>22.03.2019 № 44-19</t>
  </si>
  <si>
    <t>27.03.2019 № 92-19</t>
  </si>
  <si>
    <t>28.03.2019 № 01-19</t>
  </si>
  <si>
    <t>Тарасюк Юрій Миколайович</t>
  </si>
  <si>
    <t>22.03.2019 № 32-19</t>
  </si>
  <si>
    <t>28.03.2019 № 35-19</t>
  </si>
  <si>
    <t>АБ "Олена Шеруда"</t>
  </si>
  <si>
    <t>28.03.2019 № 16-19</t>
  </si>
  <si>
    <t>28.03.2019 № 49-19</t>
  </si>
  <si>
    <t>28.03.2019 № 71-19</t>
  </si>
  <si>
    <t>АБ "Яскевича Фодора Олександровича"</t>
  </si>
  <si>
    <t>смт. Зарічне</t>
  </si>
  <si>
    <t>22.03.2019 № 81-19</t>
  </si>
  <si>
    <t>АБ "Воронюк Катерини"</t>
  </si>
  <si>
    <t>27.03.2019 № 110-19</t>
  </si>
  <si>
    <t>Гай Ігор Миколайович</t>
  </si>
  <si>
    <t>м. Дубно</t>
  </si>
  <si>
    <t>27.03.2019 № 74-19</t>
  </si>
  <si>
    <t>АБ "Дупака Валентина Германовича"</t>
  </si>
  <si>
    <t>27.03.2019 № 70-19</t>
  </si>
  <si>
    <t>АБ "Єрьомкін і КО"</t>
  </si>
  <si>
    <t>27.03.2019 № 114-19</t>
  </si>
  <si>
    <t>АБ "Іовчик О.А."</t>
  </si>
  <si>
    <t>04.04.2019 № 96-19</t>
  </si>
  <si>
    <t>04.04.2019 № 47-19</t>
  </si>
  <si>
    <t>Калабський Сергій Володимирович</t>
  </si>
  <si>
    <t>м. Острог</t>
  </si>
  <si>
    <t>27.03.2019 № 112-19</t>
  </si>
  <si>
    <t>28.03.2017 № 76-17</t>
  </si>
  <si>
    <t>04.04.2019 № 59-19</t>
  </si>
  <si>
    <t>Водоп'ян Тетяна Вікторівна</t>
  </si>
  <si>
    <t>04.04.2019 № 91-19</t>
  </si>
  <si>
    <t>04.04.2019 № 57-19</t>
  </si>
  <si>
    <t>11.04.2019 № 90-19</t>
  </si>
  <si>
    <t>АБ "Оксани Казбулатової"</t>
  </si>
  <si>
    <t>09.04.2019 № 105-19</t>
  </si>
  <si>
    <t>04.04.2019 № 37-19</t>
  </si>
  <si>
    <t>11.04.2019 № 103-19</t>
  </si>
  <si>
    <t>Пасічник Юрій Олександрович</t>
  </si>
  <si>
    <t>27.03.2019 № 87-19</t>
  </si>
  <si>
    <t>АБ "Перетятко А.Л."</t>
  </si>
  <si>
    <t>05.04.2019 № 106-19</t>
  </si>
  <si>
    <t>27.03.2019 № 100-19</t>
  </si>
  <si>
    <t>АО "Редзель і партнери"</t>
  </si>
  <si>
    <t>04.04.2019 № 75-19</t>
  </si>
  <si>
    <t>04.04.2019 № 51-19</t>
  </si>
  <si>
    <t>04.04.2019 № 39-19</t>
  </si>
  <si>
    <t>АО "Центр юридичних послуг"</t>
  </si>
  <si>
    <t>27.03.2019 № 54-19</t>
  </si>
  <si>
    <t>Петриченко Олександр Романович</t>
  </si>
  <si>
    <t>Томілович Микола Іванович</t>
  </si>
  <si>
    <t>27.03.2019 № 63-19</t>
  </si>
  <si>
    <t>АБ "Цісар Ірина Валентинівна"</t>
  </si>
  <si>
    <t>04.04.2019 № 115-19</t>
  </si>
  <si>
    <t>Феськов Олександр Петрович</t>
  </si>
  <si>
    <t>Якубець Микола Костянтинович</t>
  </si>
  <si>
    <t>11.04.2019 № 95-19</t>
  </si>
  <si>
    <t>АБ "Богельського Ігоря Володимировича"</t>
  </si>
  <si>
    <t>АБ "Тетяни Водоп'ян"</t>
  </si>
  <si>
    <t>17.04.2019 № 116-19</t>
  </si>
  <si>
    <t>АБ "Максимчук В.М. і партнери"</t>
  </si>
  <si>
    <t>22.04.2019 № 80-19</t>
  </si>
  <si>
    <t>17.04.2019 № 113-19</t>
  </si>
  <si>
    <t>62401.06</t>
  </si>
  <si>
    <t>АБ "Якубець та партнери"</t>
  </si>
  <si>
    <t>11.04.2019 № 98-19</t>
  </si>
  <si>
    <t>АБ "Світлана Ярема"</t>
  </si>
  <si>
    <t>23.04.2019 № 102-19</t>
  </si>
  <si>
    <t>07.05.2019 № 42-19</t>
  </si>
  <si>
    <t>27.05.2019 № 48-19</t>
  </si>
  <si>
    <t>Стельмащук Дмитро Михайлович</t>
  </si>
  <si>
    <t>24.05.2019 № 46-19</t>
  </si>
  <si>
    <t xml:space="preserve"> </t>
  </si>
  <si>
    <t>АБ "Осики Юрія Петровича"</t>
  </si>
  <si>
    <t>18.06.2019 № 82-19</t>
  </si>
  <si>
    <t>м. Гоща</t>
  </si>
  <si>
    <t>25.06.2019 № 29-19</t>
  </si>
  <si>
    <t>19.06.2019 № 65-19</t>
  </si>
  <si>
    <t>19.06.2019 № 56-19</t>
  </si>
  <si>
    <t>Савурко Олександр Володимирович</t>
  </si>
  <si>
    <t>АБ "Савурко Олександр Володимирович"</t>
  </si>
  <si>
    <t>АБ "Івана Юхимчука"</t>
  </si>
  <si>
    <t>10.07.2019 № 119-19</t>
  </si>
  <si>
    <t>Артерчук Лілія Володимирівна</t>
  </si>
  <si>
    <t>АО "Кодекс-Груп"</t>
  </si>
  <si>
    <t>17.07.2019 № 93-19</t>
  </si>
  <si>
    <t>АБ "Ігоря Байди Ай Бі Груп"</t>
  </si>
  <si>
    <t>14.05.2019 № 117-19</t>
  </si>
  <si>
    <t>17.07.2019 № 83-19</t>
  </si>
  <si>
    <t>Музика-Дубравський Василь Анатолійович</t>
  </si>
  <si>
    <t>17.07.2019 № 94-19</t>
  </si>
  <si>
    <t>72/02-19</t>
  </si>
  <si>
    <t>01.08.2019 № 118-19</t>
  </si>
  <si>
    <t>17.07.2019 № 121-19</t>
  </si>
  <si>
    <t>АБ "Ольги Шминдрук"</t>
  </si>
  <si>
    <t>09.08.2019 № 120-19</t>
  </si>
  <si>
    <t xml:space="preserve">АБ </t>
  </si>
  <si>
    <t>АБ "Таборовець та партнери"</t>
  </si>
  <si>
    <t>06.08.2019 № 36-19</t>
  </si>
  <si>
    <t>АБ "Філатової Алли Валеріївни "Захід-Партнер"</t>
  </si>
  <si>
    <t>06.08.2019 № 08-19</t>
  </si>
  <si>
    <t>19/03-17</t>
  </si>
  <si>
    <t>Секретар Оксана Леонідівна</t>
  </si>
  <si>
    <t>м.Київ</t>
  </si>
  <si>
    <t>Голдзіцька Ольга Казимирівна</t>
  </si>
  <si>
    <t>Тихончук Леся Хотіївна</t>
  </si>
  <si>
    <t>АБ "Лесі Тихончук"</t>
  </si>
  <si>
    <t>28.08.2019 № 23-19</t>
  </si>
  <si>
    <t>26652,,2</t>
  </si>
  <si>
    <t>м.Львів</t>
  </si>
  <si>
    <t>19.03.2019 №15/03-17</t>
  </si>
  <si>
    <t>28.02.2019 №9/03-17</t>
  </si>
  <si>
    <t>101976.28</t>
  </si>
  <si>
    <t>10.04.2019 №18/03-17</t>
  </si>
  <si>
    <t>05.03.2019 №12/03-17</t>
  </si>
  <si>
    <t>25.03.2019 № 16/03-17</t>
  </si>
  <si>
    <t xml:space="preserve">     19.02.2019 № 7/03-17</t>
  </si>
  <si>
    <t>30.05.2019 №20/03-17</t>
  </si>
  <si>
    <t>19.03.2019 №14/03-17</t>
  </si>
  <si>
    <t>23.09.2019 №21/03-17</t>
  </si>
  <si>
    <t>05.03.2019 №11/03-17</t>
  </si>
  <si>
    <t>13.03.2019 №13/03-17</t>
  </si>
  <si>
    <t>28.02.2019 №10/03-17</t>
  </si>
  <si>
    <t>25.02.2019 №8/03-17</t>
  </si>
  <si>
    <t>10.04.2019 №17/03-17</t>
  </si>
  <si>
    <t>15.10.2019 №22/03-17</t>
  </si>
  <si>
    <t>04.12.2019 № 122-19</t>
  </si>
  <si>
    <t>Міщук Ірина Володимирівна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</si>
</sst>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;\(#,##0.00\)"/>
  </numFmts>
  <fonts count="13">
    <font>
      <sz val="11"/>
      <color rgb="FF000000"/>
      <name val="Calibri"/>
    </font>
    <font>
      <b/>
      <sz val="11"/>
      <color rgb="FF00000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sz val="11"/>
      <name val="Calibri"/>
    </font>
    <font>
      <i/>
      <sz val="11"/>
      <color rgb="FF000000"/>
      <name val="Calibri"/>
    </font>
    <font>
      <sz val="11"/>
      <name val="Calibri"/>
    </font>
    <font>
      <sz val="11"/>
      <color rgb="FF385623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1"/>
      <name val="Calibri"/>
    </font>
    <font>
      <sz val="11"/>
      <color rgb="FF000000"/>
      <name val="Calibri"/>
    </font>
    <font>
      <sz val="11"/>
      <color rgb="FF000000"/>
      <name val="Roboto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8D08D"/>
        <bgColor rgb="FFA8D08D"/>
      </patternFill>
    </fill>
  </fills>
  <borders count="9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07"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0" fillId="2" borderId="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horizontal="center" vertical="top" wrapText="1"/>
    </xf>
    <xf numFmtId="0" fontId="0" fillId="2" borderId="9" xfId="0" applyFont="1" applyFill="1" applyBorder="1" applyAlignment="1">
      <alignment horizontal="center" vertical="top" wrapText="1"/>
    </xf>
    <xf numFmtId="0" fontId="0" fillId="2" borderId="7" xfId="0" applyFont="1" applyFill="1" applyBorder="1" applyAlignment="1">
      <alignment horizontal="center" vertical="top" wrapText="1"/>
    </xf>
    <xf numFmtId="0" fontId="0" fillId="2" borderId="10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5" fillId="2" borderId="12" xfId="0" applyFont="1" applyFill="1" applyBorder="1" applyAlignment="1">
      <alignment horizontal="center" vertical="top" wrapText="1"/>
    </xf>
    <xf numFmtId="0" fontId="5" fillId="2" borderId="13" xfId="0" applyFont="1" applyFill="1" applyBorder="1" applyAlignment="1">
      <alignment horizontal="center" vertical="top" wrapText="1"/>
    </xf>
    <xf numFmtId="0" fontId="5" fillId="2" borderId="12" xfId="0" applyFont="1" applyFill="1" applyBorder="1" applyAlignment="1">
      <alignment horizontal="center" vertical="top" wrapText="1"/>
    </xf>
    <xf numFmtId="0" fontId="5" fillId="2" borderId="14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5" fillId="2" borderId="15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14" fontId="6" fillId="2" borderId="18" xfId="0" applyNumberFormat="1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18" xfId="0" applyFont="1" applyFill="1" applyBorder="1" applyAlignment="1">
      <alignment horizontal="center" vertical="center" wrapText="1"/>
    </xf>
    <xf numFmtId="2" fontId="0" fillId="2" borderId="18" xfId="0" applyNumberFormat="1" applyFont="1" applyFill="1" applyBorder="1" applyAlignment="1">
      <alignment horizontal="center" vertical="center" wrapText="1"/>
    </xf>
    <xf numFmtId="1" fontId="0" fillId="2" borderId="18" xfId="0" applyNumberFormat="1" applyFont="1" applyFill="1" applyBorder="1" applyAlignment="1">
      <alignment horizontal="center" vertical="center" wrapText="1"/>
    </xf>
    <xf numFmtId="2" fontId="0" fillId="2" borderId="20" xfId="0" applyNumberFormat="1" applyFont="1" applyFill="1" applyBorder="1" applyAlignment="1">
      <alignment horizontal="center" vertical="center" wrapText="1"/>
    </xf>
    <xf numFmtId="0" fontId="0" fillId="2" borderId="21" xfId="0" applyFont="1" applyFill="1" applyBorder="1" applyAlignment="1">
      <alignment horizontal="center" vertical="center" wrapText="1"/>
    </xf>
    <xf numFmtId="2" fontId="0" fillId="2" borderId="18" xfId="0" applyNumberFormat="1" applyFont="1" applyFill="1" applyBorder="1" applyAlignment="1">
      <alignment horizontal="center" vertical="center" wrapText="1"/>
    </xf>
    <xf numFmtId="2" fontId="0" fillId="2" borderId="2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 wrapText="1"/>
    </xf>
    <xf numFmtId="0" fontId="0" fillId="2" borderId="25" xfId="0" applyFont="1" applyFill="1" applyBorder="1" applyAlignment="1">
      <alignment horizontal="center" vertical="center" wrapText="1"/>
    </xf>
    <xf numFmtId="2" fontId="0" fillId="2" borderId="25" xfId="0" applyNumberFormat="1" applyFont="1" applyFill="1" applyBorder="1" applyAlignment="1">
      <alignment horizontal="center" vertical="center" wrapText="1"/>
    </xf>
    <xf numFmtId="1" fontId="0" fillId="2" borderId="25" xfId="0" applyNumberFormat="1" applyFont="1" applyFill="1" applyBorder="1" applyAlignment="1">
      <alignment horizontal="center" vertical="center" wrapText="1"/>
    </xf>
    <xf numFmtId="2" fontId="0" fillId="2" borderId="15" xfId="0" applyNumberFormat="1" applyFont="1" applyFill="1" applyBorder="1" applyAlignment="1">
      <alignment horizontal="center" vertical="center" wrapText="1"/>
    </xf>
    <xf numFmtId="0" fontId="0" fillId="2" borderId="28" xfId="0" applyFont="1" applyFill="1" applyBorder="1" applyAlignment="1">
      <alignment horizontal="center" vertical="center" wrapText="1"/>
    </xf>
    <xf numFmtId="2" fontId="0" fillId="2" borderId="12" xfId="0" applyNumberFormat="1" applyFont="1" applyFill="1" applyBorder="1" applyAlignment="1">
      <alignment horizontal="center" vertical="center" wrapText="1"/>
    </xf>
    <xf numFmtId="1" fontId="0" fillId="2" borderId="12" xfId="0" applyNumberFormat="1" applyFont="1" applyFill="1" applyBorder="1" applyAlignment="1">
      <alignment horizontal="center" vertical="center" wrapText="1"/>
    </xf>
    <xf numFmtId="2" fontId="0" fillId="2" borderId="14" xfId="0" applyNumberFormat="1" applyFont="1" applyFill="1" applyBorder="1" applyAlignment="1">
      <alignment horizontal="center" vertical="center" wrapText="1"/>
    </xf>
    <xf numFmtId="14" fontId="6" fillId="2" borderId="31" xfId="0" applyNumberFormat="1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 wrapText="1"/>
    </xf>
    <xf numFmtId="2" fontId="0" fillId="2" borderId="31" xfId="0" applyNumberFormat="1" applyFont="1" applyFill="1" applyBorder="1" applyAlignment="1">
      <alignment horizontal="center" vertical="center" wrapText="1"/>
    </xf>
    <xf numFmtId="1" fontId="0" fillId="2" borderId="31" xfId="0" applyNumberFormat="1" applyFont="1" applyFill="1" applyBorder="1" applyAlignment="1">
      <alignment horizontal="center" vertical="center" wrapText="1"/>
    </xf>
    <xf numFmtId="2" fontId="0" fillId="2" borderId="34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 wrapText="1"/>
    </xf>
    <xf numFmtId="2" fontId="0" fillId="2" borderId="26" xfId="0" applyNumberFormat="1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8" xfId="0" applyFont="1" applyFill="1" applyBorder="1" applyAlignment="1">
      <alignment horizontal="center" vertical="center" wrapText="1"/>
    </xf>
    <xf numFmtId="0" fontId="0" fillId="2" borderId="22" xfId="0" applyFont="1" applyFill="1" applyBorder="1" applyAlignment="1">
      <alignment horizontal="center" vertical="center" wrapText="1"/>
    </xf>
    <xf numFmtId="0" fontId="0" fillId="2" borderId="38" xfId="0" applyFont="1" applyFill="1" applyBorder="1" applyAlignment="1">
      <alignment horizontal="center" vertical="center" wrapText="1"/>
    </xf>
    <xf numFmtId="2" fontId="0" fillId="2" borderId="31" xfId="0" applyNumberFormat="1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horizontal="center" vertical="center" wrapText="1"/>
    </xf>
    <xf numFmtId="2" fontId="0" fillId="2" borderId="25" xfId="0" applyNumberFormat="1" applyFont="1" applyFill="1" applyBorder="1" applyAlignment="1">
      <alignment horizontal="center" vertical="center" wrapText="1"/>
    </xf>
    <xf numFmtId="0" fontId="0" fillId="2" borderId="39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0" fillId="2" borderId="41" xfId="0" applyFont="1" applyFill="1" applyBorder="1" applyAlignment="1">
      <alignment horizontal="center" vertical="center" wrapText="1"/>
    </xf>
    <xf numFmtId="14" fontId="6" fillId="2" borderId="42" xfId="0" applyNumberFormat="1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0" fillId="2" borderId="47" xfId="0" applyFont="1" applyFill="1" applyBorder="1" applyAlignment="1">
      <alignment horizontal="center" vertical="center" wrapText="1"/>
    </xf>
    <xf numFmtId="2" fontId="0" fillId="2" borderId="42" xfId="0" applyNumberFormat="1" applyFont="1" applyFill="1" applyBorder="1" applyAlignment="1">
      <alignment horizontal="center" vertical="center" wrapText="1"/>
    </xf>
    <xf numFmtId="1" fontId="0" fillId="2" borderId="42" xfId="0" applyNumberFormat="1" applyFont="1" applyFill="1" applyBorder="1" applyAlignment="1">
      <alignment horizontal="center" vertical="center" wrapText="1"/>
    </xf>
    <xf numFmtId="2" fontId="0" fillId="2" borderId="42" xfId="0" applyNumberFormat="1" applyFont="1" applyFill="1" applyBorder="1" applyAlignment="1">
      <alignment horizontal="center" vertical="center" wrapText="1"/>
    </xf>
    <xf numFmtId="2" fontId="0" fillId="2" borderId="48" xfId="0" applyNumberFormat="1" applyFont="1" applyFill="1" applyBorder="1" applyAlignment="1">
      <alignment horizontal="center" vertical="center" wrapText="1"/>
    </xf>
    <xf numFmtId="14" fontId="6" fillId="2" borderId="24" xfId="0" applyNumberFormat="1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>
      <alignment horizontal="center" vertical="center" wrapText="1"/>
    </xf>
    <xf numFmtId="2" fontId="0" fillId="2" borderId="24" xfId="0" applyNumberFormat="1" applyFont="1" applyFill="1" applyBorder="1" applyAlignment="1">
      <alignment horizontal="center" vertical="center" wrapText="1"/>
    </xf>
    <xf numFmtId="1" fontId="0" fillId="2" borderId="24" xfId="0" applyNumberFormat="1" applyFont="1" applyFill="1" applyBorder="1" applyAlignment="1">
      <alignment horizontal="center" vertical="center" wrapText="1"/>
    </xf>
    <xf numFmtId="2" fontId="0" fillId="2" borderId="50" xfId="0" applyNumberFormat="1" applyFont="1" applyFill="1" applyBorder="1" applyAlignment="1">
      <alignment horizontal="center" vertical="center" wrapText="1"/>
    </xf>
    <xf numFmtId="0" fontId="0" fillId="2" borderId="51" xfId="0" applyFont="1" applyFill="1" applyBorder="1" applyAlignment="1">
      <alignment horizontal="center" vertical="center" wrapText="1"/>
    </xf>
    <xf numFmtId="2" fontId="0" fillId="2" borderId="41" xfId="0" applyNumberFormat="1" applyFont="1" applyFill="1" applyBorder="1" applyAlignment="1">
      <alignment horizontal="center" vertical="center" wrapText="1"/>
    </xf>
    <xf numFmtId="1" fontId="0" fillId="2" borderId="41" xfId="0" applyNumberFormat="1" applyFont="1" applyFill="1" applyBorder="1" applyAlignment="1">
      <alignment horizontal="center" vertical="center" wrapText="1"/>
    </xf>
    <xf numFmtId="2" fontId="0" fillId="2" borderId="41" xfId="0" applyNumberFormat="1" applyFont="1" applyFill="1" applyBorder="1" applyAlignment="1">
      <alignment horizontal="center" vertical="center" wrapText="1"/>
    </xf>
    <xf numFmtId="2" fontId="0" fillId="2" borderId="52" xfId="0" applyNumberFormat="1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/>
    </xf>
    <xf numFmtId="0" fontId="0" fillId="2" borderId="42" xfId="0" applyFont="1" applyFill="1" applyBorder="1" applyAlignment="1">
      <alignment horizontal="center" vertical="center" wrapText="1"/>
    </xf>
    <xf numFmtId="2" fontId="0" fillId="2" borderId="54" xfId="0" applyNumberFormat="1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2" fontId="0" fillId="2" borderId="55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4" fontId="6" fillId="2" borderId="25" xfId="0" applyNumberFormat="1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0" fillId="2" borderId="33" xfId="0" applyFont="1" applyFill="1" applyBorder="1" applyAlignment="1">
      <alignment horizontal="center" vertical="center" wrapText="1"/>
    </xf>
    <xf numFmtId="2" fontId="0" fillId="2" borderId="56" xfId="0" applyNumberFormat="1" applyFont="1" applyFill="1" applyBorder="1" applyAlignment="1">
      <alignment horizontal="center" vertical="center" wrapText="1"/>
    </xf>
    <xf numFmtId="14" fontId="6" fillId="2" borderId="57" xfId="0" applyNumberFormat="1" applyFont="1" applyFill="1" applyBorder="1" applyAlignment="1">
      <alignment horizontal="center" vertical="center" wrapText="1"/>
    </xf>
    <xf numFmtId="0" fontId="6" fillId="2" borderId="58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2" fontId="0" fillId="2" borderId="12" xfId="0" applyNumberFormat="1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horizontal="center" vertical="center" wrapText="1"/>
    </xf>
    <xf numFmtId="0" fontId="6" fillId="2" borderId="58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 wrapText="1"/>
    </xf>
    <xf numFmtId="0" fontId="0" fillId="2" borderId="5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14" fontId="6" fillId="2" borderId="12" xfId="0" applyNumberFormat="1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1" fontId="0" fillId="2" borderId="57" xfId="0" applyNumberFormat="1" applyFont="1" applyFill="1" applyBorder="1" applyAlignment="1">
      <alignment horizontal="center" vertical="center" wrapText="1"/>
    </xf>
    <xf numFmtId="2" fontId="0" fillId="2" borderId="57" xfId="0" applyNumberFormat="1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0" fillId="0" borderId="61" xfId="0" applyFont="1" applyBorder="1" applyAlignment="1">
      <alignment horizontal="left"/>
    </xf>
    <xf numFmtId="0" fontId="6" fillId="2" borderId="58" xfId="0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center" vertical="center" wrapText="1"/>
    </xf>
    <xf numFmtId="0" fontId="6" fillId="2" borderId="57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6" fillId="0" borderId="61" xfId="0" applyFont="1" applyBorder="1" applyAlignment="1">
      <alignment horizontal="center"/>
    </xf>
    <xf numFmtId="1" fontId="6" fillId="0" borderId="61" xfId="0" applyNumberFormat="1" applyFont="1" applyBorder="1" applyAlignment="1">
      <alignment horizontal="center"/>
    </xf>
    <xf numFmtId="0" fontId="0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2" fontId="0" fillId="2" borderId="8" xfId="0" applyNumberFormat="1" applyFont="1" applyFill="1" applyBorder="1" applyAlignment="1">
      <alignment horizontal="center" vertical="center" wrapText="1"/>
    </xf>
    <xf numFmtId="1" fontId="0" fillId="2" borderId="8" xfId="0" applyNumberFormat="1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wrapText="1"/>
    </xf>
    <xf numFmtId="0" fontId="6" fillId="2" borderId="26" xfId="0" applyFont="1" applyFill="1" applyBorder="1" applyAlignment="1">
      <alignment horizontal="center" wrapText="1"/>
    </xf>
    <xf numFmtId="0" fontId="7" fillId="2" borderId="58" xfId="0" applyFont="1" applyFill="1" applyBorder="1" applyAlignment="1">
      <alignment horizontal="center" vertical="center" wrapText="1"/>
    </xf>
    <xf numFmtId="1" fontId="0" fillId="2" borderId="62" xfId="0" applyNumberFormat="1" applyFont="1" applyFill="1" applyBorder="1" applyAlignment="1">
      <alignment horizontal="center" vertical="center" wrapText="1"/>
    </xf>
    <xf numFmtId="2" fontId="0" fillId="2" borderId="62" xfId="0" applyNumberFormat="1" applyFont="1" applyFill="1" applyBorder="1" applyAlignment="1">
      <alignment horizontal="center" vertical="center" wrapText="1"/>
    </xf>
    <xf numFmtId="0" fontId="0" fillId="2" borderId="18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horizontal="center" vertical="center" wrapText="1"/>
    </xf>
    <xf numFmtId="0" fontId="0" fillId="2" borderId="3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2" fontId="0" fillId="2" borderId="8" xfId="0" applyNumberFormat="1" applyFont="1" applyFill="1" applyBorder="1" applyAlignment="1">
      <alignment horizontal="center" vertical="center" wrapText="1"/>
    </xf>
    <xf numFmtId="2" fontId="0" fillId="2" borderId="19" xfId="0" applyNumberFormat="1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0" borderId="63" xfId="0" applyFont="1" applyBorder="1" applyAlignment="1">
      <alignment horizontal="center"/>
    </xf>
    <xf numFmtId="2" fontId="6" fillId="2" borderId="18" xfId="0" applyNumberFormat="1" applyFont="1" applyFill="1" applyBorder="1" applyAlignment="1">
      <alignment horizontal="center" vertical="center" wrapText="1"/>
    </xf>
    <xf numFmtId="1" fontId="6" fillId="2" borderId="18" xfId="0" applyNumberFormat="1" applyFont="1" applyFill="1" applyBorder="1" applyAlignment="1">
      <alignment horizontal="center" vertical="center" wrapText="1"/>
    </xf>
    <xf numFmtId="2" fontId="6" fillId="2" borderId="25" xfId="0" applyNumberFormat="1" applyFont="1" applyFill="1" applyBorder="1" applyAlignment="1">
      <alignment horizontal="center" vertical="center" wrapText="1"/>
    </xf>
    <xf numFmtId="1" fontId="6" fillId="2" borderId="25" xfId="0" applyNumberFormat="1" applyFont="1" applyFill="1" applyBorder="1" applyAlignment="1">
      <alignment horizontal="center" vertical="center" wrapText="1"/>
    </xf>
    <xf numFmtId="2" fontId="6" fillId="2" borderId="31" xfId="0" applyNumberFormat="1" applyFont="1" applyFill="1" applyBorder="1" applyAlignment="1">
      <alignment horizontal="center" vertical="center" wrapText="1"/>
    </xf>
    <xf numFmtId="1" fontId="6" fillId="2" borderId="31" xfId="0" applyNumberFormat="1" applyFont="1" applyFill="1" applyBorder="1" applyAlignment="1">
      <alignment horizontal="center" vertical="center" wrapText="1"/>
    </xf>
    <xf numFmtId="0" fontId="1" fillId="2" borderId="66" xfId="0" applyFont="1" applyFill="1" applyBorder="1" applyAlignment="1">
      <alignment horizontal="center" vertical="center" wrapText="1"/>
    </xf>
    <xf numFmtId="0" fontId="0" fillId="2" borderId="62" xfId="0" applyFont="1" applyFill="1" applyBorder="1" applyAlignment="1">
      <alignment horizontal="center" vertical="center" wrapText="1"/>
    </xf>
    <xf numFmtId="14" fontId="6" fillId="2" borderId="62" xfId="0" applyNumberFormat="1" applyFont="1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 wrapText="1"/>
    </xf>
    <xf numFmtId="0" fontId="0" fillId="2" borderId="67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0" fontId="0" fillId="2" borderId="25" xfId="0" applyFont="1" applyFill="1" applyBorder="1" applyAlignment="1">
      <alignment horizontal="center" wrapText="1"/>
    </xf>
    <xf numFmtId="2" fontId="0" fillId="2" borderId="68" xfId="0" applyNumberFormat="1" applyFont="1" applyFill="1" applyBorder="1" applyAlignment="1">
      <alignment horizontal="center" wrapText="1"/>
    </xf>
    <xf numFmtId="0" fontId="6" fillId="2" borderId="2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wrapText="1"/>
    </xf>
    <xf numFmtId="0" fontId="1" fillId="0" borderId="24" xfId="0" applyFont="1" applyBorder="1" applyAlignment="1">
      <alignment horizontal="center" wrapText="1"/>
    </xf>
    <xf numFmtId="0" fontId="1" fillId="0" borderId="69" xfId="0" applyFont="1" applyBorder="1" applyAlignment="1">
      <alignment horizont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4" fontId="1" fillId="0" borderId="24" xfId="0" applyNumberFormat="1" applyFont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4" fontId="1" fillId="0" borderId="69" xfId="0" applyNumberFormat="1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4" fontId="1" fillId="0" borderId="71" xfId="0" applyNumberFormat="1" applyFont="1" applyBorder="1" applyAlignment="1">
      <alignment horizontal="center" vertical="center" wrapText="1"/>
    </xf>
    <xf numFmtId="4" fontId="1" fillId="0" borderId="72" xfId="0" applyNumberFormat="1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top" wrapText="1"/>
    </xf>
    <xf numFmtId="0" fontId="9" fillId="3" borderId="8" xfId="0" applyFont="1" applyFill="1" applyBorder="1" applyAlignment="1">
      <alignment horizontal="center" vertical="top" wrapText="1"/>
    </xf>
    <xf numFmtId="0" fontId="0" fillId="0" borderId="8" xfId="0" applyFont="1" applyBorder="1" applyAlignment="1">
      <alignment horizontal="center" wrapText="1"/>
    </xf>
    <xf numFmtId="1" fontId="0" fillId="0" borderId="8" xfId="0" applyNumberFormat="1" applyFont="1" applyBorder="1" applyAlignment="1">
      <alignment horizontal="center" wrapText="1"/>
    </xf>
    <xf numFmtId="164" fontId="6" fillId="0" borderId="8" xfId="0" applyNumberFormat="1" applyFont="1" applyBorder="1" applyAlignment="1">
      <alignment horizontal="center"/>
    </xf>
    <xf numFmtId="3" fontId="6" fillId="0" borderId="8" xfId="0" applyNumberFormat="1" applyFont="1" applyBorder="1" applyAlignment="1">
      <alignment horizontal="center"/>
    </xf>
    <xf numFmtId="164" fontId="0" fillId="0" borderId="8" xfId="0" applyNumberFormat="1" applyFont="1" applyBorder="1" applyAlignment="1">
      <alignment horizontal="center" wrapText="1"/>
    </xf>
    <xf numFmtId="1" fontId="1" fillId="0" borderId="8" xfId="0" applyNumberFormat="1" applyFont="1" applyBorder="1" applyAlignment="1">
      <alignment horizontal="center" wrapText="1"/>
    </xf>
    <xf numFmtId="164" fontId="1" fillId="0" borderId="8" xfId="0" applyNumberFormat="1" applyFont="1" applyBorder="1" applyAlignment="1">
      <alignment horizontal="center" wrapText="1"/>
    </xf>
    <xf numFmtId="3" fontId="1" fillId="0" borderId="8" xfId="0" applyNumberFormat="1" applyFont="1" applyBorder="1" applyAlignment="1">
      <alignment horizontal="center" wrapText="1"/>
    </xf>
    <xf numFmtId="3" fontId="10" fillId="0" borderId="8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2" borderId="24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1" fontId="0" fillId="2" borderId="18" xfId="0" applyNumberFormat="1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/>
    </xf>
    <xf numFmtId="0" fontId="6" fillId="2" borderId="77" xfId="0" applyFont="1" applyFill="1" applyBorder="1" applyAlignment="1">
      <alignment horizontal="center" vertical="center"/>
    </xf>
    <xf numFmtId="0" fontId="0" fillId="2" borderId="73" xfId="0" applyFont="1" applyFill="1" applyBorder="1" applyAlignment="1">
      <alignment horizontal="center" vertical="center" wrapText="1"/>
    </xf>
    <xf numFmtId="2" fontId="0" fillId="2" borderId="73" xfId="0" applyNumberFormat="1" applyFont="1" applyFill="1" applyBorder="1" applyAlignment="1">
      <alignment horizontal="center" vertical="center" wrapText="1"/>
    </xf>
    <xf numFmtId="1" fontId="0" fillId="2" borderId="73" xfId="0" applyNumberFormat="1" applyFont="1" applyFill="1" applyBorder="1" applyAlignment="1">
      <alignment horizontal="center" vertical="center" wrapText="1"/>
    </xf>
    <xf numFmtId="2" fontId="0" fillId="2" borderId="73" xfId="0" applyNumberFormat="1" applyFont="1" applyFill="1" applyBorder="1" applyAlignment="1">
      <alignment horizontal="center" vertical="center" wrapText="1"/>
    </xf>
    <xf numFmtId="2" fontId="0" fillId="2" borderId="78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6" fillId="2" borderId="79" xfId="0" applyFont="1" applyFill="1" applyBorder="1" applyAlignment="1">
      <alignment horizontal="center" vertical="center"/>
    </xf>
    <xf numFmtId="0" fontId="4" fillId="0" borderId="25" xfId="0" applyFont="1" applyBorder="1"/>
    <xf numFmtId="0" fontId="0" fillId="2" borderId="68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/>
    </xf>
    <xf numFmtId="2" fontId="0" fillId="2" borderId="80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2" fontId="0" fillId="2" borderId="14" xfId="0" applyNumberFormat="1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1" fontId="0" fillId="2" borderId="31" xfId="0" applyNumberFormat="1" applyFont="1" applyFill="1" applyBorder="1" applyAlignment="1">
      <alignment horizontal="center" vertical="center" wrapText="1"/>
    </xf>
    <xf numFmtId="2" fontId="0" fillId="2" borderId="22" xfId="0" applyNumberFormat="1" applyFont="1" applyFill="1" applyBorder="1" applyAlignment="1">
      <alignment horizontal="center" vertical="center" wrapText="1"/>
    </xf>
    <xf numFmtId="14" fontId="6" fillId="2" borderId="73" xfId="0" applyNumberFormat="1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/>
    </xf>
    <xf numFmtId="0" fontId="6" fillId="2" borderId="82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83" xfId="0" applyFont="1" applyFill="1" applyBorder="1" applyAlignment="1">
      <alignment horizontal="center" vertical="center"/>
    </xf>
    <xf numFmtId="0" fontId="0" fillId="2" borderId="41" xfId="0" applyFont="1" applyFill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2" fontId="0" fillId="2" borderId="15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1" fontId="0" fillId="2" borderId="0" xfId="0" applyNumberFormat="1" applyFont="1" applyFill="1" applyAlignment="1">
      <alignment horizontal="center"/>
    </xf>
    <xf numFmtId="0" fontId="6" fillId="2" borderId="57" xfId="0" applyFont="1" applyFill="1" applyBorder="1" applyAlignment="1">
      <alignment horizontal="center" vertical="center" wrapText="1"/>
    </xf>
    <xf numFmtId="0" fontId="0" fillId="2" borderId="37" xfId="0" applyFont="1" applyFill="1" applyBorder="1" applyAlignment="1">
      <alignment horizontal="center" vertical="center" wrapText="1"/>
    </xf>
    <xf numFmtId="2" fontId="0" fillId="2" borderId="57" xfId="0" applyNumberFormat="1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2" fontId="0" fillId="2" borderId="20" xfId="0" applyNumberFormat="1" applyFont="1" applyFill="1" applyBorder="1" applyAlignment="1">
      <alignment horizontal="center" vertical="center" wrapText="1"/>
    </xf>
    <xf numFmtId="2" fontId="6" fillId="2" borderId="31" xfId="0" applyNumberFormat="1" applyFont="1" applyFill="1" applyBorder="1" applyAlignment="1">
      <alignment horizontal="center" vertical="center" wrapText="1"/>
    </xf>
    <xf numFmtId="2" fontId="0" fillId="2" borderId="55" xfId="0" applyNumberFormat="1" applyFont="1" applyFill="1" applyBorder="1" applyAlignment="1">
      <alignment horizontal="center" vertical="center" wrapText="1"/>
    </xf>
    <xf numFmtId="0" fontId="0" fillId="2" borderId="25" xfId="0" applyFont="1" applyFill="1" applyBorder="1" applyAlignment="1">
      <alignment horizontal="center" wrapText="1"/>
    </xf>
    <xf numFmtId="2" fontId="0" fillId="2" borderId="68" xfId="0" applyNumberFormat="1" applyFont="1" applyFill="1" applyBorder="1" applyAlignment="1">
      <alignment horizontal="center" wrapText="1"/>
    </xf>
    <xf numFmtId="0" fontId="0" fillId="2" borderId="8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6" fillId="2" borderId="84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wrapText="1"/>
    </xf>
    <xf numFmtId="0" fontId="0" fillId="2" borderId="25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top" wrapText="1"/>
    </xf>
    <xf numFmtId="0" fontId="5" fillId="2" borderId="73" xfId="0" applyFont="1" applyFill="1" applyBorder="1" applyAlignment="1">
      <alignment horizontal="center" vertical="top" wrapText="1"/>
    </xf>
    <xf numFmtId="0" fontId="5" fillId="2" borderId="81" xfId="0" applyFont="1" applyFill="1" applyBorder="1" applyAlignment="1">
      <alignment horizontal="center" vertical="top" wrapText="1"/>
    </xf>
    <xf numFmtId="0" fontId="6" fillId="2" borderId="68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0" fillId="2" borderId="73" xfId="0" applyFont="1" applyFill="1" applyBorder="1" applyAlignment="1">
      <alignment horizontal="center" vertical="center" wrapText="1"/>
    </xf>
    <xf numFmtId="0" fontId="0" fillId="2" borderId="77" xfId="0" applyFont="1" applyFill="1" applyBorder="1" applyAlignment="1">
      <alignment horizontal="center" vertical="center" wrapText="1"/>
    </xf>
    <xf numFmtId="2" fontId="0" fillId="2" borderId="78" xfId="0" applyNumberFormat="1" applyFont="1" applyFill="1" applyBorder="1" applyAlignment="1">
      <alignment horizontal="center" vertical="center" wrapText="1"/>
    </xf>
    <xf numFmtId="2" fontId="0" fillId="2" borderId="85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0" fillId="2" borderId="42" xfId="0" applyFont="1" applyFill="1" applyBorder="1" applyAlignment="1">
      <alignment horizontal="center" vertical="center" wrapText="1"/>
    </xf>
    <xf numFmtId="0" fontId="0" fillId="2" borderId="44" xfId="0" applyFont="1" applyFill="1" applyBorder="1" applyAlignment="1">
      <alignment horizontal="center" vertical="center" wrapText="1"/>
    </xf>
    <xf numFmtId="1" fontId="0" fillId="2" borderId="42" xfId="0" applyNumberFormat="1" applyFont="1" applyFill="1" applyBorder="1" applyAlignment="1">
      <alignment horizontal="center" vertical="center" wrapText="1"/>
    </xf>
    <xf numFmtId="2" fontId="0" fillId="2" borderId="80" xfId="0" applyNumberFormat="1" applyFont="1" applyFill="1" applyBorder="1" applyAlignment="1">
      <alignment horizontal="center" vertical="center" wrapText="1"/>
    </xf>
    <xf numFmtId="1" fontId="0" fillId="2" borderId="12" xfId="0" applyNumberFormat="1" applyFont="1" applyFill="1" applyBorder="1" applyAlignment="1">
      <alignment horizontal="center" vertical="center" wrapText="1"/>
    </xf>
    <xf numFmtId="0" fontId="0" fillId="2" borderId="57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/>
    </xf>
    <xf numFmtId="0" fontId="0" fillId="2" borderId="77" xfId="0" applyFont="1" applyFill="1" applyBorder="1" applyAlignment="1">
      <alignment horizontal="center" vertical="center" wrapText="1"/>
    </xf>
    <xf numFmtId="2" fontId="0" fillId="2" borderId="81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68" xfId="0" applyFont="1" applyFill="1" applyBorder="1" applyAlignment="1">
      <alignment horizontal="center" vertical="center" wrapText="1"/>
    </xf>
    <xf numFmtId="0" fontId="0" fillId="2" borderId="44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/>
    </xf>
    <xf numFmtId="0" fontId="6" fillId="2" borderId="86" xfId="0" applyFont="1" applyFill="1" applyBorder="1" applyAlignment="1">
      <alignment horizontal="center" vertical="center"/>
    </xf>
    <xf numFmtId="0" fontId="0" fillId="2" borderId="84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/>
    </xf>
    <xf numFmtId="0" fontId="6" fillId="2" borderId="78" xfId="0" applyFont="1" applyFill="1" applyBorder="1" applyAlignment="1">
      <alignment horizontal="center" vertical="center"/>
    </xf>
    <xf numFmtId="0" fontId="6" fillId="2" borderId="84" xfId="0" applyFont="1" applyFill="1" applyBorder="1" applyAlignment="1">
      <alignment horizontal="center" vertical="center"/>
    </xf>
    <xf numFmtId="0" fontId="0" fillId="2" borderId="87" xfId="0" applyFont="1" applyFill="1" applyBorder="1" applyAlignment="1">
      <alignment horizontal="center" vertical="center" wrapText="1"/>
    </xf>
    <xf numFmtId="1" fontId="0" fillId="2" borderId="25" xfId="0" applyNumberFormat="1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" fontId="6" fillId="0" borderId="25" xfId="0" applyNumberFormat="1" applyFont="1" applyBorder="1" applyAlignment="1">
      <alignment horizontal="center"/>
    </xf>
    <xf numFmtId="0" fontId="6" fillId="2" borderId="81" xfId="0" applyFont="1" applyFill="1" applyBorder="1" applyAlignment="1">
      <alignment horizontal="center" vertical="center" wrapText="1"/>
    </xf>
    <xf numFmtId="1" fontId="0" fillId="2" borderId="73" xfId="0" applyNumberFormat="1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2" fontId="6" fillId="2" borderId="42" xfId="0" applyNumberFormat="1" applyFont="1" applyFill="1" applyBorder="1" applyAlignment="1">
      <alignment horizontal="center" vertical="center" wrapText="1"/>
    </xf>
    <xf numFmtId="1" fontId="6" fillId="2" borderId="42" xfId="0" applyNumberFormat="1" applyFont="1" applyFill="1" applyBorder="1" applyAlignment="1">
      <alignment horizontal="center" vertical="center" wrapText="1"/>
    </xf>
    <xf numFmtId="0" fontId="0" fillId="2" borderId="9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6" fillId="2" borderId="77" xfId="0" applyFont="1" applyFill="1" applyBorder="1" applyAlignment="1">
      <alignment horizontal="center" vertical="center" wrapText="1"/>
    </xf>
    <xf numFmtId="0" fontId="0" fillId="2" borderId="2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91" xfId="0" applyFont="1" applyFill="1" applyBorder="1" applyAlignment="1">
      <alignment horizontal="center" vertical="center"/>
    </xf>
    <xf numFmtId="0" fontId="6" fillId="2" borderId="77" xfId="0" applyFont="1" applyFill="1" applyBorder="1" applyAlignment="1">
      <alignment horizontal="center" vertical="center" wrapText="1"/>
    </xf>
    <xf numFmtId="0" fontId="0" fillId="2" borderId="47" xfId="0" applyFont="1" applyFill="1" applyBorder="1" applyAlignment="1">
      <alignment horizontal="center" vertical="center" wrapText="1"/>
    </xf>
    <xf numFmtId="0" fontId="0" fillId="2" borderId="87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/>
    </xf>
    <xf numFmtId="2" fontId="0" fillId="2" borderId="2" xfId="0" applyNumberFormat="1" applyFont="1" applyFill="1" applyBorder="1" applyAlignment="1">
      <alignment horizontal="center" vertical="center" wrapText="1"/>
    </xf>
    <xf numFmtId="2" fontId="0" fillId="2" borderId="79" xfId="0" applyNumberFormat="1" applyFont="1" applyFill="1" applyBorder="1" applyAlignment="1">
      <alignment horizontal="center" vertical="center" wrapText="1"/>
    </xf>
    <xf numFmtId="0" fontId="0" fillId="2" borderId="27" xfId="0" applyFont="1" applyFill="1" applyBorder="1" applyAlignment="1">
      <alignment horizontal="center" wrapText="1"/>
    </xf>
    <xf numFmtId="0" fontId="6" fillId="2" borderId="77" xfId="0" applyFont="1" applyFill="1" applyBorder="1" applyAlignment="1">
      <alignment horizontal="center" vertical="center"/>
    </xf>
    <xf numFmtId="2" fontId="0" fillId="2" borderId="19" xfId="0" applyNumberFormat="1" applyFont="1" applyFill="1" applyBorder="1" applyAlignment="1">
      <alignment horizontal="center" vertical="center" wrapText="1"/>
    </xf>
    <xf numFmtId="2" fontId="0" fillId="2" borderId="53" xfId="0" applyNumberFormat="1" applyFont="1" applyFill="1" applyBorder="1" applyAlignment="1">
      <alignment horizontal="center" vertical="center" wrapText="1"/>
    </xf>
    <xf numFmtId="2" fontId="0" fillId="2" borderId="54" xfId="0" applyNumberFormat="1" applyFont="1" applyFill="1" applyBorder="1" applyAlignment="1">
      <alignment horizontal="center" vertical="center" wrapText="1"/>
    </xf>
    <xf numFmtId="1" fontId="6" fillId="0" borderId="25" xfId="0" applyNumberFormat="1" applyFont="1" applyBorder="1" applyAlignment="1">
      <alignment horizontal="center"/>
    </xf>
    <xf numFmtId="1" fontId="0" fillId="2" borderId="57" xfId="0" applyNumberFormat="1" applyFont="1" applyFill="1" applyBorder="1" applyAlignment="1">
      <alignment horizontal="center" vertical="center" wrapText="1"/>
    </xf>
    <xf numFmtId="1" fontId="0" fillId="2" borderId="8" xfId="0" applyNumberFormat="1" applyFont="1" applyFill="1" applyBorder="1" applyAlignment="1">
      <alignment horizontal="center" vertical="center" wrapText="1"/>
    </xf>
    <xf numFmtId="2" fontId="6" fillId="2" borderId="25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6" fillId="2" borderId="31" xfId="0" applyNumberFormat="1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2" fontId="0" fillId="2" borderId="10" xfId="0" applyNumberFormat="1" applyFont="1" applyFill="1" applyBorder="1" applyAlignment="1">
      <alignment horizontal="center" vertical="center" wrapText="1"/>
    </xf>
    <xf numFmtId="0" fontId="0" fillId="2" borderId="92" xfId="0" applyFont="1" applyFill="1" applyBorder="1" applyAlignment="1">
      <alignment horizontal="center" vertical="center" wrapText="1"/>
    </xf>
    <xf numFmtId="0" fontId="4" fillId="0" borderId="0" xfId="0" applyFont="1" applyAlignment="1"/>
    <xf numFmtId="2" fontId="6" fillId="2" borderId="18" xfId="0" applyNumberFormat="1" applyFont="1" applyFill="1" applyBorder="1" applyAlignment="1">
      <alignment horizontal="center" vertical="center" wrapText="1"/>
    </xf>
    <xf numFmtId="1" fontId="6" fillId="2" borderId="18" xfId="0" applyNumberFormat="1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 wrapText="1"/>
    </xf>
    <xf numFmtId="1" fontId="0" fillId="2" borderId="41" xfId="0" applyNumberFormat="1" applyFont="1" applyFill="1" applyBorder="1" applyAlignment="1">
      <alignment horizontal="center" vertical="center" wrapText="1"/>
    </xf>
    <xf numFmtId="2" fontId="0" fillId="2" borderId="52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 wrapText="1"/>
    </xf>
    <xf numFmtId="2" fontId="0" fillId="2" borderId="48" xfId="0" applyNumberFormat="1" applyFont="1" applyFill="1" applyBorder="1" applyAlignment="1">
      <alignment horizontal="center" vertical="center" wrapText="1"/>
    </xf>
    <xf numFmtId="0" fontId="6" fillId="2" borderId="63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>
      <alignment horizontal="center" vertical="center" wrapText="1"/>
    </xf>
    <xf numFmtId="2" fontId="0" fillId="2" borderId="24" xfId="0" applyNumberFormat="1" applyFont="1" applyFill="1" applyBorder="1" applyAlignment="1">
      <alignment horizontal="center" vertical="center" wrapText="1"/>
    </xf>
    <xf numFmtId="1" fontId="0" fillId="2" borderId="24" xfId="0" applyNumberFormat="1" applyFont="1" applyFill="1" applyBorder="1" applyAlignment="1">
      <alignment horizontal="center" vertical="center" wrapText="1"/>
    </xf>
    <xf numFmtId="0" fontId="0" fillId="2" borderId="63" xfId="0" applyFont="1" applyFill="1" applyBorder="1" applyAlignment="1">
      <alignment horizontal="center" vertical="center" wrapText="1"/>
    </xf>
    <xf numFmtId="2" fontId="0" fillId="2" borderId="50" xfId="0" applyNumberFormat="1" applyFont="1" applyFill="1" applyBorder="1" applyAlignment="1">
      <alignment horizontal="center" vertical="center" wrapText="1"/>
    </xf>
    <xf numFmtId="1" fontId="6" fillId="2" borderId="25" xfId="0" applyNumberFormat="1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1" fontId="0" fillId="2" borderId="0" xfId="0" applyNumberFormat="1" applyFont="1" applyFill="1" applyAlignment="1">
      <alignment horizontal="center"/>
    </xf>
    <xf numFmtId="1" fontId="0" fillId="2" borderId="67" xfId="0" applyNumberFormat="1" applyFont="1" applyFill="1" applyBorder="1" applyAlignment="1">
      <alignment horizontal="center" vertical="center" wrapText="1"/>
    </xf>
    <xf numFmtId="2" fontId="0" fillId="2" borderId="67" xfId="0" applyNumberFormat="1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0" fillId="2" borderId="63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7" fillId="2" borderId="25" xfId="0" applyFont="1" applyFill="1" applyBorder="1" applyAlignment="1">
      <alignment horizontal="center" wrapText="1"/>
    </xf>
    <xf numFmtId="4" fontId="0" fillId="2" borderId="25" xfId="0" applyNumberFormat="1" applyFont="1" applyFill="1" applyBorder="1" applyAlignment="1">
      <alignment horizontal="center" vertical="center" wrapText="1"/>
    </xf>
    <xf numFmtId="2" fontId="0" fillId="2" borderId="36" xfId="0" applyNumberFormat="1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/>
    </xf>
    <xf numFmtId="2" fontId="0" fillId="2" borderId="8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0" fillId="0" borderId="0" xfId="0" applyFont="1" applyAlignment="1"/>
    <xf numFmtId="0" fontId="2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4" fillId="0" borderId="3" xfId="0" applyFont="1" applyBorder="1"/>
    <xf numFmtId="0" fontId="4" fillId="0" borderId="6" xfId="0" applyFont="1" applyBorder="1"/>
    <xf numFmtId="0" fontId="1" fillId="2" borderId="5" xfId="0" applyFont="1" applyFill="1" applyBorder="1" applyAlignment="1">
      <alignment horizontal="center" vertical="top" wrapText="1"/>
    </xf>
    <xf numFmtId="0" fontId="1" fillId="2" borderId="16" xfId="0" applyFont="1" applyFill="1" applyBorder="1" applyAlignment="1">
      <alignment horizontal="center" vertical="center" wrapText="1"/>
    </xf>
    <xf numFmtId="0" fontId="4" fillId="0" borderId="23" xfId="0" applyFont="1" applyBorder="1"/>
    <xf numFmtId="0" fontId="0" fillId="2" borderId="17" xfId="0" applyFont="1" applyFill="1" applyBorder="1" applyAlignment="1">
      <alignment horizontal="center" vertical="center" wrapText="1"/>
    </xf>
    <xf numFmtId="0" fontId="4" fillId="0" borderId="24" xfId="0" applyFont="1" applyBorder="1"/>
    <xf numFmtId="0" fontId="1" fillId="2" borderId="40" xfId="0" applyFont="1" applyFill="1" applyBorder="1" applyAlignment="1">
      <alignment horizontal="center" vertical="center" wrapText="1"/>
    </xf>
    <xf numFmtId="0" fontId="0" fillId="2" borderId="41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top" wrapText="1"/>
    </xf>
    <xf numFmtId="0" fontId="4" fillId="0" borderId="35" xfId="0" applyFont="1" applyBorder="1"/>
    <xf numFmtId="0" fontId="4" fillId="0" borderId="36" xfId="0" applyFont="1" applyBorder="1"/>
    <xf numFmtId="0" fontId="0" fillId="2" borderId="30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0" fillId="2" borderId="60" xfId="0" applyFont="1" applyFill="1" applyBorder="1" applyAlignment="1">
      <alignment horizontal="center" vertical="center" wrapText="1"/>
    </xf>
    <xf numFmtId="0" fontId="4" fillId="0" borderId="54" xfId="0" applyFont="1" applyBorder="1"/>
    <xf numFmtId="0" fontId="0" fillId="2" borderId="30" xfId="0" applyFont="1" applyFill="1" applyBorder="1" applyAlignment="1">
      <alignment horizontal="center" vertical="top" wrapText="1"/>
    </xf>
    <xf numFmtId="0" fontId="4" fillId="0" borderId="41" xfId="0" applyFont="1" applyBorder="1"/>
    <xf numFmtId="0" fontId="4" fillId="0" borderId="40" xfId="0" applyFont="1" applyBorder="1"/>
    <xf numFmtId="0" fontId="0" fillId="2" borderId="64" xfId="0" applyFont="1" applyFill="1" applyBorder="1" applyAlignment="1">
      <alignment horizontal="center" vertical="center" wrapText="1"/>
    </xf>
    <xf numFmtId="0" fontId="4" fillId="0" borderId="65" xfId="0" applyFont="1" applyBorder="1"/>
    <xf numFmtId="0" fontId="6" fillId="0" borderId="17" xfId="0" applyFont="1" applyBorder="1" applyAlignment="1">
      <alignment horizontal="center"/>
    </xf>
    <xf numFmtId="0" fontId="6" fillId="0" borderId="41" xfId="0" applyFont="1" applyBorder="1"/>
    <xf numFmtId="0" fontId="4" fillId="0" borderId="42" xfId="0" applyFont="1" applyBorder="1"/>
    <xf numFmtId="0" fontId="8" fillId="3" borderId="73" xfId="0" applyFont="1" applyFill="1" applyBorder="1" applyAlignment="1">
      <alignment horizontal="center" vertical="top" wrapText="1"/>
    </xf>
    <xf numFmtId="0" fontId="0" fillId="0" borderId="73" xfId="0" applyFont="1" applyBorder="1" applyAlignment="1">
      <alignment horizontal="center" wrapText="1"/>
    </xf>
    <xf numFmtId="0" fontId="8" fillId="3" borderId="74" xfId="0" applyFont="1" applyFill="1" applyBorder="1" applyAlignment="1">
      <alignment horizontal="center" vertical="top" wrapText="1"/>
    </xf>
    <xf numFmtId="0" fontId="4" fillId="0" borderId="75" xfId="0" applyFont="1" applyBorder="1"/>
    <xf numFmtId="0" fontId="4" fillId="0" borderId="76" xfId="0" applyFont="1" applyBorder="1"/>
    <xf numFmtId="0" fontId="1" fillId="2" borderId="2" xfId="0" applyFont="1" applyFill="1" applyBorder="1" applyAlignment="1">
      <alignment horizontal="center" vertical="top" wrapText="1"/>
    </xf>
    <xf numFmtId="0" fontId="4" fillId="0" borderId="4" xfId="0" applyFont="1" applyBorder="1"/>
    <xf numFmtId="0" fontId="0" fillId="2" borderId="41" xfId="0" applyFont="1" applyFill="1" applyBorder="1" applyAlignment="1">
      <alignment horizontal="center" vertical="top" wrapText="1"/>
    </xf>
    <xf numFmtId="0" fontId="4" fillId="0" borderId="49" xfId="0" applyFont="1" applyBorder="1"/>
    <xf numFmtId="0" fontId="0" fillId="2" borderId="89" xfId="0" applyFont="1" applyFill="1" applyBorder="1" applyAlignment="1">
      <alignment horizontal="center" vertical="center" wrapText="1"/>
    </xf>
    <xf numFmtId="0" fontId="0" fillId="2" borderId="88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11" fillId="2" borderId="51" xfId="0" applyFont="1" applyFill="1" applyBorder="1" applyAlignment="1">
      <alignment horizontal="center" wrapText="1"/>
    </xf>
    <xf numFmtId="0" fontId="4" fillId="0" borderId="63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2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2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8" t="s">
        <v>4</v>
      </c>
      <c r="C6" s="32"/>
      <c r="D6" s="32"/>
      <c r="E6" s="32"/>
      <c r="F6" s="32"/>
      <c r="G6" s="33"/>
      <c r="H6" s="368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1</v>
      </c>
      <c r="I9" s="25"/>
      <c r="J9" s="25"/>
      <c r="K9" s="26"/>
      <c r="L9" s="27"/>
      <c r="M9" s="26">
        <f t="shared" ref="M9:M10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10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36"/>
      <c r="I10" s="38"/>
      <c r="J10" s="38"/>
      <c r="K10" s="39"/>
      <c r="L10" s="40"/>
      <c r="M10" s="39">
        <f t="shared" si="0"/>
        <v>0</v>
      </c>
      <c r="N10" s="39"/>
      <c r="O10" s="41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/>
      <c r="C11" s="377"/>
      <c r="D11" s="377"/>
      <c r="E11" s="377"/>
      <c r="F11" s="72"/>
      <c r="G11" s="73"/>
      <c r="H11" s="74"/>
      <c r="I11" s="75"/>
      <c r="J11" s="76"/>
      <c r="K11" s="75"/>
      <c r="L11" s="76"/>
      <c r="M11" s="75"/>
      <c r="N11" s="76"/>
      <c r="O11" s="77"/>
      <c r="P11" s="78"/>
      <c r="Q11" s="79"/>
      <c r="R11" s="80"/>
      <c r="S11" s="81"/>
      <c r="T11" s="81"/>
      <c r="U11" s="82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83"/>
      <c r="G12" s="84"/>
      <c r="H12" s="85"/>
      <c r="I12" s="86"/>
      <c r="J12" s="86"/>
      <c r="K12" s="87"/>
      <c r="L12" s="88"/>
      <c r="M12" s="87"/>
      <c r="N12" s="87"/>
      <c r="O12" s="89"/>
      <c r="P12" s="90"/>
      <c r="Q12" s="91"/>
      <c r="R12" s="92"/>
      <c r="S12" s="93"/>
      <c r="T12" s="93"/>
      <c r="U12" s="9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22</v>
      </c>
      <c r="D13" s="377"/>
      <c r="E13" s="377" t="s">
        <v>27</v>
      </c>
      <c r="F13" s="72"/>
      <c r="G13" s="95" t="s">
        <v>24</v>
      </c>
      <c r="H13" s="74"/>
      <c r="I13" s="96"/>
      <c r="J13" s="96"/>
      <c r="K13" s="81"/>
      <c r="L13" s="80"/>
      <c r="M13" s="81">
        <f t="shared" ref="M13:M253" si="2">N13+O13</f>
        <v>0</v>
      </c>
      <c r="N13" s="81"/>
      <c r="O13" s="97"/>
      <c r="P13" s="53">
        <v>2</v>
      </c>
      <c r="Q13" s="30">
        <v>38389.050000000003</v>
      </c>
      <c r="R13" s="27"/>
      <c r="S13" s="26">
        <f t="shared" ref="S13:S253" si="3">T13+U13</f>
        <v>0</v>
      </c>
      <c r="T13" s="26"/>
      <c r="U13" s="2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54"/>
      <c r="G14" s="55" t="s">
        <v>28</v>
      </c>
      <c r="H14" s="56">
        <v>1</v>
      </c>
      <c r="I14" s="57"/>
      <c r="J14" s="57"/>
      <c r="K14" s="43"/>
      <c r="L14" s="44"/>
      <c r="M14" s="43">
        <f t="shared" si="2"/>
        <v>0</v>
      </c>
      <c r="N14" s="43"/>
      <c r="O14" s="58"/>
      <c r="P14" s="59"/>
      <c r="Q14" s="39"/>
      <c r="R14" s="40"/>
      <c r="S14" s="39">
        <f t="shared" si="3"/>
        <v>0</v>
      </c>
      <c r="T14" s="39"/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60"/>
      <c r="G15" s="23" t="s">
        <v>24</v>
      </c>
      <c r="H15" s="61">
        <v>1</v>
      </c>
      <c r="I15" s="25"/>
      <c r="J15" s="25"/>
      <c r="K15" s="26"/>
      <c r="L15" s="27"/>
      <c r="M15" s="26">
        <f t="shared" si="2"/>
        <v>0</v>
      </c>
      <c r="N15" s="26"/>
      <c r="O15" s="63"/>
      <c r="P15" s="64">
        <v>6</v>
      </c>
      <c r="Q15" s="65">
        <v>13737.84</v>
      </c>
      <c r="R15" s="51"/>
      <c r="S15" s="50">
        <f t="shared" si="3"/>
        <v>0</v>
      </c>
      <c r="T15" s="50"/>
      <c r="U15" s="31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34"/>
      <c r="G16" s="35" t="s">
        <v>28</v>
      </c>
      <c r="H16" s="36"/>
      <c r="I16" s="38"/>
      <c r="J16" s="38"/>
      <c r="K16" s="39"/>
      <c r="L16" s="40"/>
      <c r="M16" s="39">
        <f t="shared" si="2"/>
        <v>0</v>
      </c>
      <c r="N16" s="39"/>
      <c r="O16" s="41"/>
      <c r="P16" s="67">
        <v>1</v>
      </c>
      <c r="Q16" s="68">
        <v>15752.2</v>
      </c>
      <c r="R16" s="40"/>
      <c r="S16" s="39">
        <f t="shared" si="3"/>
        <v>0</v>
      </c>
      <c r="T16" s="39"/>
      <c r="U16" s="45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82"/>
      <c r="B17" s="381" t="s">
        <v>31</v>
      </c>
      <c r="C17" s="381" t="s">
        <v>22</v>
      </c>
      <c r="D17" s="381" t="s">
        <v>32</v>
      </c>
      <c r="E17" s="381" t="s">
        <v>27</v>
      </c>
      <c r="F17" s="46"/>
      <c r="G17" s="23" t="s">
        <v>24</v>
      </c>
      <c r="H17" s="98"/>
      <c r="I17" s="49"/>
      <c r="J17" s="49"/>
      <c r="K17" s="50"/>
      <c r="L17" s="51"/>
      <c r="M17" s="50">
        <f t="shared" si="2"/>
        <v>0</v>
      </c>
      <c r="N17" s="50"/>
      <c r="O17" s="31"/>
      <c r="P17" s="99"/>
      <c r="Q17" s="26"/>
      <c r="R17" s="27"/>
      <c r="S17" s="26">
        <f t="shared" si="3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9"/>
      <c r="B18" s="380"/>
      <c r="C18" s="380"/>
      <c r="D18" s="380"/>
      <c r="E18" s="380"/>
      <c r="F18" s="54"/>
      <c r="G18" s="101" t="s">
        <v>28</v>
      </c>
      <c r="H18" s="102"/>
      <c r="I18" s="57"/>
      <c r="J18" s="57"/>
      <c r="K18" s="43"/>
      <c r="L18" s="44"/>
      <c r="M18" s="43">
        <f t="shared" si="2"/>
        <v>0</v>
      </c>
      <c r="N18" s="43"/>
      <c r="O18" s="45"/>
      <c r="P18" s="103"/>
      <c r="Q18" s="43"/>
      <c r="R18" s="44"/>
      <c r="S18" s="43">
        <f t="shared" si="3"/>
        <v>0</v>
      </c>
      <c r="T18" s="43"/>
      <c r="U18" s="45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33</v>
      </c>
      <c r="C19" s="374"/>
      <c r="D19" s="374"/>
      <c r="E19" s="374" t="s">
        <v>27</v>
      </c>
      <c r="F19" s="22"/>
      <c r="G19" s="23" t="s">
        <v>24</v>
      </c>
      <c r="H19" s="104"/>
      <c r="I19" s="25"/>
      <c r="J19" s="25"/>
      <c r="K19" s="26"/>
      <c r="L19" s="27"/>
      <c r="M19" s="26">
        <f t="shared" si="2"/>
        <v>0</v>
      </c>
      <c r="N19" s="26"/>
      <c r="O19" s="28"/>
      <c r="P19" s="29"/>
      <c r="Q19" s="30"/>
      <c r="R19" s="27"/>
      <c r="S19" s="26">
        <f t="shared" si="3"/>
        <v>0</v>
      </c>
      <c r="T19" s="26"/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105"/>
      <c r="G20" s="35" t="s">
        <v>28</v>
      </c>
      <c r="H20" s="106"/>
      <c r="I20" s="38"/>
      <c r="J20" s="38"/>
      <c r="K20" s="39"/>
      <c r="L20" s="40"/>
      <c r="M20" s="39">
        <f t="shared" si="2"/>
        <v>0</v>
      </c>
      <c r="N20" s="39"/>
      <c r="O20" s="41"/>
      <c r="P20" s="69"/>
      <c r="Q20" s="39"/>
      <c r="R20" s="40"/>
      <c r="S20" s="39">
        <f t="shared" si="3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>
      <c r="A21" s="382"/>
      <c r="B21" s="381" t="s">
        <v>34</v>
      </c>
      <c r="C21" s="381"/>
      <c r="D21" s="381"/>
      <c r="E21" s="381"/>
      <c r="F21" s="46"/>
      <c r="G21" s="47" t="s">
        <v>24</v>
      </c>
      <c r="H21" s="107"/>
      <c r="I21" s="49"/>
      <c r="J21" s="49"/>
      <c r="K21" s="50"/>
      <c r="L21" s="51"/>
      <c r="M21" s="50">
        <f t="shared" si="2"/>
        <v>0</v>
      </c>
      <c r="N21" s="50"/>
      <c r="O21" s="52"/>
      <c r="P21" s="108">
        <v>8</v>
      </c>
      <c r="Q21" s="65">
        <v>19999.830000000002</v>
      </c>
      <c r="R21" s="51"/>
      <c r="S21" s="50">
        <f t="shared" si="3"/>
        <v>0</v>
      </c>
      <c r="T21" s="50"/>
      <c r="U21" s="10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>
      <c r="A22" s="373"/>
      <c r="B22" s="375"/>
      <c r="C22" s="375"/>
      <c r="D22" s="375"/>
      <c r="E22" s="375"/>
      <c r="F22" s="34"/>
      <c r="G22" s="35" t="s">
        <v>28</v>
      </c>
      <c r="H22" s="106"/>
      <c r="I22" s="38"/>
      <c r="J22" s="38"/>
      <c r="K22" s="39"/>
      <c r="L22" s="40"/>
      <c r="M22" s="39">
        <f t="shared" si="2"/>
        <v>0</v>
      </c>
      <c r="N22" s="39"/>
      <c r="O22" s="58"/>
      <c r="P22" s="59"/>
      <c r="Q22" s="39"/>
      <c r="R22" s="40"/>
      <c r="S22" s="39">
        <f t="shared" si="3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35</v>
      </c>
      <c r="C23" s="381" t="s">
        <v>22</v>
      </c>
      <c r="D23" s="381" t="s">
        <v>36</v>
      </c>
      <c r="E23" s="381" t="s">
        <v>37</v>
      </c>
      <c r="F23" s="110"/>
      <c r="G23" s="47" t="s">
        <v>24</v>
      </c>
      <c r="H23" s="107"/>
      <c r="I23" s="49"/>
      <c r="J23" s="49"/>
      <c r="K23" s="50"/>
      <c r="L23" s="51"/>
      <c r="M23" s="50">
        <f t="shared" si="2"/>
        <v>0</v>
      </c>
      <c r="N23" s="50"/>
      <c r="O23" s="31"/>
      <c r="P23" s="108">
        <v>1</v>
      </c>
      <c r="Q23" s="65">
        <v>1045.98</v>
      </c>
      <c r="R23" s="51"/>
      <c r="S23" s="50">
        <f t="shared" si="3"/>
        <v>0</v>
      </c>
      <c r="T23" s="50"/>
      <c r="U23" s="31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34"/>
      <c r="G24" s="35" t="s">
        <v>28</v>
      </c>
      <c r="H24" s="111"/>
      <c r="I24" s="38"/>
      <c r="J24" s="38"/>
      <c r="K24" s="39"/>
      <c r="L24" s="40"/>
      <c r="M24" s="39">
        <f t="shared" si="2"/>
        <v>0</v>
      </c>
      <c r="N24" s="39"/>
      <c r="O24" s="41"/>
      <c r="P24" s="59"/>
      <c r="Q24" s="39"/>
      <c r="R24" s="40"/>
      <c r="S24" s="39">
        <f t="shared" si="3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82"/>
      <c r="B25" s="381" t="s">
        <v>38</v>
      </c>
      <c r="C25" s="381" t="s">
        <v>39</v>
      </c>
      <c r="D25" s="381" t="s">
        <v>40</v>
      </c>
      <c r="E25" s="381" t="s">
        <v>41</v>
      </c>
      <c r="F25" s="46"/>
      <c r="G25" s="23" t="s">
        <v>24</v>
      </c>
      <c r="H25" s="48">
        <v>1</v>
      </c>
      <c r="I25" s="49"/>
      <c r="J25" s="49"/>
      <c r="K25" s="50"/>
      <c r="L25" s="51"/>
      <c r="M25" s="50">
        <f t="shared" si="2"/>
        <v>0</v>
      </c>
      <c r="N25" s="50"/>
      <c r="O25" s="31"/>
      <c r="P25" s="53">
        <v>3</v>
      </c>
      <c r="Q25" s="30">
        <v>4567.24</v>
      </c>
      <c r="R25" s="27"/>
      <c r="S25" s="26">
        <f t="shared" si="3"/>
        <v>0</v>
      </c>
      <c r="T25" s="26"/>
      <c r="U25" s="100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54"/>
      <c r="G26" s="55" t="s">
        <v>25</v>
      </c>
      <c r="H26" s="102"/>
      <c r="I26" s="57"/>
      <c r="J26" s="57"/>
      <c r="K26" s="43"/>
      <c r="L26" s="44"/>
      <c r="M26" s="43">
        <f t="shared" si="2"/>
        <v>0</v>
      </c>
      <c r="N26" s="43"/>
      <c r="O26" s="41"/>
      <c r="P26" s="59"/>
      <c r="Q26" s="39"/>
      <c r="R26" s="40"/>
      <c r="S26" s="39">
        <f t="shared" si="3"/>
        <v>0</v>
      </c>
      <c r="T26" s="39"/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42</v>
      </c>
      <c r="C27" s="374"/>
      <c r="D27" s="374"/>
      <c r="E27" s="374"/>
      <c r="F27" s="22"/>
      <c r="G27" s="23" t="s">
        <v>24</v>
      </c>
      <c r="H27" s="104"/>
      <c r="I27" s="25"/>
      <c r="J27" s="25"/>
      <c r="K27" s="25"/>
      <c r="L27" s="27"/>
      <c r="M27" s="26">
        <f t="shared" si="2"/>
        <v>0</v>
      </c>
      <c r="N27" s="26"/>
      <c r="O27" s="31"/>
      <c r="P27" s="53">
        <v>3</v>
      </c>
      <c r="Q27" s="30">
        <v>4222.78</v>
      </c>
      <c r="R27" s="27"/>
      <c r="S27" s="26">
        <f t="shared" si="3"/>
        <v>0</v>
      </c>
      <c r="T27" s="26"/>
      <c r="U27" s="31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105"/>
      <c r="G28" s="35" t="s">
        <v>28</v>
      </c>
      <c r="H28" s="106"/>
      <c r="I28" s="38"/>
      <c r="J28" s="38"/>
      <c r="K28" s="39"/>
      <c r="L28" s="40"/>
      <c r="M28" s="39">
        <f t="shared" si="2"/>
        <v>0</v>
      </c>
      <c r="N28" s="39"/>
      <c r="O28" s="41"/>
      <c r="P28" s="59"/>
      <c r="Q28" s="39"/>
      <c r="R28" s="40"/>
      <c r="S28" s="39">
        <f t="shared" si="3"/>
        <v>0</v>
      </c>
      <c r="T28" s="39"/>
      <c r="U28" s="45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82"/>
      <c r="B29" s="381" t="s">
        <v>44</v>
      </c>
      <c r="C29" s="381" t="s">
        <v>22</v>
      </c>
      <c r="D29" s="381"/>
      <c r="E29" s="381" t="s">
        <v>27</v>
      </c>
      <c r="F29" s="46"/>
      <c r="G29" s="47" t="s">
        <v>24</v>
      </c>
      <c r="H29" s="48">
        <v>1</v>
      </c>
      <c r="I29" s="49"/>
      <c r="J29" s="49"/>
      <c r="K29" s="50"/>
      <c r="L29" s="51"/>
      <c r="M29" s="50">
        <f t="shared" si="2"/>
        <v>0</v>
      </c>
      <c r="N29" s="50"/>
      <c r="O29" s="31"/>
      <c r="P29" s="53">
        <v>5</v>
      </c>
      <c r="Q29" s="30">
        <v>7620.87</v>
      </c>
      <c r="R29" s="27"/>
      <c r="S29" s="26">
        <f t="shared" si="3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5.75" customHeight="1">
      <c r="A30" s="379"/>
      <c r="B30" s="380"/>
      <c r="C30" s="380"/>
      <c r="D30" s="380"/>
      <c r="E30" s="380"/>
      <c r="F30" s="54"/>
      <c r="G30" s="55" t="s">
        <v>28</v>
      </c>
      <c r="H30" s="116"/>
      <c r="I30" s="57"/>
      <c r="J30" s="57"/>
      <c r="K30" s="43"/>
      <c r="L30" s="44"/>
      <c r="M30" s="43">
        <f t="shared" si="2"/>
        <v>0</v>
      </c>
      <c r="N30" s="43"/>
      <c r="O30" s="41"/>
      <c r="P30" s="59"/>
      <c r="Q30" s="39"/>
      <c r="R30" s="40"/>
      <c r="S30" s="39">
        <f t="shared" si="3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5.75" customHeight="1">
      <c r="A31" s="372"/>
      <c r="B31" s="374" t="s">
        <v>45</v>
      </c>
      <c r="C31" s="374" t="s">
        <v>46</v>
      </c>
      <c r="D31" s="374" t="s">
        <v>47</v>
      </c>
      <c r="E31" s="374" t="s">
        <v>27</v>
      </c>
      <c r="F31" s="60"/>
      <c r="G31" s="23" t="s">
        <v>24</v>
      </c>
      <c r="H31" s="107"/>
      <c r="I31" s="25"/>
      <c r="J31" s="25"/>
      <c r="K31" s="26"/>
      <c r="L31" s="27"/>
      <c r="M31" s="26">
        <f t="shared" si="2"/>
        <v>0</v>
      </c>
      <c r="N31" s="26"/>
      <c r="O31" s="31"/>
      <c r="P31" s="53">
        <v>1</v>
      </c>
      <c r="Q31" s="30">
        <v>2497.3000000000002</v>
      </c>
      <c r="R31" s="27"/>
      <c r="S31" s="26">
        <f t="shared" si="3"/>
        <v>0</v>
      </c>
      <c r="T31" s="26"/>
      <c r="U31" s="100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8.75" customHeight="1">
      <c r="A32" s="373"/>
      <c r="B32" s="375"/>
      <c r="C32" s="375"/>
      <c r="D32" s="375"/>
      <c r="E32" s="375"/>
      <c r="F32" s="54"/>
      <c r="G32" s="55" t="s">
        <v>28</v>
      </c>
      <c r="H32" s="118"/>
      <c r="I32" s="57"/>
      <c r="J32" s="57"/>
      <c r="K32" s="43"/>
      <c r="L32" s="44"/>
      <c r="M32" s="43">
        <f t="shared" si="2"/>
        <v>0</v>
      </c>
      <c r="N32" s="43"/>
      <c r="O32" s="45"/>
      <c r="P32" s="103"/>
      <c r="Q32" s="43"/>
      <c r="R32" s="44"/>
      <c r="S32" s="43">
        <f t="shared" si="3"/>
        <v>0</v>
      </c>
      <c r="T32" s="43"/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74" t="s">
        <v>48</v>
      </c>
      <c r="C33" s="374"/>
      <c r="D33" s="374"/>
      <c r="E33" s="374"/>
      <c r="F33" s="22"/>
      <c r="G33" s="23" t="s">
        <v>24</v>
      </c>
      <c r="H33" s="119"/>
      <c r="I33" s="25"/>
      <c r="J33" s="25"/>
      <c r="K33" s="26"/>
      <c r="L33" s="27"/>
      <c r="M33" s="26">
        <f t="shared" si="2"/>
        <v>0</v>
      </c>
      <c r="N33" s="26"/>
      <c r="O33" s="28"/>
      <c r="P33" s="120"/>
      <c r="Q33" s="26"/>
      <c r="R33" s="27"/>
      <c r="S33" s="26">
        <f t="shared" si="3"/>
        <v>0</v>
      </c>
      <c r="T33" s="26"/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49</v>
      </c>
      <c r="C35" s="381" t="s">
        <v>22</v>
      </c>
      <c r="D35" s="381"/>
      <c r="E35" s="381" t="s">
        <v>50</v>
      </c>
      <c r="F35" s="46"/>
      <c r="G35" s="47" t="s">
        <v>24</v>
      </c>
      <c r="H35" s="98"/>
      <c r="I35" s="49"/>
      <c r="J35" s="49"/>
      <c r="K35" s="50"/>
      <c r="L35" s="51"/>
      <c r="M35" s="50">
        <f t="shared" si="2"/>
        <v>0</v>
      </c>
      <c r="N35" s="50"/>
      <c r="O35" s="31"/>
      <c r="P35" s="108">
        <v>8</v>
      </c>
      <c r="Q35" s="65">
        <v>23443.62</v>
      </c>
      <c r="R35" s="51"/>
      <c r="S35" s="50">
        <f t="shared" si="3"/>
        <v>0</v>
      </c>
      <c r="T35" s="50"/>
      <c r="U35" s="31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54"/>
      <c r="G36" s="55" t="s">
        <v>25</v>
      </c>
      <c r="H36" s="122"/>
      <c r="I36" s="57"/>
      <c r="J36" s="57"/>
      <c r="K36" s="43"/>
      <c r="L36" s="44"/>
      <c r="M36" s="43">
        <f t="shared" si="2"/>
        <v>0</v>
      </c>
      <c r="N36" s="43"/>
      <c r="O36" s="45"/>
      <c r="P36" s="103"/>
      <c r="Q36" s="43"/>
      <c r="R36" s="44"/>
      <c r="S36" s="43">
        <f t="shared" si="3"/>
        <v>0</v>
      </c>
      <c r="T36" s="43"/>
      <c r="U36" s="45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51</v>
      </c>
      <c r="C37" s="374"/>
      <c r="D37" s="374"/>
      <c r="E37" s="374"/>
      <c r="F37" s="22"/>
      <c r="G37" s="2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9">
        <v>2</v>
      </c>
      <c r="Q37" s="30">
        <v>2689.4</v>
      </c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3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69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52</v>
      </c>
      <c r="C39" s="381"/>
      <c r="D39" s="381"/>
      <c r="E39" s="381"/>
      <c r="F39" s="46"/>
      <c r="G39" s="47" t="s">
        <v>24</v>
      </c>
      <c r="H39" s="98"/>
      <c r="I39" s="49"/>
      <c r="J39" s="49"/>
      <c r="K39" s="50"/>
      <c r="L39" s="51"/>
      <c r="M39" s="50">
        <f t="shared" si="2"/>
        <v>0</v>
      </c>
      <c r="N39" s="50"/>
      <c r="O39" s="31"/>
      <c r="P39" s="64">
        <v>2</v>
      </c>
      <c r="Q39" s="65">
        <v>3647.94</v>
      </c>
      <c r="R39" s="51"/>
      <c r="S39" s="50">
        <f t="shared" si="3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34"/>
      <c r="G40" s="3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69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82"/>
      <c r="B41" s="381" t="s">
        <v>53</v>
      </c>
      <c r="C41" s="381" t="s">
        <v>46</v>
      </c>
      <c r="D41" s="381" t="s">
        <v>54</v>
      </c>
      <c r="E41" s="381" t="s">
        <v>55</v>
      </c>
      <c r="F41" s="46"/>
      <c r="G41" s="47" t="s">
        <v>24</v>
      </c>
      <c r="H41" s="98"/>
      <c r="I41" s="49"/>
      <c r="J41" s="49"/>
      <c r="K41" s="50"/>
      <c r="L41" s="51"/>
      <c r="M41" s="50">
        <f t="shared" si="2"/>
        <v>0</v>
      </c>
      <c r="N41" s="50"/>
      <c r="O41" s="31"/>
      <c r="P41" s="123"/>
      <c r="Q41" s="50"/>
      <c r="R41" s="51"/>
      <c r="S41" s="50">
        <f t="shared" si="3"/>
        <v>0</v>
      </c>
      <c r="T41" s="50"/>
      <c r="U41" s="31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105"/>
      <c r="G42" s="35" t="s">
        <v>25</v>
      </c>
      <c r="H42" s="116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56</v>
      </c>
      <c r="C43" s="381" t="s">
        <v>39</v>
      </c>
      <c r="D43" s="381" t="s">
        <v>57</v>
      </c>
      <c r="E43" s="381" t="s">
        <v>58</v>
      </c>
      <c r="F43" s="46"/>
      <c r="G43" s="23" t="s">
        <v>24</v>
      </c>
      <c r="H43" s="107"/>
      <c r="I43" s="49"/>
      <c r="J43" s="49"/>
      <c r="K43" s="50"/>
      <c r="L43" s="51"/>
      <c r="M43" s="50">
        <f t="shared" si="2"/>
        <v>0</v>
      </c>
      <c r="N43" s="50"/>
      <c r="O43" s="31"/>
      <c r="P43" s="53">
        <v>2</v>
      </c>
      <c r="Q43" s="30">
        <v>2920.25</v>
      </c>
      <c r="R43" s="27"/>
      <c r="S43" s="26">
        <f t="shared" si="3"/>
        <v>0</v>
      </c>
      <c r="T43" s="26"/>
      <c r="U43" s="100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35" t="s">
        <v>28</v>
      </c>
      <c r="H44" s="116"/>
      <c r="I44" s="38"/>
      <c r="J44" s="38"/>
      <c r="K44" s="39"/>
      <c r="L44" s="40"/>
      <c r="M44" s="39">
        <f t="shared" si="2"/>
        <v>0</v>
      </c>
      <c r="N44" s="39"/>
      <c r="O44" s="41"/>
      <c r="P44" s="103"/>
      <c r="Q44" s="43"/>
      <c r="R44" s="44"/>
      <c r="S44" s="43">
        <f t="shared" si="3"/>
        <v>0</v>
      </c>
      <c r="T44" s="43"/>
      <c r="U44" s="45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82"/>
      <c r="B45" s="381" t="s">
        <v>59</v>
      </c>
      <c r="C45" s="381" t="s">
        <v>22</v>
      </c>
      <c r="D45" s="381"/>
      <c r="E45" s="381" t="s">
        <v>27</v>
      </c>
      <c r="F45" s="46"/>
      <c r="G45" s="23" t="s">
        <v>24</v>
      </c>
      <c r="H45" s="107"/>
      <c r="I45" s="49"/>
      <c r="J45" s="49"/>
      <c r="K45" s="50"/>
      <c r="L45" s="51"/>
      <c r="M45" s="50">
        <f t="shared" si="2"/>
        <v>0</v>
      </c>
      <c r="N45" s="50"/>
      <c r="O45" s="52"/>
      <c r="P45" s="53">
        <v>12</v>
      </c>
      <c r="Q45" s="30">
        <v>53218.61</v>
      </c>
      <c r="R45" s="27"/>
      <c r="S45" s="26">
        <f t="shared" si="3"/>
        <v>0</v>
      </c>
      <c r="T45" s="26"/>
      <c r="U45" s="2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0"/>
      <c r="F46" s="126"/>
      <c r="G46" s="55" t="s">
        <v>28</v>
      </c>
      <c r="H46" s="116"/>
      <c r="I46" s="57"/>
      <c r="J46" s="57"/>
      <c r="K46" s="43"/>
      <c r="L46" s="44"/>
      <c r="M46" s="43">
        <f t="shared" si="2"/>
        <v>0</v>
      </c>
      <c r="N46" s="43"/>
      <c r="O46" s="58"/>
      <c r="P46" s="59"/>
      <c r="Q46" s="39"/>
      <c r="R46" s="40"/>
      <c r="S46" s="39">
        <f t="shared" si="3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60</v>
      </c>
      <c r="C47" s="374" t="s">
        <v>22</v>
      </c>
      <c r="D47" s="374" t="s">
        <v>61</v>
      </c>
      <c r="E47" s="383" t="s">
        <v>27</v>
      </c>
      <c r="F47" s="60"/>
      <c r="G47" s="23" t="s">
        <v>24</v>
      </c>
      <c r="H47" s="107"/>
      <c r="I47" s="25"/>
      <c r="J47" s="25"/>
      <c r="K47" s="26"/>
      <c r="L47" s="27"/>
      <c r="M47" s="26">
        <f t="shared" si="2"/>
        <v>0</v>
      </c>
      <c r="N47" s="26"/>
      <c r="O47" s="52"/>
      <c r="P47" s="123"/>
      <c r="Q47" s="50"/>
      <c r="R47" s="51"/>
      <c r="S47" s="50">
        <f t="shared" si="3"/>
        <v>0</v>
      </c>
      <c r="T47" s="50"/>
      <c r="U47" s="109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9"/>
      <c r="B48" s="380"/>
      <c r="C48" s="380"/>
      <c r="D48" s="380"/>
      <c r="E48" s="384"/>
      <c r="F48" s="54"/>
      <c r="G48" s="55" t="s">
        <v>28</v>
      </c>
      <c r="H48" s="102"/>
      <c r="I48" s="57"/>
      <c r="J48" s="57"/>
      <c r="K48" s="43"/>
      <c r="L48" s="44"/>
      <c r="M48" s="43">
        <f t="shared" si="2"/>
        <v>0</v>
      </c>
      <c r="N48" s="43"/>
      <c r="O48" s="58"/>
      <c r="P48" s="59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62</v>
      </c>
      <c r="C49" s="374" t="s">
        <v>22</v>
      </c>
      <c r="D49" s="374" t="s">
        <v>63</v>
      </c>
      <c r="E49" s="374" t="s">
        <v>27</v>
      </c>
      <c r="F49" s="22"/>
      <c r="G49" s="23" t="s">
        <v>24</v>
      </c>
      <c r="H49" s="119"/>
      <c r="I49" s="25"/>
      <c r="J49" s="25"/>
      <c r="K49" s="26"/>
      <c r="L49" s="27"/>
      <c r="M49" s="26">
        <f t="shared" si="2"/>
        <v>0</v>
      </c>
      <c r="N49" s="26"/>
      <c r="O49" s="31"/>
      <c r="P49" s="123"/>
      <c r="Q49" s="50"/>
      <c r="R49" s="51"/>
      <c r="S49" s="50">
        <f t="shared" si="3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35" t="s">
        <v>28</v>
      </c>
      <c r="H50" s="36"/>
      <c r="I50" s="38"/>
      <c r="J50" s="38"/>
      <c r="K50" s="39"/>
      <c r="L50" s="40"/>
      <c r="M50" s="39">
        <f t="shared" si="2"/>
        <v>0</v>
      </c>
      <c r="N50" s="39"/>
      <c r="O50" s="41"/>
      <c r="P50" s="59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82"/>
      <c r="B51" s="381" t="s">
        <v>64</v>
      </c>
      <c r="C51" s="381" t="s">
        <v>22</v>
      </c>
      <c r="D51" s="385"/>
      <c r="E51" s="381" t="s">
        <v>65</v>
      </c>
      <c r="F51" s="46"/>
      <c r="G51" s="23" t="s">
        <v>24</v>
      </c>
      <c r="H51" s="98"/>
      <c r="I51" s="49"/>
      <c r="J51" s="49"/>
      <c r="K51" s="50"/>
      <c r="L51" s="51"/>
      <c r="M51" s="50">
        <f t="shared" si="2"/>
        <v>0</v>
      </c>
      <c r="N51" s="50"/>
      <c r="O51" s="31"/>
      <c r="P51" s="123"/>
      <c r="Q51" s="50"/>
      <c r="R51" s="51"/>
      <c r="S51" s="50">
        <f t="shared" si="3"/>
        <v>0</v>
      </c>
      <c r="T51" s="50"/>
      <c r="U51" s="3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35" t="s">
        <v>28</v>
      </c>
      <c r="H52" s="116"/>
      <c r="I52" s="38"/>
      <c r="J52" s="38"/>
      <c r="K52" s="39"/>
      <c r="L52" s="40"/>
      <c r="M52" s="39">
        <f t="shared" si="2"/>
        <v>0</v>
      </c>
      <c r="N52" s="39"/>
      <c r="O52" s="41"/>
      <c r="P52" s="59"/>
      <c r="Q52" s="39"/>
      <c r="R52" s="40"/>
      <c r="S52" s="39">
        <f t="shared" si="3"/>
        <v>0</v>
      </c>
      <c r="T52" s="39"/>
      <c r="U52" s="45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82"/>
      <c r="B53" s="381" t="s">
        <v>66</v>
      </c>
      <c r="C53" s="381" t="s">
        <v>22</v>
      </c>
      <c r="D53" s="381"/>
      <c r="E53" s="381" t="s">
        <v>67</v>
      </c>
      <c r="F53" s="46"/>
      <c r="G53" s="23" t="s">
        <v>24</v>
      </c>
      <c r="H53" s="98"/>
      <c r="I53" s="49"/>
      <c r="J53" s="49"/>
      <c r="K53" s="50"/>
      <c r="L53" s="51"/>
      <c r="M53" s="50">
        <f t="shared" si="2"/>
        <v>0</v>
      </c>
      <c r="N53" s="50"/>
      <c r="O53" s="31"/>
      <c r="P53" s="53">
        <v>1</v>
      </c>
      <c r="Q53" s="30">
        <v>1854.88</v>
      </c>
      <c r="R53" s="27"/>
      <c r="S53" s="26">
        <f t="shared" si="3"/>
        <v>0</v>
      </c>
      <c r="T53" s="26"/>
      <c r="U53" s="100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9"/>
      <c r="B54" s="380"/>
      <c r="C54" s="380"/>
      <c r="D54" s="380"/>
      <c r="E54" s="380"/>
      <c r="F54" s="126"/>
      <c r="G54" s="55" t="s">
        <v>28</v>
      </c>
      <c r="H54" s="118"/>
      <c r="I54" s="57"/>
      <c r="J54" s="57"/>
      <c r="K54" s="43"/>
      <c r="L54" s="44"/>
      <c r="M54" s="43">
        <f t="shared" si="2"/>
        <v>0</v>
      </c>
      <c r="N54" s="43"/>
      <c r="O54" s="41"/>
      <c r="P54" s="59"/>
      <c r="Q54" s="39"/>
      <c r="R54" s="40"/>
      <c r="S54" s="39">
        <f t="shared" si="3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68</v>
      </c>
      <c r="C55" s="374"/>
      <c r="D55" s="374" t="s">
        <v>69</v>
      </c>
      <c r="E55" s="374"/>
      <c r="F55" s="22"/>
      <c r="G55" s="23" t="s">
        <v>24</v>
      </c>
      <c r="H55" s="61">
        <v>1</v>
      </c>
      <c r="I55" s="25"/>
      <c r="J55" s="25"/>
      <c r="K55" s="26"/>
      <c r="L55" s="27"/>
      <c r="M55" s="26">
        <f t="shared" si="2"/>
        <v>0</v>
      </c>
      <c r="N55" s="26"/>
      <c r="O55" s="31"/>
      <c r="P55" s="53">
        <v>2</v>
      </c>
      <c r="Q55" s="30">
        <v>2605.02</v>
      </c>
      <c r="R55" s="27"/>
      <c r="S55" s="26">
        <f t="shared" si="3"/>
        <v>0</v>
      </c>
      <c r="T55" s="26"/>
      <c r="U55" s="3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34"/>
      <c r="G56" s="35" t="s">
        <v>28</v>
      </c>
      <c r="H56" s="106"/>
      <c r="I56" s="38"/>
      <c r="J56" s="38"/>
      <c r="K56" s="39"/>
      <c r="L56" s="40"/>
      <c r="M56" s="39">
        <f t="shared" si="2"/>
        <v>0</v>
      </c>
      <c r="N56" s="39"/>
      <c r="O56" s="41"/>
      <c r="P56" s="59"/>
      <c r="Q56" s="39"/>
      <c r="R56" s="40"/>
      <c r="S56" s="39">
        <f t="shared" si="3"/>
        <v>0</v>
      </c>
      <c r="T56" s="39"/>
      <c r="U56" s="45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70</v>
      </c>
      <c r="C57" s="381" t="s">
        <v>39</v>
      </c>
      <c r="D57" s="381" t="s">
        <v>71</v>
      </c>
      <c r="E57" s="381" t="s">
        <v>55</v>
      </c>
      <c r="F57" s="46"/>
      <c r="G57" s="47" t="s">
        <v>24</v>
      </c>
      <c r="H57" s="107"/>
      <c r="I57" s="49"/>
      <c r="J57" s="49"/>
      <c r="K57" s="50"/>
      <c r="L57" s="51"/>
      <c r="M57" s="50">
        <f t="shared" si="2"/>
        <v>0</v>
      </c>
      <c r="N57" s="50"/>
      <c r="O57" s="31"/>
      <c r="P57" s="53">
        <v>21</v>
      </c>
      <c r="Q57" s="30">
        <v>40412.06</v>
      </c>
      <c r="R57" s="27"/>
      <c r="S57" s="26">
        <f t="shared" si="3"/>
        <v>0</v>
      </c>
      <c r="T57" s="26"/>
      <c r="U57" s="100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105"/>
      <c r="G58" s="35" t="s">
        <v>25</v>
      </c>
      <c r="H58" s="116"/>
      <c r="I58" s="38"/>
      <c r="J58" s="38"/>
      <c r="K58" s="39"/>
      <c r="L58" s="40"/>
      <c r="M58" s="39">
        <f t="shared" si="2"/>
        <v>0</v>
      </c>
      <c r="N58" s="39"/>
      <c r="O58" s="41"/>
      <c r="P58" s="59"/>
      <c r="Q58" s="39"/>
      <c r="R58" s="40"/>
      <c r="S58" s="39">
        <f t="shared" si="3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82"/>
      <c r="B59" s="381" t="s">
        <v>72</v>
      </c>
      <c r="C59" s="381" t="s">
        <v>22</v>
      </c>
      <c r="D59" s="381"/>
      <c r="E59" s="381" t="s">
        <v>27</v>
      </c>
      <c r="F59" s="127"/>
      <c r="G59" s="23" t="s">
        <v>24</v>
      </c>
      <c r="H59" s="98"/>
      <c r="I59" s="49"/>
      <c r="J59" s="49"/>
      <c r="K59" s="50"/>
      <c r="L59" s="51"/>
      <c r="M59" s="50">
        <f t="shared" si="2"/>
        <v>0</v>
      </c>
      <c r="N59" s="50"/>
      <c r="O59" s="31"/>
      <c r="P59" s="108">
        <v>3</v>
      </c>
      <c r="Q59" s="65">
        <v>3669.81</v>
      </c>
      <c r="R59" s="51"/>
      <c r="S59" s="50">
        <f t="shared" si="3"/>
        <v>0</v>
      </c>
      <c r="T59" s="50"/>
      <c r="U59" s="3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9"/>
      <c r="B60" s="380"/>
      <c r="C60" s="380"/>
      <c r="D60" s="380"/>
      <c r="E60" s="380"/>
      <c r="F60" s="54"/>
      <c r="G60" s="55" t="s">
        <v>28</v>
      </c>
      <c r="H60" s="102"/>
      <c r="I60" s="57"/>
      <c r="J60" s="57"/>
      <c r="K60" s="43"/>
      <c r="L60" s="128"/>
      <c r="M60" s="129">
        <f t="shared" si="2"/>
        <v>0</v>
      </c>
      <c r="N60" s="43"/>
      <c r="O60" s="45"/>
      <c r="P60" s="103"/>
      <c r="Q60" s="43"/>
      <c r="R60" s="128"/>
      <c r="S60" s="129">
        <f t="shared" si="3"/>
        <v>0</v>
      </c>
      <c r="T60" s="43"/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73</v>
      </c>
      <c r="C61" s="374"/>
      <c r="D61" s="374"/>
      <c r="E61" s="374" t="s">
        <v>27</v>
      </c>
      <c r="F61" s="22"/>
      <c r="G61" s="23" t="s">
        <v>24</v>
      </c>
      <c r="H61" s="104"/>
      <c r="I61" s="25"/>
      <c r="J61" s="25"/>
      <c r="K61" s="26"/>
      <c r="L61" s="27"/>
      <c r="M61" s="26">
        <f t="shared" si="2"/>
        <v>0</v>
      </c>
      <c r="N61" s="26"/>
      <c r="O61" s="28"/>
      <c r="P61" s="29">
        <v>7</v>
      </c>
      <c r="Q61" s="30">
        <v>13580.02</v>
      </c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35" t="s">
        <v>28</v>
      </c>
      <c r="H62" s="106"/>
      <c r="I62" s="38"/>
      <c r="J62" s="38"/>
      <c r="K62" s="39"/>
      <c r="L62" s="40"/>
      <c r="M62" s="39">
        <f t="shared" si="2"/>
        <v>0</v>
      </c>
      <c r="N62" s="39"/>
      <c r="O62" s="41"/>
      <c r="P62" s="69"/>
      <c r="Q62" s="39"/>
      <c r="R62" s="40"/>
      <c r="S62" s="39">
        <f t="shared" si="3"/>
        <v>0</v>
      </c>
      <c r="T62" s="39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82"/>
      <c r="B63" s="381" t="s">
        <v>74</v>
      </c>
      <c r="C63" s="381" t="s">
        <v>39</v>
      </c>
      <c r="D63" s="381" t="s">
        <v>75</v>
      </c>
      <c r="E63" s="381" t="s">
        <v>27</v>
      </c>
      <c r="F63" s="46"/>
      <c r="G63" s="47" t="s">
        <v>24</v>
      </c>
      <c r="H63" s="107"/>
      <c r="I63" s="49"/>
      <c r="J63" s="49"/>
      <c r="K63" s="50"/>
      <c r="L63" s="51"/>
      <c r="M63" s="50">
        <f t="shared" si="2"/>
        <v>0</v>
      </c>
      <c r="N63" s="50"/>
      <c r="O63" s="31"/>
      <c r="P63" s="108">
        <v>1</v>
      </c>
      <c r="Q63" s="65">
        <v>384.2</v>
      </c>
      <c r="R63" s="51"/>
      <c r="S63" s="50">
        <f t="shared" si="3"/>
        <v>0</v>
      </c>
      <c r="T63" s="50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54"/>
      <c r="G64" s="55" t="s">
        <v>28</v>
      </c>
      <c r="H64" s="118"/>
      <c r="I64" s="57"/>
      <c r="J64" s="57"/>
      <c r="K64" s="43"/>
      <c r="L64" s="44"/>
      <c r="M64" s="43">
        <f t="shared" si="2"/>
        <v>0</v>
      </c>
      <c r="N64" s="43"/>
      <c r="O64" s="41"/>
      <c r="P64" s="103"/>
      <c r="Q64" s="43"/>
      <c r="R64" s="44"/>
      <c r="S64" s="43">
        <f t="shared" si="3"/>
        <v>0</v>
      </c>
      <c r="T64" s="43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76</v>
      </c>
      <c r="C65" s="374" t="s">
        <v>22</v>
      </c>
      <c r="D65" s="374"/>
      <c r="E65" s="374" t="s">
        <v>77</v>
      </c>
      <c r="F65" s="22"/>
      <c r="G65" s="23" t="s">
        <v>24</v>
      </c>
      <c r="H65" s="61"/>
      <c r="I65" s="25"/>
      <c r="J65" s="25"/>
      <c r="K65" s="26"/>
      <c r="L65" s="27"/>
      <c r="M65" s="26">
        <f t="shared" si="2"/>
        <v>0</v>
      </c>
      <c r="N65" s="26"/>
      <c r="O65" s="31"/>
      <c r="P65" s="120"/>
      <c r="Q65" s="26"/>
      <c r="R65" s="27"/>
      <c r="S65" s="26">
        <f t="shared" si="3"/>
        <v>0</v>
      </c>
      <c r="T65" s="26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34"/>
      <c r="G66" s="35" t="s">
        <v>28</v>
      </c>
      <c r="H66" s="106"/>
      <c r="I66" s="38"/>
      <c r="J66" s="38"/>
      <c r="K66" s="39"/>
      <c r="L66" s="40"/>
      <c r="M66" s="39">
        <f t="shared" si="2"/>
        <v>0</v>
      </c>
      <c r="N66" s="39"/>
      <c r="O66" s="41"/>
      <c r="P66" s="69"/>
      <c r="Q66" s="39"/>
      <c r="R66" s="40"/>
      <c r="S66" s="39">
        <f t="shared" si="3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82"/>
      <c r="B67" s="381" t="s">
        <v>78</v>
      </c>
      <c r="C67" s="381"/>
      <c r="D67" s="381"/>
      <c r="E67" s="381"/>
      <c r="F67" s="46"/>
      <c r="G67" s="47" t="s">
        <v>24</v>
      </c>
      <c r="H67" s="107"/>
      <c r="I67" s="49"/>
      <c r="J67" s="49"/>
      <c r="K67" s="50"/>
      <c r="L67" s="51"/>
      <c r="M67" s="50">
        <f t="shared" si="2"/>
        <v>0</v>
      </c>
      <c r="N67" s="50"/>
      <c r="O67" s="31"/>
      <c r="P67" s="123"/>
      <c r="Q67" s="50"/>
      <c r="R67" s="51"/>
      <c r="S67" s="50">
        <f t="shared" si="3"/>
        <v>0</v>
      </c>
      <c r="T67" s="50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26"/>
      <c r="G68" s="55" t="s">
        <v>28</v>
      </c>
      <c r="H68" s="131"/>
      <c r="I68" s="57"/>
      <c r="J68" s="57"/>
      <c r="K68" s="43"/>
      <c r="L68" s="44"/>
      <c r="M68" s="43">
        <f t="shared" si="2"/>
        <v>0</v>
      </c>
      <c r="N68" s="43"/>
      <c r="O68" s="41"/>
      <c r="P68" s="103"/>
      <c r="Q68" s="43"/>
      <c r="R68" s="44"/>
      <c r="S68" s="43">
        <f t="shared" si="3"/>
        <v>0</v>
      </c>
      <c r="T68" s="43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79</v>
      </c>
      <c r="C69" s="374" t="s">
        <v>22</v>
      </c>
      <c r="D69" s="374"/>
      <c r="E69" s="374" t="s">
        <v>50</v>
      </c>
      <c r="F69" s="22"/>
      <c r="G69" s="23" t="s">
        <v>24</v>
      </c>
      <c r="H69" s="104"/>
      <c r="I69" s="25"/>
      <c r="J69" s="25"/>
      <c r="K69" s="26"/>
      <c r="L69" s="27"/>
      <c r="M69" s="26">
        <f t="shared" si="2"/>
        <v>0</v>
      </c>
      <c r="N69" s="26"/>
      <c r="O69" s="31"/>
      <c r="P69" s="53">
        <v>1</v>
      </c>
      <c r="Q69" s="30">
        <v>1505.87</v>
      </c>
      <c r="R69" s="27"/>
      <c r="S69" s="26">
        <f t="shared" si="3"/>
        <v>0</v>
      </c>
      <c r="T69" s="26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34"/>
      <c r="G70" s="35" t="s">
        <v>25</v>
      </c>
      <c r="H70" s="106"/>
      <c r="I70" s="38"/>
      <c r="J70" s="38"/>
      <c r="K70" s="39"/>
      <c r="L70" s="40"/>
      <c r="M70" s="39">
        <f t="shared" si="2"/>
        <v>0</v>
      </c>
      <c r="N70" s="39"/>
      <c r="O70" s="41"/>
      <c r="P70" s="59"/>
      <c r="Q70" s="39"/>
      <c r="R70" s="40"/>
      <c r="S70" s="39">
        <f t="shared" si="3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82"/>
      <c r="B71" s="381" t="s">
        <v>80</v>
      </c>
      <c r="C71" s="381" t="s">
        <v>22</v>
      </c>
      <c r="D71" s="381"/>
      <c r="E71" s="381" t="s">
        <v>67</v>
      </c>
      <c r="F71" s="46"/>
      <c r="G71" s="47" t="s">
        <v>24</v>
      </c>
      <c r="H71" s="107"/>
      <c r="I71" s="49"/>
      <c r="J71" s="49"/>
      <c r="K71" s="50"/>
      <c r="L71" s="51"/>
      <c r="M71" s="50">
        <f t="shared" si="2"/>
        <v>0</v>
      </c>
      <c r="N71" s="50"/>
      <c r="O71" s="31"/>
      <c r="P71" s="123"/>
      <c r="Q71" s="50"/>
      <c r="R71" s="51"/>
      <c r="S71" s="50">
        <f t="shared" si="3"/>
        <v>0</v>
      </c>
      <c r="T71" s="50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9"/>
      <c r="B72" s="380"/>
      <c r="C72" s="380"/>
      <c r="D72" s="380"/>
      <c r="E72" s="380"/>
      <c r="F72" s="126"/>
      <c r="G72" s="55" t="s">
        <v>28</v>
      </c>
      <c r="H72" s="118"/>
      <c r="I72" s="57"/>
      <c r="J72" s="57"/>
      <c r="K72" s="43"/>
      <c r="L72" s="44"/>
      <c r="M72" s="43">
        <f t="shared" si="2"/>
        <v>0</v>
      </c>
      <c r="N72" s="43"/>
      <c r="O72" s="41"/>
      <c r="P72" s="103"/>
      <c r="Q72" s="43"/>
      <c r="R72" s="44"/>
      <c r="S72" s="43">
        <f t="shared" si="3"/>
        <v>0</v>
      </c>
      <c r="T72" s="43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81</v>
      </c>
      <c r="C73" s="374"/>
      <c r="D73" s="378"/>
      <c r="E73" s="374"/>
      <c r="F73" s="60"/>
      <c r="G73" s="23" t="s">
        <v>24</v>
      </c>
      <c r="H73" s="24">
        <v>1</v>
      </c>
      <c r="I73" s="25"/>
      <c r="J73" s="25"/>
      <c r="K73" s="26"/>
      <c r="L73" s="27"/>
      <c r="M73" s="26">
        <f t="shared" si="2"/>
        <v>0</v>
      </c>
      <c r="N73" s="26"/>
      <c r="O73" s="31"/>
      <c r="P73" s="29">
        <v>10</v>
      </c>
      <c r="Q73" s="30">
        <v>23648.400000000001</v>
      </c>
      <c r="R73" s="27"/>
      <c r="S73" s="26">
        <f t="shared" si="3"/>
        <v>0</v>
      </c>
      <c r="T73" s="26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34"/>
      <c r="G74" s="35" t="s">
        <v>28</v>
      </c>
      <c r="H74" s="36"/>
      <c r="I74" s="38"/>
      <c r="J74" s="38"/>
      <c r="K74" s="39"/>
      <c r="L74" s="40"/>
      <c r="M74" s="39">
        <f t="shared" si="2"/>
        <v>0</v>
      </c>
      <c r="N74" s="39"/>
      <c r="O74" s="41"/>
      <c r="P74" s="69"/>
      <c r="Q74" s="39"/>
      <c r="R74" s="40"/>
      <c r="S74" s="39">
        <f t="shared" si="3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82</v>
      </c>
      <c r="C75" s="381" t="s">
        <v>22</v>
      </c>
      <c r="D75" s="385"/>
      <c r="E75" s="381" t="s">
        <v>83</v>
      </c>
      <c r="F75" s="127"/>
      <c r="G75" s="47" t="s">
        <v>24</v>
      </c>
      <c r="H75" s="98"/>
      <c r="I75" s="49"/>
      <c r="J75" s="49"/>
      <c r="K75" s="50"/>
      <c r="L75" s="51"/>
      <c r="M75" s="50">
        <f t="shared" si="2"/>
        <v>0</v>
      </c>
      <c r="N75" s="50"/>
      <c r="O75" s="31"/>
      <c r="P75" s="108">
        <v>1</v>
      </c>
      <c r="Q75" s="65">
        <v>1104.5999999999999</v>
      </c>
      <c r="R75" s="51"/>
      <c r="S75" s="50">
        <f t="shared" si="3"/>
        <v>0</v>
      </c>
      <c r="T75" s="50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54"/>
      <c r="G76" s="55" t="s">
        <v>25</v>
      </c>
      <c r="H76" s="122"/>
      <c r="I76" s="57"/>
      <c r="J76" s="57"/>
      <c r="K76" s="43"/>
      <c r="L76" s="44"/>
      <c r="M76" s="43">
        <f t="shared" si="2"/>
        <v>0</v>
      </c>
      <c r="N76" s="43"/>
      <c r="O76" s="41"/>
      <c r="P76" s="103"/>
      <c r="Q76" s="43"/>
      <c r="R76" s="44"/>
      <c r="S76" s="43">
        <f t="shared" si="3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84</v>
      </c>
      <c r="C77" s="374"/>
      <c r="D77" s="378"/>
      <c r="E77" s="374"/>
      <c r="F77" s="60"/>
      <c r="G77" s="23" t="s">
        <v>24</v>
      </c>
      <c r="H77" s="119"/>
      <c r="I77" s="25"/>
      <c r="J77" s="25"/>
      <c r="K77" s="26"/>
      <c r="L77" s="27"/>
      <c r="M77" s="26">
        <f t="shared" si="2"/>
        <v>0</v>
      </c>
      <c r="N77" s="26"/>
      <c r="O77" s="31"/>
      <c r="P77" s="120"/>
      <c r="Q77" s="26"/>
      <c r="R77" s="27"/>
      <c r="S77" s="26">
        <f t="shared" si="3"/>
        <v>0</v>
      </c>
      <c r="T77" s="26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132"/>
      <c r="G78" s="35" t="s">
        <v>28</v>
      </c>
      <c r="H78" s="36"/>
      <c r="I78" s="38"/>
      <c r="J78" s="38"/>
      <c r="K78" s="39"/>
      <c r="L78" s="40"/>
      <c r="M78" s="39">
        <f t="shared" si="2"/>
        <v>0</v>
      </c>
      <c r="N78" s="39"/>
      <c r="O78" s="41"/>
      <c r="P78" s="69"/>
      <c r="Q78" s="39"/>
      <c r="R78" s="40"/>
      <c r="S78" s="39">
        <f t="shared" si="3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82"/>
      <c r="B79" s="381" t="s">
        <v>85</v>
      </c>
      <c r="C79" s="381" t="s">
        <v>22</v>
      </c>
      <c r="D79" s="385"/>
      <c r="E79" s="381" t="s">
        <v>27</v>
      </c>
      <c r="F79" s="127"/>
      <c r="G79" s="47" t="s">
        <v>24</v>
      </c>
      <c r="H79" s="98"/>
      <c r="I79" s="49"/>
      <c r="J79" s="49"/>
      <c r="K79" s="50"/>
      <c r="L79" s="51"/>
      <c r="M79" s="50">
        <f t="shared" si="2"/>
        <v>0</v>
      </c>
      <c r="N79" s="50"/>
      <c r="O79" s="31"/>
      <c r="P79" s="108">
        <v>1</v>
      </c>
      <c r="Q79" s="65">
        <v>405.02</v>
      </c>
      <c r="R79" s="51"/>
      <c r="S79" s="50">
        <f t="shared" si="3"/>
        <v>0</v>
      </c>
      <c r="T79" s="50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9"/>
      <c r="B80" s="380"/>
      <c r="C80" s="380"/>
      <c r="D80" s="380"/>
      <c r="E80" s="380"/>
      <c r="F80" s="126"/>
      <c r="G80" s="55" t="s">
        <v>28</v>
      </c>
      <c r="H80" s="116"/>
      <c r="I80" s="57"/>
      <c r="J80" s="57"/>
      <c r="K80" s="43"/>
      <c r="L80" s="44"/>
      <c r="M80" s="43">
        <f t="shared" si="2"/>
        <v>0</v>
      </c>
      <c r="N80" s="43"/>
      <c r="O80" s="41"/>
      <c r="P80" s="103"/>
      <c r="Q80" s="43"/>
      <c r="R80" s="44"/>
      <c r="S80" s="43">
        <f t="shared" si="3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86</v>
      </c>
      <c r="C81" s="374" t="s">
        <v>22</v>
      </c>
      <c r="D81" s="374"/>
      <c r="E81" s="374" t="s">
        <v>23</v>
      </c>
      <c r="F81" s="60"/>
      <c r="G81" s="23" t="s">
        <v>24</v>
      </c>
      <c r="H81" s="98"/>
      <c r="I81" s="25"/>
      <c r="J81" s="25"/>
      <c r="K81" s="26"/>
      <c r="L81" s="27"/>
      <c r="M81" s="26">
        <f t="shared" si="2"/>
        <v>0</v>
      </c>
      <c r="N81" s="26"/>
      <c r="O81" s="31"/>
      <c r="P81" s="99"/>
      <c r="Q81" s="26"/>
      <c r="R81" s="27"/>
      <c r="S81" s="26">
        <f t="shared" si="3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126"/>
      <c r="G82" s="55" t="s">
        <v>25</v>
      </c>
      <c r="H82" s="118"/>
      <c r="I82" s="57"/>
      <c r="J82" s="57"/>
      <c r="K82" s="43"/>
      <c r="L82" s="44"/>
      <c r="M82" s="43">
        <f t="shared" si="2"/>
        <v>0</v>
      </c>
      <c r="N82" s="43"/>
      <c r="O82" s="41"/>
      <c r="P82" s="103"/>
      <c r="Q82" s="43"/>
      <c r="R82" s="44"/>
      <c r="S82" s="43">
        <f t="shared" si="3"/>
        <v>0</v>
      </c>
      <c r="T82" s="43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87</v>
      </c>
      <c r="C83" s="374" t="s">
        <v>39</v>
      </c>
      <c r="D83" s="374" t="s">
        <v>88</v>
      </c>
      <c r="E83" s="374" t="s">
        <v>89</v>
      </c>
      <c r="F83" s="22"/>
      <c r="G83" s="23" t="s">
        <v>24</v>
      </c>
      <c r="H83" s="104"/>
      <c r="I83" s="25"/>
      <c r="J83" s="25"/>
      <c r="K83" s="26"/>
      <c r="L83" s="27"/>
      <c r="M83" s="26">
        <f t="shared" si="2"/>
        <v>0</v>
      </c>
      <c r="N83" s="26"/>
      <c r="O83" s="31"/>
      <c r="P83" s="53">
        <v>2</v>
      </c>
      <c r="Q83" s="30">
        <v>5094.8</v>
      </c>
      <c r="R83" s="27"/>
      <c r="S83" s="26">
        <f t="shared" si="3"/>
        <v>0</v>
      </c>
      <c r="T83" s="26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35" t="s">
        <v>25</v>
      </c>
      <c r="H84" s="117">
        <v>1</v>
      </c>
      <c r="I84" s="38"/>
      <c r="J84" s="38"/>
      <c r="K84" s="39"/>
      <c r="L84" s="40"/>
      <c r="M84" s="39">
        <f t="shared" si="2"/>
        <v>0</v>
      </c>
      <c r="N84" s="39"/>
      <c r="O84" s="41"/>
      <c r="P84" s="59"/>
      <c r="Q84" s="39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82"/>
      <c r="B85" s="381" t="s">
        <v>90</v>
      </c>
      <c r="C85" s="381" t="s">
        <v>39</v>
      </c>
      <c r="D85" s="381" t="s">
        <v>91</v>
      </c>
      <c r="E85" s="381" t="s">
        <v>27</v>
      </c>
      <c r="F85" s="46"/>
      <c r="G85" s="47" t="s">
        <v>24</v>
      </c>
      <c r="H85" s="107"/>
      <c r="I85" s="49"/>
      <c r="J85" s="49"/>
      <c r="K85" s="50"/>
      <c r="L85" s="51"/>
      <c r="M85" s="50">
        <f t="shared" si="2"/>
        <v>0</v>
      </c>
      <c r="N85" s="50"/>
      <c r="O85" s="31"/>
      <c r="P85" s="108">
        <v>1</v>
      </c>
      <c r="Q85" s="65">
        <v>4050.2</v>
      </c>
      <c r="R85" s="51"/>
      <c r="S85" s="50">
        <f t="shared" si="3"/>
        <v>0</v>
      </c>
      <c r="T85" s="50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75"/>
      <c r="E86" s="380"/>
      <c r="F86" s="54"/>
      <c r="G86" s="55" t="s">
        <v>28</v>
      </c>
      <c r="H86" s="116"/>
      <c r="I86" s="57"/>
      <c r="J86" s="57"/>
      <c r="K86" s="43"/>
      <c r="L86" s="44"/>
      <c r="M86" s="43">
        <f t="shared" si="2"/>
        <v>0</v>
      </c>
      <c r="N86" s="43"/>
      <c r="O86" s="41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92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2"/>
        <v>0</v>
      </c>
      <c r="N87" s="26"/>
      <c r="O87" s="31"/>
      <c r="P87" s="53">
        <v>3</v>
      </c>
      <c r="Q87" s="30">
        <v>12637.19</v>
      </c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54"/>
      <c r="G88" s="55" t="s">
        <v>28</v>
      </c>
      <c r="H88" s="133">
        <v>1</v>
      </c>
      <c r="I88" s="57"/>
      <c r="J88" s="57"/>
      <c r="K88" s="43"/>
      <c r="L88" s="44"/>
      <c r="M88" s="43">
        <f t="shared" si="2"/>
        <v>0</v>
      </c>
      <c r="N88" s="43"/>
      <c r="O88" s="41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93</v>
      </c>
      <c r="C89" s="374" t="s">
        <v>22</v>
      </c>
      <c r="D89" s="374"/>
      <c r="E89" s="374" t="s">
        <v>27</v>
      </c>
      <c r="F89" s="22"/>
      <c r="G89" s="23" t="s">
        <v>24</v>
      </c>
      <c r="H89" s="98"/>
      <c r="I89" s="25"/>
      <c r="J89" s="25"/>
      <c r="K89" s="26"/>
      <c r="L89" s="27"/>
      <c r="M89" s="26">
        <f t="shared" si="2"/>
        <v>0</v>
      </c>
      <c r="N89" s="26"/>
      <c r="O89" s="31"/>
      <c r="P89" s="99"/>
      <c r="Q89" s="26"/>
      <c r="R89" s="27"/>
      <c r="S89" s="26">
        <f t="shared" si="3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126"/>
      <c r="G90" s="55" t="s">
        <v>28</v>
      </c>
      <c r="H90" s="116"/>
      <c r="I90" s="57"/>
      <c r="J90" s="57"/>
      <c r="K90" s="43"/>
      <c r="L90" s="44"/>
      <c r="M90" s="43">
        <f t="shared" si="2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94</v>
      </c>
      <c r="C91" s="374" t="s">
        <v>39</v>
      </c>
      <c r="D91" s="374" t="s">
        <v>95</v>
      </c>
      <c r="E91" s="374" t="s">
        <v>96</v>
      </c>
      <c r="F91" s="22"/>
      <c r="G91" s="23" t="s">
        <v>24</v>
      </c>
      <c r="H91" s="107"/>
      <c r="I91" s="25"/>
      <c r="J91" s="25"/>
      <c r="K91" s="26"/>
      <c r="L91" s="27"/>
      <c r="M91" s="26">
        <f t="shared" si="2"/>
        <v>0</v>
      </c>
      <c r="N91" s="26"/>
      <c r="O91" s="31"/>
      <c r="P91" s="53">
        <v>9</v>
      </c>
      <c r="Q91" s="30">
        <v>15954.43</v>
      </c>
      <c r="R91" s="27"/>
      <c r="S91" s="26">
        <f t="shared" si="3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54"/>
      <c r="G92" s="55" t="s">
        <v>25</v>
      </c>
      <c r="H92" s="102"/>
      <c r="I92" s="57"/>
      <c r="J92" s="57"/>
      <c r="K92" s="43"/>
      <c r="L92" s="44"/>
      <c r="M92" s="43">
        <f t="shared" si="2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97</v>
      </c>
      <c r="C93" s="374"/>
      <c r="D93" s="374"/>
      <c r="E93" s="374"/>
      <c r="F93" s="60"/>
      <c r="G93" s="23" t="s">
        <v>24</v>
      </c>
      <c r="H93" s="119"/>
      <c r="I93" s="25"/>
      <c r="J93" s="25"/>
      <c r="K93" s="26"/>
      <c r="L93" s="27"/>
      <c r="M93" s="26">
        <f t="shared" si="2"/>
        <v>0</v>
      </c>
      <c r="N93" s="26"/>
      <c r="O93" s="31"/>
      <c r="P93" s="99"/>
      <c r="Q93" s="26"/>
      <c r="R93" s="27"/>
      <c r="S93" s="26">
        <f t="shared" si="3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60"/>
      <c r="G94" s="55" t="s">
        <v>28</v>
      </c>
      <c r="H94" s="121">
        <v>1</v>
      </c>
      <c r="I94" s="57"/>
      <c r="J94" s="57"/>
      <c r="K94" s="43"/>
      <c r="L94" s="44"/>
      <c r="M94" s="43">
        <f t="shared" si="2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98</v>
      </c>
      <c r="C95" s="374" t="s">
        <v>22</v>
      </c>
      <c r="D95" s="374"/>
      <c r="E95" s="374" t="s">
        <v>99</v>
      </c>
      <c r="F95" s="60"/>
      <c r="G95" s="23" t="s">
        <v>24</v>
      </c>
      <c r="H95" s="24">
        <v>1</v>
      </c>
      <c r="I95" s="25"/>
      <c r="J95" s="25"/>
      <c r="K95" s="26"/>
      <c r="L95" s="27"/>
      <c r="M95" s="26">
        <f t="shared" si="2"/>
        <v>0</v>
      </c>
      <c r="N95" s="26"/>
      <c r="O95" s="31"/>
      <c r="P95" s="53">
        <v>5</v>
      </c>
      <c r="Q95" s="30">
        <v>4433.3599999999997</v>
      </c>
      <c r="R95" s="27"/>
      <c r="S95" s="26">
        <f t="shared" si="3"/>
        <v>0</v>
      </c>
      <c r="T95" s="26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16"/>
      <c r="I96" s="38"/>
      <c r="J96" s="38"/>
      <c r="K96" s="161"/>
      <c r="L96" s="138"/>
      <c r="M96" s="39">
        <f t="shared" si="2"/>
        <v>0</v>
      </c>
      <c r="N96" s="39"/>
      <c r="O96" s="41"/>
      <c r="P96" s="59"/>
      <c r="Q96" s="39"/>
      <c r="R96" s="40"/>
      <c r="S96" s="39">
        <f t="shared" si="3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100</v>
      </c>
      <c r="C97" s="381" t="s">
        <v>22</v>
      </c>
      <c r="D97" s="381" t="s">
        <v>101</v>
      </c>
      <c r="E97" s="381" t="s">
        <v>27</v>
      </c>
      <c r="F97" s="46"/>
      <c r="G97" s="47" t="s">
        <v>24</v>
      </c>
      <c r="H97" s="98"/>
      <c r="I97" s="49"/>
      <c r="J97" s="49"/>
      <c r="K97" s="50"/>
      <c r="L97" s="51"/>
      <c r="M97" s="50">
        <f t="shared" si="2"/>
        <v>0</v>
      </c>
      <c r="N97" s="50"/>
      <c r="O97" s="31"/>
      <c r="P97" s="108">
        <v>2</v>
      </c>
      <c r="Q97" s="65">
        <v>22972.83</v>
      </c>
      <c r="R97" s="51"/>
      <c r="S97" s="50">
        <f t="shared" si="3"/>
        <v>0</v>
      </c>
      <c r="T97" s="50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34"/>
      <c r="G98" s="35" t="s">
        <v>28</v>
      </c>
      <c r="H98" s="116"/>
      <c r="I98" s="38"/>
      <c r="J98" s="38"/>
      <c r="K98" s="39"/>
      <c r="L98" s="40"/>
      <c r="M98" s="39">
        <f t="shared" si="2"/>
        <v>0</v>
      </c>
      <c r="N98" s="39"/>
      <c r="O98" s="41"/>
      <c r="P98" s="59"/>
      <c r="Q98" s="39"/>
      <c r="R98" s="40"/>
      <c r="S98" s="39">
        <f t="shared" si="3"/>
        <v>0</v>
      </c>
      <c r="T98" s="39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82"/>
      <c r="B99" s="381" t="s">
        <v>102</v>
      </c>
      <c r="C99" s="381" t="s">
        <v>22</v>
      </c>
      <c r="D99" s="381"/>
      <c r="E99" s="381" t="s">
        <v>67</v>
      </c>
      <c r="F99" s="46"/>
      <c r="G99" s="23" t="s">
        <v>24</v>
      </c>
      <c r="H99" s="107"/>
      <c r="I99" s="49"/>
      <c r="J99" s="49"/>
      <c r="K99" s="50"/>
      <c r="L99" s="51"/>
      <c r="M99" s="50">
        <f t="shared" si="2"/>
        <v>0</v>
      </c>
      <c r="N99" s="50"/>
      <c r="O99" s="31"/>
      <c r="P99" s="108">
        <v>3</v>
      </c>
      <c r="Q99" s="65">
        <v>5698.39</v>
      </c>
      <c r="R99" s="51"/>
      <c r="S99" s="50">
        <f t="shared" si="3"/>
        <v>0</v>
      </c>
      <c r="T99" s="50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9"/>
      <c r="B100" s="380"/>
      <c r="C100" s="380"/>
      <c r="D100" s="380"/>
      <c r="E100" s="380"/>
      <c r="F100" s="54"/>
      <c r="G100" s="55" t="s">
        <v>28</v>
      </c>
      <c r="H100" s="111"/>
      <c r="I100" s="57"/>
      <c r="J100" s="57"/>
      <c r="K100" s="43"/>
      <c r="L100" s="128"/>
      <c r="M100" s="50">
        <f t="shared" si="2"/>
        <v>0</v>
      </c>
      <c r="N100" s="43"/>
      <c r="O100" s="41"/>
      <c r="P100" s="103"/>
      <c r="Q100" s="43"/>
      <c r="R100" s="44"/>
      <c r="S100" s="43">
        <f t="shared" si="3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103</v>
      </c>
      <c r="C101" s="374" t="s">
        <v>22</v>
      </c>
      <c r="D101" s="374"/>
      <c r="E101" s="374" t="s">
        <v>67</v>
      </c>
      <c r="F101" s="22"/>
      <c r="G101" s="23" t="s">
        <v>24</v>
      </c>
      <c r="H101" s="107"/>
      <c r="I101" s="25"/>
      <c r="J101" s="25"/>
      <c r="K101" s="26"/>
      <c r="L101" s="27"/>
      <c r="M101" s="26">
        <f t="shared" si="2"/>
        <v>0</v>
      </c>
      <c r="N101" s="26"/>
      <c r="O101" s="31"/>
      <c r="P101" s="53">
        <v>3</v>
      </c>
      <c r="Q101" s="30">
        <v>2229.92</v>
      </c>
      <c r="R101" s="27"/>
      <c r="S101" s="26">
        <f t="shared" si="3"/>
        <v>0</v>
      </c>
      <c r="T101" s="26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34"/>
      <c r="G102" s="35" t="s">
        <v>28</v>
      </c>
      <c r="H102" s="116"/>
      <c r="I102" s="38"/>
      <c r="J102" s="38"/>
      <c r="K102" s="39"/>
      <c r="L102" s="40"/>
      <c r="M102" s="39">
        <f t="shared" si="2"/>
        <v>0</v>
      </c>
      <c r="N102" s="39"/>
      <c r="O102" s="41"/>
      <c r="P102" s="59"/>
      <c r="Q102" s="39"/>
      <c r="R102" s="40"/>
      <c r="S102" s="39">
        <f t="shared" si="3"/>
        <v>0</v>
      </c>
      <c r="T102" s="39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82"/>
      <c r="B103" s="381" t="s">
        <v>104</v>
      </c>
      <c r="C103" s="381" t="s">
        <v>39</v>
      </c>
      <c r="D103" s="381" t="s">
        <v>105</v>
      </c>
      <c r="E103" s="381" t="s">
        <v>27</v>
      </c>
      <c r="F103" s="46"/>
      <c r="G103" s="23" t="s">
        <v>24</v>
      </c>
      <c r="H103" s="107"/>
      <c r="I103" s="49"/>
      <c r="J103" s="49"/>
      <c r="K103" s="50"/>
      <c r="L103" s="51"/>
      <c r="M103" s="50">
        <f t="shared" si="2"/>
        <v>0</v>
      </c>
      <c r="N103" s="50"/>
      <c r="O103" s="31"/>
      <c r="P103" s="108">
        <v>5</v>
      </c>
      <c r="Q103" s="65">
        <v>8664.0400000000009</v>
      </c>
      <c r="R103" s="51"/>
      <c r="S103" s="50">
        <f t="shared" si="3"/>
        <v>0</v>
      </c>
      <c r="T103" s="50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54"/>
      <c r="G104" s="55" t="s">
        <v>28</v>
      </c>
      <c r="H104" s="116"/>
      <c r="I104" s="57"/>
      <c r="J104" s="57"/>
      <c r="K104" s="43"/>
      <c r="L104" s="44"/>
      <c r="M104" s="43">
        <f t="shared" si="2"/>
        <v>0</v>
      </c>
      <c r="N104" s="43"/>
      <c r="O104" s="41"/>
      <c r="P104" s="103"/>
      <c r="Q104" s="43"/>
      <c r="R104" s="44"/>
      <c r="S104" s="43">
        <f t="shared" si="3"/>
        <v>0</v>
      </c>
      <c r="T104" s="43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106</v>
      </c>
      <c r="C105" s="374" t="s">
        <v>22</v>
      </c>
      <c r="D105" s="374" t="s">
        <v>107</v>
      </c>
      <c r="E105" s="374" t="s">
        <v>27</v>
      </c>
      <c r="F105" s="22"/>
      <c r="G105" s="23" t="s">
        <v>24</v>
      </c>
      <c r="H105" s="107"/>
      <c r="I105" s="25"/>
      <c r="J105" s="25"/>
      <c r="K105" s="26"/>
      <c r="L105" s="27"/>
      <c r="M105" s="26">
        <f t="shared" si="2"/>
        <v>0</v>
      </c>
      <c r="N105" s="26"/>
      <c r="O105" s="31"/>
      <c r="P105" s="53">
        <v>6</v>
      </c>
      <c r="Q105" s="30">
        <v>16685.68</v>
      </c>
      <c r="R105" s="27"/>
      <c r="S105" s="26">
        <f t="shared" si="3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9"/>
      <c r="B106" s="380"/>
      <c r="C106" s="380"/>
      <c r="D106" s="380"/>
      <c r="E106" s="380"/>
      <c r="F106" s="54"/>
      <c r="G106" s="55" t="s">
        <v>28</v>
      </c>
      <c r="H106" s="111"/>
      <c r="I106" s="57"/>
      <c r="J106" s="57"/>
      <c r="K106" s="43"/>
      <c r="L106" s="44"/>
      <c r="M106" s="43">
        <f t="shared" si="2"/>
        <v>0</v>
      </c>
      <c r="N106" s="43"/>
      <c r="O106" s="41"/>
      <c r="P106" s="103"/>
      <c r="Q106" s="43"/>
      <c r="R106" s="44"/>
      <c r="S106" s="43">
        <f t="shared" si="3"/>
        <v>0</v>
      </c>
      <c r="T106" s="57"/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2"/>
      <c r="B107" s="374" t="s">
        <v>108</v>
      </c>
      <c r="C107" s="374" t="s">
        <v>46</v>
      </c>
      <c r="D107" s="374" t="s">
        <v>109</v>
      </c>
      <c r="E107" s="374" t="s">
        <v>27</v>
      </c>
      <c r="F107" s="60"/>
      <c r="G107" s="23" t="s">
        <v>24</v>
      </c>
      <c r="H107" s="98"/>
      <c r="I107" s="25"/>
      <c r="J107" s="25"/>
      <c r="K107" s="26"/>
      <c r="L107" s="27"/>
      <c r="M107" s="26">
        <f t="shared" si="2"/>
        <v>0</v>
      </c>
      <c r="N107" s="26"/>
      <c r="O107" s="31"/>
      <c r="P107" s="53">
        <v>3</v>
      </c>
      <c r="Q107" s="30">
        <v>13843.77</v>
      </c>
      <c r="R107" s="27"/>
      <c r="S107" s="26">
        <f t="shared" si="3"/>
        <v>0</v>
      </c>
      <c r="T107" s="26"/>
      <c r="U107" s="3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7"/>
      <c r="B108" s="386"/>
      <c r="C108" s="386"/>
      <c r="D108" s="386"/>
      <c r="E108" s="386"/>
      <c r="F108" s="140"/>
      <c r="G108" s="141" t="s">
        <v>28</v>
      </c>
      <c r="H108" s="107"/>
      <c r="I108" s="139"/>
      <c r="J108" s="139"/>
      <c r="K108" s="142"/>
      <c r="L108" s="143"/>
      <c r="M108" s="142">
        <f t="shared" si="2"/>
        <v>0</v>
      </c>
      <c r="N108" s="142"/>
      <c r="O108" s="45"/>
      <c r="P108" s="144"/>
      <c r="Q108" s="142"/>
      <c r="R108" s="143"/>
      <c r="S108" s="142">
        <f t="shared" si="3"/>
        <v>0</v>
      </c>
      <c r="T108" s="142"/>
      <c r="U108" s="4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145"/>
      <c r="G109" s="146" t="s">
        <v>25</v>
      </c>
      <c r="H109" s="147"/>
      <c r="I109" s="38"/>
      <c r="J109" s="38"/>
      <c r="K109" s="39"/>
      <c r="L109" s="40"/>
      <c r="M109" s="39">
        <f t="shared" si="2"/>
        <v>0</v>
      </c>
      <c r="N109" s="39"/>
      <c r="O109" s="41"/>
      <c r="P109" s="59"/>
      <c r="Q109" s="39"/>
      <c r="R109" s="40"/>
      <c r="S109" s="39">
        <f t="shared" si="3"/>
        <v>0</v>
      </c>
      <c r="T109" s="39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82"/>
      <c r="B110" s="381" t="s">
        <v>110</v>
      </c>
      <c r="C110" s="381" t="s">
        <v>22</v>
      </c>
      <c r="D110" s="381"/>
      <c r="E110" s="381" t="s">
        <v>67</v>
      </c>
      <c r="F110" s="127"/>
      <c r="G110" s="23" t="s">
        <v>24</v>
      </c>
      <c r="H110" s="107"/>
      <c r="I110" s="49"/>
      <c r="J110" s="49"/>
      <c r="K110" s="50"/>
      <c r="L110" s="51"/>
      <c r="M110" s="50">
        <f t="shared" si="2"/>
        <v>0</v>
      </c>
      <c r="N110" s="50"/>
      <c r="O110" s="31"/>
      <c r="P110" s="108">
        <v>2</v>
      </c>
      <c r="Q110" s="65">
        <v>3739.14</v>
      </c>
      <c r="R110" s="51"/>
      <c r="S110" s="50">
        <f t="shared" si="3"/>
        <v>0</v>
      </c>
      <c r="T110" s="50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54"/>
      <c r="G111" s="55" t="s">
        <v>28</v>
      </c>
      <c r="H111" s="116"/>
      <c r="I111" s="57"/>
      <c r="J111" s="57"/>
      <c r="K111" s="43"/>
      <c r="L111" s="44"/>
      <c r="M111" s="43">
        <f t="shared" si="2"/>
        <v>0</v>
      </c>
      <c r="N111" s="43"/>
      <c r="O111" s="41"/>
      <c r="P111" s="103"/>
      <c r="Q111" s="43"/>
      <c r="R111" s="44"/>
      <c r="S111" s="43">
        <f t="shared" si="3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111</v>
      </c>
      <c r="C112" s="374" t="s">
        <v>22</v>
      </c>
      <c r="D112" s="374"/>
      <c r="E112" s="374" t="s">
        <v>112</v>
      </c>
      <c r="F112" s="22"/>
      <c r="G112" s="23" t="s">
        <v>24</v>
      </c>
      <c r="H112" s="107"/>
      <c r="I112" s="25"/>
      <c r="J112" s="25"/>
      <c r="K112" s="26"/>
      <c r="L112" s="27"/>
      <c r="M112" s="26">
        <f t="shared" si="2"/>
        <v>0</v>
      </c>
      <c r="N112" s="26"/>
      <c r="O112" s="31"/>
      <c r="P112" s="99"/>
      <c r="Q112" s="26"/>
      <c r="R112" s="27"/>
      <c r="S112" s="26">
        <f t="shared" si="3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9"/>
      <c r="B113" s="380"/>
      <c r="C113" s="380"/>
      <c r="D113" s="380"/>
      <c r="E113" s="380"/>
      <c r="F113" s="54"/>
      <c r="G113" s="55" t="s">
        <v>28</v>
      </c>
      <c r="H113" s="116"/>
      <c r="I113" s="57"/>
      <c r="J113" s="57"/>
      <c r="K113" s="43"/>
      <c r="L113" s="44"/>
      <c r="M113" s="43">
        <f t="shared" si="2"/>
        <v>0</v>
      </c>
      <c r="N113" s="43"/>
      <c r="O113" s="41"/>
      <c r="P113" s="103"/>
      <c r="Q113" s="43"/>
      <c r="R113" s="44"/>
      <c r="S113" s="43">
        <f t="shared" si="3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113</v>
      </c>
      <c r="C114" s="374" t="s">
        <v>22</v>
      </c>
      <c r="D114" s="374" t="s">
        <v>114</v>
      </c>
      <c r="E114" s="374" t="s">
        <v>27</v>
      </c>
      <c r="F114" s="60"/>
      <c r="G114" s="23" t="s">
        <v>24</v>
      </c>
      <c r="H114" s="107"/>
      <c r="I114" s="25"/>
      <c r="J114" s="25"/>
      <c r="K114" s="26"/>
      <c r="L114" s="27"/>
      <c r="M114" s="26">
        <f t="shared" si="2"/>
        <v>0</v>
      </c>
      <c r="N114" s="26"/>
      <c r="O114" s="31"/>
      <c r="P114" s="53">
        <v>5</v>
      </c>
      <c r="Q114" s="30">
        <v>14530.2</v>
      </c>
      <c r="R114" s="27"/>
      <c r="S114" s="26">
        <f t="shared" si="3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54"/>
      <c r="G115" s="55" t="s">
        <v>28</v>
      </c>
      <c r="H115" s="118"/>
      <c r="I115" s="57"/>
      <c r="J115" s="57"/>
      <c r="K115" s="43"/>
      <c r="L115" s="44"/>
      <c r="M115" s="43">
        <f t="shared" si="2"/>
        <v>0</v>
      </c>
      <c r="N115" s="43"/>
      <c r="O115" s="45"/>
      <c r="P115" s="103"/>
      <c r="Q115" s="43"/>
      <c r="R115" s="44"/>
      <c r="S115" s="43">
        <f t="shared" si="3"/>
        <v>0</v>
      </c>
      <c r="T115" s="43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115</v>
      </c>
      <c r="C116" s="374" t="s">
        <v>22</v>
      </c>
      <c r="D116" s="374"/>
      <c r="E116" s="374" t="s">
        <v>27</v>
      </c>
      <c r="F116" s="22"/>
      <c r="G116" s="23" t="s">
        <v>24</v>
      </c>
      <c r="H116" s="104"/>
      <c r="I116" s="25"/>
      <c r="J116" s="25"/>
      <c r="K116" s="26"/>
      <c r="L116" s="148"/>
      <c r="M116" s="149">
        <f t="shared" si="2"/>
        <v>0</v>
      </c>
      <c r="N116" s="26"/>
      <c r="O116" s="100"/>
      <c r="P116" s="120"/>
      <c r="Q116" s="26"/>
      <c r="R116" s="27"/>
      <c r="S116" s="26">
        <f t="shared" si="3"/>
        <v>0</v>
      </c>
      <c r="T116" s="26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06"/>
      <c r="I117" s="38"/>
      <c r="J117" s="38"/>
      <c r="K117" s="39"/>
      <c r="L117" s="40"/>
      <c r="M117" s="39">
        <f t="shared" si="2"/>
        <v>0</v>
      </c>
      <c r="N117" s="39"/>
      <c r="O117" s="41"/>
      <c r="P117" s="69"/>
      <c r="Q117" s="39"/>
      <c r="R117" s="40"/>
      <c r="S117" s="39">
        <f t="shared" si="3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116</v>
      </c>
      <c r="C118" s="381" t="s">
        <v>22</v>
      </c>
      <c r="D118" s="381"/>
      <c r="E118" s="381" t="s">
        <v>27</v>
      </c>
      <c r="F118" s="46"/>
      <c r="G118" s="47" t="s">
        <v>24</v>
      </c>
      <c r="H118" s="104"/>
      <c r="I118" s="25"/>
      <c r="J118" s="25"/>
      <c r="K118" s="26"/>
      <c r="L118" s="27"/>
      <c r="M118" s="26">
        <f t="shared" si="2"/>
        <v>0</v>
      </c>
      <c r="N118" s="26"/>
      <c r="O118" s="100"/>
      <c r="P118" s="64">
        <v>1</v>
      </c>
      <c r="Q118" s="65">
        <v>2272.3200000000002</v>
      </c>
      <c r="R118" s="51"/>
      <c r="S118" s="50">
        <f t="shared" si="3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35" t="s">
        <v>28</v>
      </c>
      <c r="H119" s="116"/>
      <c r="I119" s="38"/>
      <c r="J119" s="38"/>
      <c r="K119" s="39"/>
      <c r="L119" s="40"/>
      <c r="M119" s="39">
        <f t="shared" si="2"/>
        <v>0</v>
      </c>
      <c r="N119" s="39"/>
      <c r="O119" s="41"/>
      <c r="P119" s="69"/>
      <c r="Q119" s="39"/>
      <c r="R119" s="40"/>
      <c r="S119" s="39">
        <f t="shared" si="3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2"/>
      <c r="B120" s="381" t="s">
        <v>117</v>
      </c>
      <c r="C120" s="381" t="s">
        <v>22</v>
      </c>
      <c r="D120" s="381"/>
      <c r="E120" s="381" t="s">
        <v>67</v>
      </c>
      <c r="F120" s="46"/>
      <c r="G120" s="23" t="s">
        <v>24</v>
      </c>
      <c r="H120" s="107"/>
      <c r="I120" s="49"/>
      <c r="J120" s="49"/>
      <c r="K120" s="50"/>
      <c r="L120" s="51"/>
      <c r="M120" s="50">
        <f t="shared" si="2"/>
        <v>0</v>
      </c>
      <c r="N120" s="50"/>
      <c r="O120" s="31"/>
      <c r="P120" s="108">
        <v>17</v>
      </c>
      <c r="Q120" s="65">
        <v>55454.879999999997</v>
      </c>
      <c r="R120" s="51"/>
      <c r="S120" s="50">
        <f t="shared" si="3"/>
        <v>0</v>
      </c>
      <c r="T120" s="50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126"/>
      <c r="G121" s="55" t="s">
        <v>28</v>
      </c>
      <c r="H121" s="116"/>
      <c r="I121" s="57"/>
      <c r="J121" s="57"/>
      <c r="K121" s="43"/>
      <c r="L121" s="44"/>
      <c r="M121" s="43">
        <f t="shared" si="2"/>
        <v>0</v>
      </c>
      <c r="N121" s="43"/>
      <c r="O121" s="41"/>
      <c r="P121" s="103"/>
      <c r="Q121" s="43"/>
      <c r="R121" s="44"/>
      <c r="S121" s="43">
        <f t="shared" si="3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118</v>
      </c>
      <c r="C122" s="374" t="s">
        <v>22</v>
      </c>
      <c r="D122" s="374"/>
      <c r="E122" s="374" t="s">
        <v>27</v>
      </c>
      <c r="F122" s="150"/>
      <c r="G122" s="23" t="s">
        <v>24</v>
      </c>
      <c r="H122" s="151"/>
      <c r="I122" s="25"/>
      <c r="J122" s="25"/>
      <c r="K122" s="26"/>
      <c r="L122" s="27"/>
      <c r="M122" s="26">
        <f t="shared" si="2"/>
        <v>0</v>
      </c>
      <c r="N122" s="26"/>
      <c r="O122" s="31"/>
      <c r="P122" s="53">
        <v>5</v>
      </c>
      <c r="Q122" s="30">
        <v>20346.849999999999</v>
      </c>
      <c r="R122" s="27"/>
      <c r="S122" s="26">
        <f t="shared" si="3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75"/>
      <c r="C123" s="375"/>
      <c r="D123" s="375"/>
      <c r="E123" s="375"/>
      <c r="F123" s="152"/>
      <c r="G123" s="35" t="s">
        <v>28</v>
      </c>
      <c r="H123" s="116"/>
      <c r="I123" s="38"/>
      <c r="J123" s="38"/>
      <c r="K123" s="39"/>
      <c r="L123" s="40"/>
      <c r="M123" s="39">
        <f t="shared" si="2"/>
        <v>0</v>
      </c>
      <c r="N123" s="39"/>
      <c r="O123" s="41"/>
      <c r="P123" s="59"/>
      <c r="Q123" s="39"/>
      <c r="R123" s="40"/>
      <c r="S123" s="39">
        <f t="shared" si="3"/>
        <v>0</v>
      </c>
      <c r="T123" s="39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119</v>
      </c>
      <c r="C124" s="374" t="s">
        <v>39</v>
      </c>
      <c r="D124" s="374" t="s">
        <v>120</v>
      </c>
      <c r="E124" s="374" t="s">
        <v>121</v>
      </c>
      <c r="F124" s="22"/>
      <c r="G124" s="23" t="s">
        <v>24</v>
      </c>
      <c r="H124" s="98"/>
      <c r="I124" s="25"/>
      <c r="J124" s="25"/>
      <c r="K124" s="26"/>
      <c r="L124" s="27"/>
      <c r="M124" s="26">
        <f t="shared" si="2"/>
        <v>0</v>
      </c>
      <c r="N124" s="26"/>
      <c r="O124" s="31"/>
      <c r="P124" s="53">
        <v>6</v>
      </c>
      <c r="Q124" s="30">
        <v>6372.12</v>
      </c>
      <c r="R124" s="27"/>
      <c r="S124" s="26">
        <f t="shared" si="3"/>
        <v>0</v>
      </c>
      <c r="T124" s="26"/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80"/>
      <c r="C125" s="380"/>
      <c r="D125" s="380"/>
      <c r="E125" s="380"/>
      <c r="F125" s="54"/>
      <c r="G125" s="55" t="s">
        <v>25</v>
      </c>
      <c r="H125" s="153">
        <v>1</v>
      </c>
      <c r="I125" s="57"/>
      <c r="J125" s="57"/>
      <c r="K125" s="43"/>
      <c r="L125" s="44"/>
      <c r="M125" s="43">
        <f t="shared" si="2"/>
        <v>0</v>
      </c>
      <c r="N125" s="43"/>
      <c r="O125" s="41"/>
      <c r="P125" s="103"/>
      <c r="Q125" s="43"/>
      <c r="R125" s="44"/>
      <c r="S125" s="43">
        <f t="shared" si="3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122</v>
      </c>
      <c r="C126" s="374" t="s">
        <v>22</v>
      </c>
      <c r="D126" s="374" t="s">
        <v>123</v>
      </c>
      <c r="E126" s="374" t="s">
        <v>55</v>
      </c>
      <c r="F126" s="22"/>
      <c r="G126" s="23" t="s">
        <v>24</v>
      </c>
      <c r="H126" s="107"/>
      <c r="I126" s="25"/>
      <c r="J126" s="25"/>
      <c r="K126" s="26"/>
      <c r="L126" s="27"/>
      <c r="M126" s="26">
        <f t="shared" si="2"/>
        <v>0</v>
      </c>
      <c r="N126" s="26"/>
      <c r="O126" s="31"/>
      <c r="P126" s="53">
        <v>7</v>
      </c>
      <c r="Q126" s="30">
        <v>17418.47</v>
      </c>
      <c r="R126" s="27"/>
      <c r="S126" s="26">
        <f t="shared" si="3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25</v>
      </c>
      <c r="H127" s="116"/>
      <c r="I127" s="38"/>
      <c r="J127" s="38"/>
      <c r="K127" s="39"/>
      <c r="L127" s="40"/>
      <c r="M127" s="39">
        <f t="shared" si="2"/>
        <v>0</v>
      </c>
      <c r="N127" s="39"/>
      <c r="O127" s="41"/>
      <c r="P127" s="5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124</v>
      </c>
      <c r="C128" s="381" t="s">
        <v>39</v>
      </c>
      <c r="D128" s="381" t="s">
        <v>125</v>
      </c>
      <c r="E128" s="381" t="s">
        <v>27</v>
      </c>
      <c r="F128" s="127"/>
      <c r="G128" s="23" t="s">
        <v>24</v>
      </c>
      <c r="H128" s="107"/>
      <c r="I128" s="49"/>
      <c r="J128" s="49"/>
      <c r="K128" s="50"/>
      <c r="L128" s="51"/>
      <c r="M128" s="50">
        <f t="shared" si="2"/>
        <v>0</v>
      </c>
      <c r="N128" s="50"/>
      <c r="O128" s="31"/>
      <c r="P128" s="108">
        <v>21</v>
      </c>
      <c r="Q128" s="65">
        <v>150462.73000000001</v>
      </c>
      <c r="R128" s="51"/>
      <c r="S128" s="50">
        <f t="shared" si="3"/>
        <v>0</v>
      </c>
      <c r="T128" s="50"/>
      <c r="U128" s="3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87"/>
      <c r="B129" s="386"/>
      <c r="C129" s="386"/>
      <c r="D129" s="386"/>
      <c r="E129" s="386"/>
      <c r="F129" s="135"/>
      <c r="G129" s="154" t="s">
        <v>25</v>
      </c>
      <c r="H129" s="98"/>
      <c r="I129" s="155"/>
      <c r="J129" s="155"/>
      <c r="K129" s="129"/>
      <c r="L129" s="128"/>
      <c r="M129" s="129">
        <f t="shared" si="2"/>
        <v>0</v>
      </c>
      <c r="N129" s="129"/>
      <c r="O129" s="45"/>
      <c r="P129" s="156"/>
      <c r="Q129" s="129"/>
      <c r="R129" s="128"/>
      <c r="S129" s="129">
        <f t="shared" si="3"/>
        <v>0</v>
      </c>
      <c r="T129" s="129"/>
      <c r="U129" s="4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9"/>
      <c r="B130" s="380"/>
      <c r="C130" s="380"/>
      <c r="D130" s="380"/>
      <c r="E130" s="380"/>
      <c r="F130" s="54"/>
      <c r="G130" s="55" t="s">
        <v>28</v>
      </c>
      <c r="H130" s="111"/>
      <c r="I130" s="57"/>
      <c r="J130" s="57"/>
      <c r="K130" s="43"/>
      <c r="L130" s="44"/>
      <c r="M130" s="43">
        <f t="shared" si="2"/>
        <v>0</v>
      </c>
      <c r="N130" s="43"/>
      <c r="O130" s="41"/>
      <c r="P130" s="103"/>
      <c r="Q130" s="43"/>
      <c r="R130" s="44"/>
      <c r="S130" s="43">
        <f t="shared" si="3"/>
        <v>0</v>
      </c>
      <c r="T130" s="43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126</v>
      </c>
      <c r="C131" s="374" t="s">
        <v>22</v>
      </c>
      <c r="D131" s="378"/>
      <c r="E131" s="374" t="s">
        <v>65</v>
      </c>
      <c r="F131" s="150"/>
      <c r="G131" s="23" t="s">
        <v>24</v>
      </c>
      <c r="H131" s="98"/>
      <c r="I131" s="25"/>
      <c r="J131" s="25"/>
      <c r="K131" s="26"/>
      <c r="L131" s="27"/>
      <c r="M131" s="26">
        <f t="shared" si="2"/>
        <v>0</v>
      </c>
      <c r="N131" s="26"/>
      <c r="O131" s="31"/>
      <c r="P131" s="99"/>
      <c r="Q131" s="26"/>
      <c r="R131" s="27"/>
      <c r="S131" s="26">
        <f t="shared" si="3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152"/>
      <c r="G132" s="35" t="s">
        <v>28</v>
      </c>
      <c r="H132" s="111"/>
      <c r="I132" s="38"/>
      <c r="J132" s="38"/>
      <c r="K132" s="39"/>
      <c r="L132" s="40"/>
      <c r="M132" s="39">
        <f t="shared" si="2"/>
        <v>0</v>
      </c>
      <c r="N132" s="39"/>
      <c r="O132" s="41"/>
      <c r="P132" s="59"/>
      <c r="Q132" s="39"/>
      <c r="R132" s="40"/>
      <c r="S132" s="39">
        <f t="shared" si="3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127</v>
      </c>
      <c r="C133" s="381" t="s">
        <v>22</v>
      </c>
      <c r="D133" s="381"/>
      <c r="E133" s="381" t="s">
        <v>67</v>
      </c>
      <c r="F133" s="46"/>
      <c r="G133" s="47" t="s">
        <v>24</v>
      </c>
      <c r="H133" s="107"/>
      <c r="I133" s="49"/>
      <c r="J133" s="49"/>
      <c r="K133" s="50"/>
      <c r="L133" s="51"/>
      <c r="M133" s="50">
        <f t="shared" si="2"/>
        <v>0</v>
      </c>
      <c r="N133" s="50"/>
      <c r="O133" s="31"/>
      <c r="P133" s="108">
        <v>2</v>
      </c>
      <c r="Q133" s="65">
        <v>8462.64</v>
      </c>
      <c r="R133" s="51"/>
      <c r="S133" s="50">
        <f t="shared" si="3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54"/>
      <c r="G134" s="55" t="s">
        <v>28</v>
      </c>
      <c r="H134" s="111"/>
      <c r="I134" s="38"/>
      <c r="J134" s="38"/>
      <c r="K134" s="39"/>
      <c r="L134" s="40"/>
      <c r="M134" s="39">
        <f t="shared" si="2"/>
        <v>0</v>
      </c>
      <c r="N134" s="39"/>
      <c r="O134" s="41"/>
      <c r="P134" s="59"/>
      <c r="Q134" s="39"/>
      <c r="R134" s="40"/>
      <c r="S134" s="39">
        <f t="shared" si="3"/>
        <v>0</v>
      </c>
      <c r="T134" s="39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128</v>
      </c>
      <c r="C135" s="381" t="s">
        <v>39</v>
      </c>
      <c r="D135" s="381" t="s">
        <v>129</v>
      </c>
      <c r="E135" s="381" t="s">
        <v>121</v>
      </c>
      <c r="F135" s="60"/>
      <c r="G135" s="23" t="s">
        <v>24</v>
      </c>
      <c r="H135" s="107"/>
      <c r="I135" s="49"/>
      <c r="J135" s="127"/>
      <c r="K135" s="50"/>
      <c r="L135" s="51"/>
      <c r="M135" s="50">
        <f t="shared" si="2"/>
        <v>0</v>
      </c>
      <c r="N135" s="50"/>
      <c r="O135" s="31"/>
      <c r="P135" s="108">
        <v>1</v>
      </c>
      <c r="Q135" s="65">
        <v>14638.71</v>
      </c>
      <c r="R135" s="51"/>
      <c r="S135" s="50">
        <f t="shared" si="3"/>
        <v>0</v>
      </c>
      <c r="T135" s="50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11"/>
      <c r="I136" s="57"/>
      <c r="J136" s="57"/>
      <c r="K136" s="43"/>
      <c r="L136" s="44"/>
      <c r="M136" s="43">
        <f t="shared" si="2"/>
        <v>0</v>
      </c>
      <c r="N136" s="43"/>
      <c r="O136" s="41"/>
      <c r="P136" s="103"/>
      <c r="Q136" s="43"/>
      <c r="R136" s="44"/>
      <c r="S136" s="43">
        <f t="shared" si="3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130</v>
      </c>
      <c r="C137" s="374" t="s">
        <v>22</v>
      </c>
      <c r="D137" s="374"/>
      <c r="E137" s="374" t="s">
        <v>131</v>
      </c>
      <c r="F137" s="22"/>
      <c r="G137" s="23" t="s">
        <v>24</v>
      </c>
      <c r="H137" s="107"/>
      <c r="I137" s="25"/>
      <c r="J137" s="25"/>
      <c r="K137" s="26"/>
      <c r="L137" s="27"/>
      <c r="M137" s="26">
        <f t="shared" si="2"/>
        <v>0</v>
      </c>
      <c r="N137" s="26"/>
      <c r="O137" s="31"/>
      <c r="P137" s="99"/>
      <c r="Q137" s="26"/>
      <c r="R137" s="27"/>
      <c r="S137" s="26">
        <f t="shared" si="3"/>
        <v>0</v>
      </c>
      <c r="T137" s="26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9"/>
      <c r="B138" s="380"/>
      <c r="C138" s="380"/>
      <c r="D138" s="380"/>
      <c r="E138" s="380"/>
      <c r="F138" s="54"/>
      <c r="G138" s="55" t="s">
        <v>25</v>
      </c>
      <c r="H138" s="102"/>
      <c r="I138" s="57"/>
      <c r="J138" s="57"/>
      <c r="K138" s="43"/>
      <c r="L138" s="44"/>
      <c r="M138" s="43">
        <f t="shared" si="2"/>
        <v>0</v>
      </c>
      <c r="N138" s="43"/>
      <c r="O138" s="41"/>
      <c r="P138" s="103"/>
      <c r="Q138" s="43"/>
      <c r="R138" s="44"/>
      <c r="S138" s="43">
        <f t="shared" si="3"/>
        <v>0</v>
      </c>
      <c r="T138" s="43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132</v>
      </c>
      <c r="C139" s="374"/>
      <c r="D139" s="374"/>
      <c r="E139" s="374"/>
      <c r="F139" s="22"/>
      <c r="G139" s="23" t="s">
        <v>24</v>
      </c>
      <c r="H139" s="104"/>
      <c r="I139" s="25"/>
      <c r="J139" s="25"/>
      <c r="K139" s="26"/>
      <c r="L139" s="27"/>
      <c r="M139" s="26">
        <f t="shared" si="2"/>
        <v>0</v>
      </c>
      <c r="N139" s="26"/>
      <c r="O139" s="31"/>
      <c r="P139" s="53">
        <v>8</v>
      </c>
      <c r="Q139" s="30">
        <v>18419.52</v>
      </c>
      <c r="R139" s="27"/>
      <c r="S139" s="26">
        <f t="shared" si="3"/>
        <v>0</v>
      </c>
      <c r="T139" s="26"/>
      <c r="U139" s="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87"/>
      <c r="B140" s="386"/>
      <c r="C140" s="386"/>
      <c r="D140" s="386"/>
      <c r="E140" s="386"/>
      <c r="F140" s="135"/>
      <c r="G140" s="154" t="s">
        <v>28</v>
      </c>
      <c r="H140" s="102"/>
      <c r="I140" s="155"/>
      <c r="J140" s="155"/>
      <c r="K140" s="129"/>
      <c r="L140" s="128"/>
      <c r="M140" s="129">
        <f t="shared" si="2"/>
        <v>0</v>
      </c>
      <c r="N140" s="129"/>
      <c r="O140" s="45"/>
      <c r="P140" s="156"/>
      <c r="Q140" s="129"/>
      <c r="R140" s="128"/>
      <c r="S140" s="129">
        <f t="shared" si="3"/>
        <v>0</v>
      </c>
      <c r="T140" s="129"/>
      <c r="U140" s="4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126"/>
      <c r="G141" s="55" t="s">
        <v>25</v>
      </c>
      <c r="H141" s="131"/>
      <c r="I141" s="57"/>
      <c r="J141" s="57"/>
      <c r="K141" s="43"/>
      <c r="L141" s="44"/>
      <c r="M141" s="43">
        <f t="shared" si="2"/>
        <v>0</v>
      </c>
      <c r="N141" s="43"/>
      <c r="O141" s="41"/>
      <c r="P141" s="103"/>
      <c r="Q141" s="43"/>
      <c r="R141" s="44"/>
      <c r="S141" s="43">
        <f t="shared" si="3"/>
        <v>0</v>
      </c>
      <c r="T141" s="43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2"/>
      <c r="B142" s="374" t="s">
        <v>133</v>
      </c>
      <c r="C142" s="374"/>
      <c r="D142" s="374"/>
      <c r="E142" s="374"/>
      <c r="F142" s="22"/>
      <c r="G142" s="23" t="s">
        <v>24</v>
      </c>
      <c r="H142" s="61">
        <v>1</v>
      </c>
      <c r="I142" s="25"/>
      <c r="J142" s="25"/>
      <c r="K142" s="26"/>
      <c r="L142" s="27"/>
      <c r="M142" s="26">
        <f t="shared" si="2"/>
        <v>0</v>
      </c>
      <c r="N142" s="26"/>
      <c r="O142" s="31"/>
      <c r="P142" s="99"/>
      <c r="Q142" s="26"/>
      <c r="R142" s="27"/>
      <c r="S142" s="26">
        <f t="shared" si="3"/>
        <v>0</v>
      </c>
      <c r="T142" s="26"/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34"/>
      <c r="G143" s="35" t="s">
        <v>25</v>
      </c>
      <c r="H143" s="106"/>
      <c r="I143" s="38"/>
      <c r="J143" s="38"/>
      <c r="K143" s="39"/>
      <c r="L143" s="40"/>
      <c r="M143" s="39">
        <f t="shared" si="2"/>
        <v>0</v>
      </c>
      <c r="N143" s="39"/>
      <c r="O143" s="41"/>
      <c r="P143" s="59"/>
      <c r="Q143" s="39"/>
      <c r="R143" s="40"/>
      <c r="S143" s="39">
        <f t="shared" si="3"/>
        <v>0</v>
      </c>
      <c r="T143" s="39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82"/>
      <c r="B144" s="381" t="s">
        <v>134</v>
      </c>
      <c r="C144" s="381" t="s">
        <v>39</v>
      </c>
      <c r="D144" s="381" t="s">
        <v>135</v>
      </c>
      <c r="E144" s="381" t="s">
        <v>136</v>
      </c>
      <c r="F144" s="46"/>
      <c r="G144" s="47" t="s">
        <v>24</v>
      </c>
      <c r="H144" s="48">
        <v>1</v>
      </c>
      <c r="I144" s="49"/>
      <c r="J144" s="49"/>
      <c r="K144" s="50"/>
      <c r="L144" s="51"/>
      <c r="M144" s="50">
        <f t="shared" si="2"/>
        <v>0</v>
      </c>
      <c r="N144" s="50"/>
      <c r="O144" s="31"/>
      <c r="P144" s="108">
        <v>2</v>
      </c>
      <c r="Q144" s="65">
        <v>3694.33</v>
      </c>
      <c r="R144" s="51"/>
      <c r="S144" s="50">
        <f t="shared" si="3"/>
        <v>0</v>
      </c>
      <c r="T144" s="50"/>
      <c r="U144" s="3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7"/>
      <c r="B145" s="386"/>
      <c r="C145" s="386"/>
      <c r="D145" s="386"/>
      <c r="E145" s="386"/>
      <c r="F145" s="140"/>
      <c r="G145" s="141" t="s">
        <v>28</v>
      </c>
      <c r="H145" s="151">
        <v>1</v>
      </c>
      <c r="I145" s="139"/>
      <c r="J145" s="139"/>
      <c r="K145" s="142"/>
      <c r="L145" s="143"/>
      <c r="M145" s="142">
        <f t="shared" si="2"/>
        <v>0</v>
      </c>
      <c r="N145" s="142"/>
      <c r="O145" s="45"/>
      <c r="P145" s="144"/>
      <c r="Q145" s="142"/>
      <c r="R145" s="51"/>
      <c r="S145" s="50">
        <f t="shared" si="3"/>
        <v>0</v>
      </c>
      <c r="T145" s="142"/>
      <c r="U145" s="4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54"/>
      <c r="G146" s="55" t="s">
        <v>25</v>
      </c>
      <c r="H146" s="118"/>
      <c r="I146" s="57"/>
      <c r="J146" s="57"/>
      <c r="K146" s="43"/>
      <c r="L146" s="44"/>
      <c r="M146" s="43">
        <f t="shared" si="2"/>
        <v>0</v>
      </c>
      <c r="N146" s="43"/>
      <c r="O146" s="41"/>
      <c r="P146" s="103"/>
      <c r="Q146" s="43"/>
      <c r="R146" s="44"/>
      <c r="S146" s="43">
        <f t="shared" si="3"/>
        <v>0</v>
      </c>
      <c r="T146" s="43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137</v>
      </c>
      <c r="C147" s="374"/>
      <c r="D147" s="374"/>
      <c r="E147" s="374"/>
      <c r="F147" s="22"/>
      <c r="G147" s="23" t="s">
        <v>24</v>
      </c>
      <c r="H147" s="119"/>
      <c r="I147" s="25"/>
      <c r="J147" s="25"/>
      <c r="K147" s="26"/>
      <c r="L147" s="27"/>
      <c r="M147" s="26">
        <f t="shared" si="2"/>
        <v>0</v>
      </c>
      <c r="N147" s="26"/>
      <c r="O147" s="31"/>
      <c r="P147" s="53">
        <v>1</v>
      </c>
      <c r="Q147" s="30">
        <v>576.29999999999995</v>
      </c>
      <c r="R147" s="27"/>
      <c r="S147" s="26">
        <f t="shared" si="3"/>
        <v>0</v>
      </c>
      <c r="T147" s="26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35" t="s">
        <v>28</v>
      </c>
      <c r="H148" s="66">
        <v>1</v>
      </c>
      <c r="I148" s="38"/>
      <c r="J148" s="38"/>
      <c r="K148" s="39"/>
      <c r="L148" s="40"/>
      <c r="M148" s="39">
        <f t="shared" si="2"/>
        <v>0</v>
      </c>
      <c r="N148" s="39"/>
      <c r="O148" s="41"/>
      <c r="P148" s="59"/>
      <c r="Q148" s="39"/>
      <c r="R148" s="40"/>
      <c r="S148" s="39">
        <f t="shared" si="3"/>
        <v>0</v>
      </c>
      <c r="T148" s="39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2"/>
      <c r="B149" s="381" t="s">
        <v>138</v>
      </c>
      <c r="C149" s="381" t="s">
        <v>22</v>
      </c>
      <c r="D149" s="381"/>
      <c r="E149" s="381" t="s">
        <v>27</v>
      </c>
      <c r="F149" s="46"/>
      <c r="G149" s="47" t="s">
        <v>24</v>
      </c>
      <c r="H149" s="98"/>
      <c r="I149" s="49"/>
      <c r="J149" s="49"/>
      <c r="K149" s="50"/>
      <c r="L149" s="51"/>
      <c r="M149" s="50">
        <f t="shared" si="2"/>
        <v>0</v>
      </c>
      <c r="N149" s="50"/>
      <c r="O149" s="31"/>
      <c r="P149" s="108">
        <v>7</v>
      </c>
      <c r="Q149" s="65">
        <v>11686.89</v>
      </c>
      <c r="R149" s="51"/>
      <c r="S149" s="50">
        <f t="shared" si="3"/>
        <v>0</v>
      </c>
      <c r="T149" s="50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9"/>
      <c r="B150" s="380"/>
      <c r="C150" s="380"/>
      <c r="D150" s="380"/>
      <c r="E150" s="380"/>
      <c r="F150" s="54"/>
      <c r="G150" s="55" t="s">
        <v>28</v>
      </c>
      <c r="H150" s="133">
        <v>1</v>
      </c>
      <c r="I150" s="57"/>
      <c r="J150" s="57"/>
      <c r="K150" s="43"/>
      <c r="L150" s="44"/>
      <c r="M150" s="43">
        <f t="shared" si="2"/>
        <v>0</v>
      </c>
      <c r="N150" s="43"/>
      <c r="O150" s="41"/>
      <c r="P150" s="103"/>
      <c r="Q150" s="43"/>
      <c r="R150" s="44"/>
      <c r="S150" s="43">
        <f t="shared" si="3"/>
        <v>0</v>
      </c>
      <c r="T150" s="43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139</v>
      </c>
      <c r="C151" s="374" t="s">
        <v>22</v>
      </c>
      <c r="D151" s="374"/>
      <c r="E151" s="374" t="s">
        <v>67</v>
      </c>
      <c r="F151" s="22"/>
      <c r="G151" s="23" t="s">
        <v>24</v>
      </c>
      <c r="H151" s="98"/>
      <c r="I151" s="25"/>
      <c r="J151" s="25"/>
      <c r="K151" s="26"/>
      <c r="L151" s="27"/>
      <c r="M151" s="26">
        <f t="shared" si="2"/>
        <v>0</v>
      </c>
      <c r="N151" s="26"/>
      <c r="O151" s="31"/>
      <c r="P151" s="53">
        <v>3</v>
      </c>
      <c r="Q151" s="30">
        <v>5443.59</v>
      </c>
      <c r="R151" s="27"/>
      <c r="S151" s="26">
        <f t="shared" si="3"/>
        <v>0</v>
      </c>
      <c r="T151" s="26"/>
      <c r="U151" s="3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54"/>
      <c r="G152" s="55" t="s">
        <v>28</v>
      </c>
      <c r="H152" s="102"/>
      <c r="I152" s="57"/>
      <c r="J152" s="57"/>
      <c r="K152" s="43"/>
      <c r="L152" s="44"/>
      <c r="M152" s="43">
        <f t="shared" si="2"/>
        <v>0</v>
      </c>
      <c r="N152" s="43"/>
      <c r="O152" s="45"/>
      <c r="P152" s="103"/>
      <c r="Q152" s="43"/>
      <c r="R152" s="44"/>
      <c r="S152" s="43">
        <f t="shared" si="3"/>
        <v>0</v>
      </c>
      <c r="T152" s="43"/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140</v>
      </c>
      <c r="C153" s="374"/>
      <c r="D153" s="374"/>
      <c r="E153" s="374"/>
      <c r="F153" s="60"/>
      <c r="G153" s="23" t="s">
        <v>24</v>
      </c>
      <c r="H153" s="119"/>
      <c r="I153" s="25"/>
      <c r="J153" s="25"/>
      <c r="K153" s="26"/>
      <c r="L153" s="27"/>
      <c r="M153" s="26">
        <f t="shared" si="2"/>
        <v>0</v>
      </c>
      <c r="N153" s="26"/>
      <c r="O153" s="159"/>
      <c r="P153" s="53">
        <v>3</v>
      </c>
      <c r="Q153" s="30">
        <v>19717.96</v>
      </c>
      <c r="R153" s="27"/>
      <c r="S153" s="26">
        <f t="shared" si="3"/>
        <v>0</v>
      </c>
      <c r="T153" s="26"/>
      <c r="U153" s="2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34"/>
      <c r="G154" s="35" t="s">
        <v>28</v>
      </c>
      <c r="H154" s="36"/>
      <c r="I154" s="38"/>
      <c r="J154" s="38"/>
      <c r="K154" s="39"/>
      <c r="L154" s="40"/>
      <c r="M154" s="39">
        <f t="shared" si="2"/>
        <v>0</v>
      </c>
      <c r="N154" s="39"/>
      <c r="O154" s="58"/>
      <c r="P154" s="59"/>
      <c r="Q154" s="39"/>
      <c r="R154" s="40"/>
      <c r="S154" s="39">
        <f t="shared" si="3"/>
        <v>0</v>
      </c>
      <c r="T154" s="39"/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82"/>
      <c r="B155" s="381" t="s">
        <v>141</v>
      </c>
      <c r="C155" s="381" t="s">
        <v>22</v>
      </c>
      <c r="D155" s="381"/>
      <c r="E155" s="381" t="s">
        <v>27</v>
      </c>
      <c r="F155" s="127"/>
      <c r="G155" s="47" t="s">
        <v>24</v>
      </c>
      <c r="H155" s="98"/>
      <c r="I155" s="49"/>
      <c r="J155" s="49"/>
      <c r="K155" s="50"/>
      <c r="L155" s="51"/>
      <c r="M155" s="50">
        <f t="shared" si="2"/>
        <v>0</v>
      </c>
      <c r="N155" s="50"/>
      <c r="O155" s="31"/>
      <c r="P155" s="108">
        <v>1</v>
      </c>
      <c r="Q155" s="65">
        <v>2497.3000000000002</v>
      </c>
      <c r="R155" s="51"/>
      <c r="S155" s="50">
        <f t="shared" si="3"/>
        <v>0</v>
      </c>
      <c r="T155" s="50"/>
      <c r="U155" s="3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54"/>
      <c r="G156" s="55" t="s">
        <v>28</v>
      </c>
      <c r="H156" s="118"/>
      <c r="I156" s="57"/>
      <c r="J156" s="57"/>
      <c r="K156" s="43"/>
      <c r="L156" s="44"/>
      <c r="M156" s="43">
        <f t="shared" si="2"/>
        <v>0</v>
      </c>
      <c r="N156" s="43"/>
      <c r="O156" s="45"/>
      <c r="P156" s="103"/>
      <c r="Q156" s="43"/>
      <c r="R156" s="44"/>
      <c r="S156" s="43">
        <f t="shared" si="3"/>
        <v>0</v>
      </c>
      <c r="T156" s="43"/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2"/>
      <c r="B157" s="374" t="s">
        <v>142</v>
      </c>
      <c r="C157" s="374"/>
      <c r="D157" s="374"/>
      <c r="E157" s="374" t="s">
        <v>27</v>
      </c>
      <c r="F157" s="22"/>
      <c r="G157" s="23" t="s">
        <v>24</v>
      </c>
      <c r="H157" s="119"/>
      <c r="I157" s="25"/>
      <c r="J157" s="25"/>
      <c r="K157" s="26"/>
      <c r="L157" s="27"/>
      <c r="M157" s="26">
        <f t="shared" si="2"/>
        <v>0</v>
      </c>
      <c r="N157" s="26"/>
      <c r="O157" s="28"/>
      <c r="P157" s="99"/>
      <c r="Q157" s="26"/>
      <c r="R157" s="27"/>
      <c r="S157" s="26">
        <f t="shared" si="3"/>
        <v>0</v>
      </c>
      <c r="T157" s="26"/>
      <c r="U157" s="2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105"/>
      <c r="G158" s="35" t="s">
        <v>28</v>
      </c>
      <c r="H158" s="36"/>
      <c r="I158" s="38"/>
      <c r="J158" s="38"/>
      <c r="K158" s="39"/>
      <c r="L158" s="40"/>
      <c r="M158" s="39">
        <f t="shared" si="2"/>
        <v>0</v>
      </c>
      <c r="N158" s="39"/>
      <c r="O158" s="41"/>
      <c r="P158" s="59"/>
      <c r="Q158" s="39"/>
      <c r="R158" s="40"/>
      <c r="S158" s="39">
        <f t="shared" si="3"/>
        <v>0</v>
      </c>
      <c r="T158" s="39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2"/>
      <c r="B159" s="381" t="s">
        <v>143</v>
      </c>
      <c r="C159" s="381" t="s">
        <v>39</v>
      </c>
      <c r="D159" s="381" t="s">
        <v>144</v>
      </c>
      <c r="E159" s="381" t="s">
        <v>145</v>
      </c>
      <c r="F159" s="46"/>
      <c r="G159" s="47" t="s">
        <v>24</v>
      </c>
      <c r="H159" s="98"/>
      <c r="I159" s="49"/>
      <c r="J159" s="49"/>
      <c r="K159" s="50"/>
      <c r="L159" s="51"/>
      <c r="M159" s="50">
        <f t="shared" si="2"/>
        <v>0</v>
      </c>
      <c r="N159" s="50"/>
      <c r="O159" s="31"/>
      <c r="P159" s="108">
        <v>8</v>
      </c>
      <c r="Q159" s="65">
        <v>27662.38</v>
      </c>
      <c r="R159" s="51"/>
      <c r="S159" s="50">
        <f t="shared" si="3"/>
        <v>0</v>
      </c>
      <c r="T159" s="50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6"/>
      <c r="I160" s="57"/>
      <c r="J160" s="57"/>
      <c r="K160" s="43"/>
      <c r="L160" s="128"/>
      <c r="M160" s="50">
        <f t="shared" si="2"/>
        <v>0</v>
      </c>
      <c r="N160" s="43"/>
      <c r="O160" s="41"/>
      <c r="P160" s="103"/>
      <c r="Q160" s="43"/>
      <c r="R160" s="44"/>
      <c r="S160" s="43">
        <f t="shared" si="3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146</v>
      </c>
      <c r="C161" s="374" t="s">
        <v>39</v>
      </c>
      <c r="D161" s="374" t="s">
        <v>147</v>
      </c>
      <c r="E161" s="374" t="s">
        <v>27</v>
      </c>
      <c r="F161" s="22"/>
      <c r="G161" s="23" t="s">
        <v>24</v>
      </c>
      <c r="H161" s="107"/>
      <c r="I161" s="25"/>
      <c r="J161" s="25"/>
      <c r="K161" s="26"/>
      <c r="L161" s="27"/>
      <c r="M161" s="26">
        <f t="shared" si="2"/>
        <v>0</v>
      </c>
      <c r="N161" s="26"/>
      <c r="O161" s="31"/>
      <c r="P161" s="53">
        <v>3</v>
      </c>
      <c r="Q161" s="30">
        <v>7527.38</v>
      </c>
      <c r="R161" s="27"/>
      <c r="S161" s="26">
        <f t="shared" si="3"/>
        <v>0</v>
      </c>
      <c r="T161" s="26"/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9"/>
      <c r="B162" s="380"/>
      <c r="C162" s="380"/>
      <c r="D162" s="380"/>
      <c r="E162" s="380"/>
      <c r="F162" s="54"/>
      <c r="G162" s="55" t="s">
        <v>28</v>
      </c>
      <c r="H162" s="111"/>
      <c r="I162" s="57"/>
      <c r="J162" s="57"/>
      <c r="K162" s="43"/>
      <c r="L162" s="44"/>
      <c r="M162" s="43">
        <f t="shared" si="2"/>
        <v>0</v>
      </c>
      <c r="N162" s="43"/>
      <c r="O162" s="41"/>
      <c r="P162" s="59"/>
      <c r="Q162" s="39"/>
      <c r="R162" s="40"/>
      <c r="S162" s="39">
        <f t="shared" si="3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148</v>
      </c>
      <c r="C163" s="374" t="s">
        <v>39</v>
      </c>
      <c r="D163" s="374" t="s">
        <v>149</v>
      </c>
      <c r="E163" s="374" t="s">
        <v>27</v>
      </c>
      <c r="F163" s="22"/>
      <c r="G163" s="23" t="s">
        <v>24</v>
      </c>
      <c r="H163" s="107"/>
      <c r="I163" s="25"/>
      <c r="J163" s="60"/>
      <c r="K163" s="26"/>
      <c r="L163" s="27"/>
      <c r="M163" s="26">
        <f t="shared" si="2"/>
        <v>0</v>
      </c>
      <c r="N163" s="26"/>
      <c r="O163" s="31"/>
      <c r="P163" s="108">
        <v>7</v>
      </c>
      <c r="Q163" s="65">
        <v>22932.53</v>
      </c>
      <c r="R163" s="51"/>
      <c r="S163" s="50">
        <f t="shared" si="3"/>
        <v>0</v>
      </c>
      <c r="T163" s="50"/>
      <c r="U163" s="31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54"/>
      <c r="G164" s="55" t="s">
        <v>28</v>
      </c>
      <c r="H164" s="118"/>
      <c r="I164" s="57"/>
      <c r="J164" s="57"/>
      <c r="K164" s="43"/>
      <c r="L164" s="44"/>
      <c r="M164" s="43">
        <f t="shared" si="2"/>
        <v>0</v>
      </c>
      <c r="N164" s="43"/>
      <c r="O164" s="45"/>
      <c r="P164" s="103"/>
      <c r="Q164" s="43"/>
      <c r="R164" s="44"/>
      <c r="S164" s="43">
        <f t="shared" si="3"/>
        <v>0</v>
      </c>
      <c r="T164" s="43"/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88" t="s">
        <v>150</v>
      </c>
      <c r="C165" s="374" t="s">
        <v>39</v>
      </c>
      <c r="D165" s="374" t="s">
        <v>151</v>
      </c>
      <c r="E165" s="374" t="s">
        <v>152</v>
      </c>
      <c r="F165" s="22"/>
      <c r="G165" s="23" t="s">
        <v>24</v>
      </c>
      <c r="H165" s="104"/>
      <c r="I165" s="25"/>
      <c r="J165" s="25"/>
      <c r="K165" s="162"/>
      <c r="L165" s="163"/>
      <c r="M165" s="162">
        <f t="shared" si="2"/>
        <v>0</v>
      </c>
      <c r="N165" s="162"/>
      <c r="O165" s="28"/>
      <c r="P165" s="120"/>
      <c r="Q165" s="26"/>
      <c r="R165" s="27"/>
      <c r="S165" s="26">
        <f t="shared" si="3"/>
        <v>0</v>
      </c>
      <c r="T165" s="26"/>
      <c r="U165" s="2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89"/>
      <c r="C166" s="375"/>
      <c r="D166" s="375"/>
      <c r="E166" s="375"/>
      <c r="F166" s="34"/>
      <c r="G166" s="35" t="s">
        <v>25</v>
      </c>
      <c r="H166" s="106"/>
      <c r="I166" s="38"/>
      <c r="J166" s="38"/>
      <c r="K166" s="164"/>
      <c r="L166" s="165"/>
      <c r="M166" s="164">
        <f t="shared" si="2"/>
        <v>0</v>
      </c>
      <c r="N166" s="164"/>
      <c r="O166" s="41"/>
      <c r="P166" s="69"/>
      <c r="Q166" s="39"/>
      <c r="R166" s="40"/>
      <c r="S166" s="39">
        <f t="shared" si="3"/>
        <v>0</v>
      </c>
      <c r="T166" s="39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82"/>
      <c r="B167" s="381" t="s">
        <v>153</v>
      </c>
      <c r="C167" s="381" t="s">
        <v>22</v>
      </c>
      <c r="D167" s="381" t="s">
        <v>154</v>
      </c>
      <c r="E167" s="381" t="s">
        <v>27</v>
      </c>
      <c r="F167" s="46"/>
      <c r="G167" s="47" t="s">
        <v>24</v>
      </c>
      <c r="H167" s="107"/>
      <c r="I167" s="49"/>
      <c r="J167" s="49"/>
      <c r="K167" s="166"/>
      <c r="L167" s="167"/>
      <c r="M167" s="166">
        <f t="shared" si="2"/>
        <v>0</v>
      </c>
      <c r="N167" s="166"/>
      <c r="O167" s="31"/>
      <c r="P167" s="108">
        <v>4</v>
      </c>
      <c r="Q167" s="65">
        <v>15452.64</v>
      </c>
      <c r="R167" s="51"/>
      <c r="S167" s="50">
        <f t="shared" si="3"/>
        <v>0</v>
      </c>
      <c r="T167" s="50"/>
      <c r="U167" s="3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9"/>
      <c r="B168" s="380"/>
      <c r="C168" s="380"/>
      <c r="D168" s="380"/>
      <c r="E168" s="380"/>
      <c r="F168" s="34"/>
      <c r="G168" s="35" t="s">
        <v>28</v>
      </c>
      <c r="H168" s="111"/>
      <c r="I168" s="57"/>
      <c r="J168" s="57"/>
      <c r="K168" s="43"/>
      <c r="L168" s="44"/>
      <c r="M168" s="43">
        <f t="shared" si="2"/>
        <v>0</v>
      </c>
      <c r="N168" s="43"/>
      <c r="O168" s="41"/>
      <c r="P168" s="103"/>
      <c r="Q168" s="43"/>
      <c r="R168" s="44"/>
      <c r="S168" s="43">
        <f t="shared" si="3"/>
        <v>0</v>
      </c>
      <c r="T168" s="43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155</v>
      </c>
      <c r="C169" s="374" t="s">
        <v>22</v>
      </c>
      <c r="D169" s="374"/>
      <c r="E169" s="374" t="s">
        <v>37</v>
      </c>
      <c r="F169" s="46"/>
      <c r="G169" s="23" t="s">
        <v>24</v>
      </c>
      <c r="H169" s="107"/>
      <c r="I169" s="25"/>
      <c r="J169" s="25"/>
      <c r="K169" s="26"/>
      <c r="L169" s="27"/>
      <c r="M169" s="26">
        <f t="shared" si="2"/>
        <v>0</v>
      </c>
      <c r="N169" s="26"/>
      <c r="O169" s="31"/>
      <c r="P169" s="53">
        <v>1</v>
      </c>
      <c r="Q169" s="30">
        <v>3759.09</v>
      </c>
      <c r="R169" s="27"/>
      <c r="S169" s="26">
        <f t="shared" si="3"/>
        <v>0</v>
      </c>
      <c r="T169" s="26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105"/>
      <c r="G170" s="35" t="s">
        <v>28</v>
      </c>
      <c r="H170" s="116"/>
      <c r="I170" s="38"/>
      <c r="J170" s="38"/>
      <c r="K170" s="39"/>
      <c r="L170" s="40"/>
      <c r="M170" s="39">
        <f t="shared" si="2"/>
        <v>0</v>
      </c>
      <c r="N170" s="39"/>
      <c r="O170" s="41"/>
      <c r="P170" s="59"/>
      <c r="Q170" s="39"/>
      <c r="R170" s="40"/>
      <c r="S170" s="39">
        <f t="shared" si="3"/>
        <v>0</v>
      </c>
      <c r="T170" s="39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82"/>
      <c r="B171" s="381" t="s">
        <v>156</v>
      </c>
      <c r="C171" s="381" t="s">
        <v>22</v>
      </c>
      <c r="D171" s="385"/>
      <c r="E171" s="381" t="s">
        <v>27</v>
      </c>
      <c r="F171" s="126"/>
      <c r="G171" s="23" t="s">
        <v>24</v>
      </c>
      <c r="H171" s="98"/>
      <c r="I171" s="49"/>
      <c r="J171" s="49"/>
      <c r="K171" s="50"/>
      <c r="L171" s="51"/>
      <c r="M171" s="50">
        <f t="shared" si="2"/>
        <v>0</v>
      </c>
      <c r="N171" s="50"/>
      <c r="O171" s="31"/>
      <c r="P171" s="123"/>
      <c r="Q171" s="50"/>
      <c r="R171" s="51"/>
      <c r="S171" s="50">
        <f t="shared" si="3"/>
        <v>0</v>
      </c>
      <c r="T171" s="50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9"/>
      <c r="B172" s="380"/>
      <c r="C172" s="380"/>
      <c r="D172" s="380"/>
      <c r="E172" s="380"/>
      <c r="F172" s="54"/>
      <c r="G172" s="55" t="s">
        <v>28</v>
      </c>
      <c r="H172" s="118"/>
      <c r="I172" s="57"/>
      <c r="J172" s="57"/>
      <c r="K172" s="43"/>
      <c r="L172" s="44"/>
      <c r="M172" s="43">
        <f t="shared" si="2"/>
        <v>0</v>
      </c>
      <c r="N172" s="43"/>
      <c r="O172" s="41"/>
      <c r="P172" s="103"/>
      <c r="Q172" s="43"/>
      <c r="R172" s="44"/>
      <c r="S172" s="43">
        <f t="shared" si="3"/>
        <v>0</v>
      </c>
      <c r="T172" s="43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157</v>
      </c>
      <c r="C173" s="390"/>
      <c r="D173" s="374"/>
      <c r="E173" s="374"/>
      <c r="F173" s="22"/>
      <c r="G173" s="23" t="s">
        <v>24</v>
      </c>
      <c r="H173" s="104"/>
      <c r="I173" s="25"/>
      <c r="J173" s="25"/>
      <c r="K173" s="26"/>
      <c r="L173" s="27"/>
      <c r="M173" s="26">
        <f t="shared" si="2"/>
        <v>0</v>
      </c>
      <c r="N173" s="26"/>
      <c r="O173" s="31"/>
      <c r="P173" s="120"/>
      <c r="Q173" s="26"/>
      <c r="R173" s="27"/>
      <c r="S173" s="26">
        <f t="shared" si="3"/>
        <v>0</v>
      </c>
      <c r="T173" s="26"/>
      <c r="U173" s="3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34"/>
      <c r="G174" s="35" t="s">
        <v>28</v>
      </c>
      <c r="H174" s="106"/>
      <c r="I174" s="38"/>
      <c r="J174" s="38"/>
      <c r="K174" s="39"/>
      <c r="L174" s="40"/>
      <c r="M174" s="39">
        <f t="shared" si="2"/>
        <v>0</v>
      </c>
      <c r="N174" s="39"/>
      <c r="O174" s="41"/>
      <c r="P174" s="69"/>
      <c r="Q174" s="39"/>
      <c r="R174" s="40"/>
      <c r="S174" s="39">
        <f t="shared" si="3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158</v>
      </c>
      <c r="C175" s="391"/>
      <c r="D175" s="381"/>
      <c r="E175" s="381"/>
      <c r="F175" s="46"/>
      <c r="G175" s="47" t="s">
        <v>24</v>
      </c>
      <c r="H175" s="107"/>
      <c r="I175" s="49"/>
      <c r="J175" s="49"/>
      <c r="K175" s="50"/>
      <c r="L175" s="51"/>
      <c r="M175" s="50">
        <f t="shared" si="2"/>
        <v>0</v>
      </c>
      <c r="N175" s="50"/>
      <c r="O175" s="31"/>
      <c r="P175" s="108">
        <v>1</v>
      </c>
      <c r="Q175" s="65">
        <v>2627.93</v>
      </c>
      <c r="R175" s="51"/>
      <c r="S175" s="50">
        <f t="shared" si="3"/>
        <v>0</v>
      </c>
      <c r="T175" s="50"/>
      <c r="U175" s="3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35" t="s">
        <v>28</v>
      </c>
      <c r="H176" s="106"/>
      <c r="I176" s="38"/>
      <c r="J176" s="38"/>
      <c r="K176" s="39"/>
      <c r="L176" s="40"/>
      <c r="M176" s="39">
        <f t="shared" si="2"/>
        <v>0</v>
      </c>
      <c r="N176" s="39"/>
      <c r="O176" s="41"/>
      <c r="P176" s="59"/>
      <c r="Q176" s="39"/>
      <c r="R176" s="40"/>
      <c r="S176" s="39">
        <f t="shared" si="3"/>
        <v>0</v>
      </c>
      <c r="T176" s="39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82"/>
      <c r="B177" s="381" t="s">
        <v>159</v>
      </c>
      <c r="C177" s="381" t="s">
        <v>22</v>
      </c>
      <c r="D177" s="381"/>
      <c r="E177" s="381" t="s">
        <v>160</v>
      </c>
      <c r="F177" s="46"/>
      <c r="G177" s="47" t="s">
        <v>24</v>
      </c>
      <c r="H177" s="107"/>
      <c r="I177" s="49"/>
      <c r="J177" s="49"/>
      <c r="K177" s="50"/>
      <c r="L177" s="51"/>
      <c r="M177" s="50">
        <f t="shared" si="2"/>
        <v>0</v>
      </c>
      <c r="N177" s="50"/>
      <c r="O177" s="31"/>
      <c r="P177" s="108">
        <v>10</v>
      </c>
      <c r="Q177" s="65">
        <v>13795.27</v>
      </c>
      <c r="R177" s="51"/>
      <c r="S177" s="50">
        <f t="shared" si="3"/>
        <v>0</v>
      </c>
      <c r="T177" s="50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54"/>
      <c r="G178" s="55" t="s">
        <v>28</v>
      </c>
      <c r="H178" s="102"/>
      <c r="I178" s="57"/>
      <c r="J178" s="57"/>
      <c r="K178" s="43"/>
      <c r="L178" s="128"/>
      <c r="M178" s="50">
        <f t="shared" si="2"/>
        <v>0</v>
      </c>
      <c r="N178" s="43"/>
      <c r="O178" s="41"/>
      <c r="P178" s="103"/>
      <c r="Q178" s="43"/>
      <c r="R178" s="44"/>
      <c r="S178" s="43">
        <f t="shared" si="3"/>
        <v>0</v>
      </c>
      <c r="T178" s="43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161</v>
      </c>
      <c r="C179" s="374"/>
      <c r="D179" s="374"/>
      <c r="E179" s="374"/>
      <c r="F179" s="60"/>
      <c r="G179" s="23" t="s">
        <v>24</v>
      </c>
      <c r="H179" s="119"/>
      <c r="I179" s="25"/>
      <c r="J179" s="25"/>
      <c r="K179" s="26"/>
      <c r="L179" s="27"/>
      <c r="M179" s="26">
        <f t="shared" si="2"/>
        <v>0</v>
      </c>
      <c r="N179" s="26"/>
      <c r="O179" s="31"/>
      <c r="P179" s="53">
        <v>3</v>
      </c>
      <c r="Q179" s="30">
        <v>8280.19</v>
      </c>
      <c r="R179" s="27"/>
      <c r="S179" s="26">
        <f t="shared" si="3"/>
        <v>0</v>
      </c>
      <c r="T179" s="26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92"/>
      <c r="F180" s="34"/>
      <c r="G180" s="35" t="s">
        <v>28</v>
      </c>
      <c r="H180" s="36"/>
      <c r="I180" s="38"/>
      <c r="J180" s="38"/>
      <c r="K180" s="39"/>
      <c r="L180" s="40"/>
      <c r="M180" s="39">
        <f t="shared" si="2"/>
        <v>0</v>
      </c>
      <c r="N180" s="39"/>
      <c r="O180" s="41"/>
      <c r="P180" s="59"/>
      <c r="Q180" s="39"/>
      <c r="R180" s="40"/>
      <c r="S180" s="39">
        <f t="shared" si="3"/>
        <v>0</v>
      </c>
      <c r="T180" s="39"/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82"/>
      <c r="B181" s="381" t="s">
        <v>162</v>
      </c>
      <c r="C181" s="381" t="s">
        <v>39</v>
      </c>
      <c r="D181" s="381" t="s">
        <v>163</v>
      </c>
      <c r="E181" s="374" t="s">
        <v>27</v>
      </c>
      <c r="F181" s="135"/>
      <c r="G181" s="47" t="s">
        <v>24</v>
      </c>
      <c r="H181" s="98"/>
      <c r="I181" s="49"/>
      <c r="J181" s="49"/>
      <c r="K181" s="50"/>
      <c r="L181" s="51"/>
      <c r="M181" s="50">
        <f t="shared" si="2"/>
        <v>0</v>
      </c>
      <c r="N181" s="50"/>
      <c r="O181" s="31"/>
      <c r="P181" s="123"/>
      <c r="Q181" s="50"/>
      <c r="R181" s="51"/>
      <c r="S181" s="50">
        <f t="shared" si="3"/>
        <v>0</v>
      </c>
      <c r="T181" s="50"/>
      <c r="U181" s="3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87"/>
      <c r="B182" s="386"/>
      <c r="C182" s="386"/>
      <c r="D182" s="386"/>
      <c r="E182" s="386"/>
      <c r="F182" s="54"/>
      <c r="G182" s="47" t="s">
        <v>25</v>
      </c>
      <c r="H182" s="98"/>
      <c r="I182" s="49"/>
      <c r="J182" s="49"/>
      <c r="K182" s="50"/>
      <c r="L182" s="51"/>
      <c r="M182" s="50">
        <f t="shared" si="2"/>
        <v>0</v>
      </c>
      <c r="N182" s="50"/>
      <c r="O182" s="45"/>
      <c r="P182" s="123"/>
      <c r="Q182" s="50"/>
      <c r="R182" s="51"/>
      <c r="S182" s="50">
        <f t="shared" si="3"/>
        <v>0</v>
      </c>
      <c r="T182" s="50"/>
      <c r="U182" s="45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54"/>
      <c r="G183" s="55" t="s">
        <v>28</v>
      </c>
      <c r="H183" s="116"/>
      <c r="I183" s="57"/>
      <c r="J183" s="57"/>
      <c r="K183" s="43"/>
      <c r="L183" s="44"/>
      <c r="M183" s="43">
        <f t="shared" si="2"/>
        <v>0</v>
      </c>
      <c r="N183" s="43"/>
      <c r="O183" s="41"/>
      <c r="P183" s="103"/>
      <c r="Q183" s="43"/>
      <c r="R183" s="44"/>
      <c r="S183" s="43">
        <f t="shared" si="3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164</v>
      </c>
      <c r="C184" s="374" t="s">
        <v>22</v>
      </c>
      <c r="D184" s="374"/>
      <c r="E184" s="374" t="s">
        <v>27</v>
      </c>
      <c r="F184" s="22"/>
      <c r="G184" s="23" t="s">
        <v>24</v>
      </c>
      <c r="H184" s="98"/>
      <c r="I184" s="25"/>
      <c r="J184" s="25"/>
      <c r="K184" s="26"/>
      <c r="L184" s="27"/>
      <c r="M184" s="26">
        <f t="shared" si="2"/>
        <v>0</v>
      </c>
      <c r="N184" s="26"/>
      <c r="O184" s="31"/>
      <c r="P184" s="99"/>
      <c r="Q184" s="26"/>
      <c r="R184" s="27"/>
      <c r="S184" s="26">
        <f t="shared" si="3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54"/>
      <c r="G185" s="55" t="s">
        <v>28</v>
      </c>
      <c r="H185" s="118"/>
      <c r="I185" s="57"/>
      <c r="J185" s="57"/>
      <c r="K185" s="43"/>
      <c r="L185" s="44"/>
      <c r="M185" s="43">
        <f t="shared" si="2"/>
        <v>0</v>
      </c>
      <c r="N185" s="43"/>
      <c r="O185" s="41"/>
      <c r="P185" s="113">
        <v>1</v>
      </c>
      <c r="Q185" s="114">
        <v>1056.55</v>
      </c>
      <c r="R185" s="44"/>
      <c r="S185" s="43">
        <f t="shared" si="3"/>
        <v>0</v>
      </c>
      <c r="T185" s="43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165</v>
      </c>
      <c r="C186" s="374"/>
      <c r="D186" s="374"/>
      <c r="E186" s="374"/>
      <c r="F186" s="22"/>
      <c r="G186" s="23" t="s">
        <v>24</v>
      </c>
      <c r="H186" s="119"/>
      <c r="I186" s="25"/>
      <c r="J186" s="25"/>
      <c r="K186" s="26"/>
      <c r="L186" s="27"/>
      <c r="M186" s="26">
        <f t="shared" si="2"/>
        <v>0</v>
      </c>
      <c r="N186" s="26"/>
      <c r="O186" s="31"/>
      <c r="P186" s="99"/>
      <c r="Q186" s="26"/>
      <c r="R186" s="27"/>
      <c r="S186" s="26">
        <f t="shared" si="3"/>
        <v>0</v>
      </c>
      <c r="T186" s="26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35" t="s">
        <v>25</v>
      </c>
      <c r="H187" s="36"/>
      <c r="I187" s="38"/>
      <c r="J187" s="38"/>
      <c r="K187" s="39"/>
      <c r="L187" s="40"/>
      <c r="M187" s="39">
        <f t="shared" si="2"/>
        <v>0</v>
      </c>
      <c r="N187" s="39"/>
      <c r="O187" s="41"/>
      <c r="P187" s="115">
        <v>1</v>
      </c>
      <c r="Q187" s="68">
        <v>288.14999999999998</v>
      </c>
      <c r="R187" s="40"/>
      <c r="S187" s="39">
        <f t="shared" si="3"/>
        <v>0</v>
      </c>
      <c r="T187" s="39"/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82"/>
      <c r="B188" s="381" t="s">
        <v>166</v>
      </c>
      <c r="C188" s="381" t="s">
        <v>22</v>
      </c>
      <c r="D188" s="381"/>
      <c r="E188" s="381" t="s">
        <v>27</v>
      </c>
      <c r="F188" s="46"/>
      <c r="G188" s="47" t="s">
        <v>24</v>
      </c>
      <c r="H188" s="98"/>
      <c r="I188" s="49"/>
      <c r="J188" s="49"/>
      <c r="K188" s="50"/>
      <c r="L188" s="51"/>
      <c r="M188" s="50">
        <f t="shared" si="2"/>
        <v>0</v>
      </c>
      <c r="N188" s="50"/>
      <c r="O188" s="31"/>
      <c r="P188" s="123"/>
      <c r="Q188" s="50"/>
      <c r="R188" s="51"/>
      <c r="S188" s="50">
        <f t="shared" si="3"/>
        <v>0</v>
      </c>
      <c r="T188" s="50"/>
      <c r="U188" s="3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26"/>
      <c r="G189" s="55" t="s">
        <v>28</v>
      </c>
      <c r="H189" s="118"/>
      <c r="I189" s="57"/>
      <c r="J189" s="57"/>
      <c r="K189" s="43"/>
      <c r="L189" s="44"/>
      <c r="M189" s="43">
        <f t="shared" si="2"/>
        <v>0</v>
      </c>
      <c r="N189" s="43"/>
      <c r="O189" s="45"/>
      <c r="P189" s="103"/>
      <c r="Q189" s="43"/>
      <c r="R189" s="44"/>
      <c r="S189" s="43">
        <f t="shared" si="3"/>
        <v>0</v>
      </c>
      <c r="T189" s="43"/>
      <c r="U189" s="4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168"/>
      <c r="B190" s="374" t="s">
        <v>167</v>
      </c>
      <c r="C190" s="169"/>
      <c r="D190" s="381" t="s">
        <v>168</v>
      </c>
      <c r="E190" s="169"/>
      <c r="F190" s="22"/>
      <c r="G190" s="23" t="s">
        <v>24</v>
      </c>
      <c r="H190" s="119"/>
      <c r="I190" s="25"/>
      <c r="J190" s="25"/>
      <c r="K190" s="26"/>
      <c r="L190" s="27"/>
      <c r="M190" s="26">
        <f t="shared" si="2"/>
        <v>0</v>
      </c>
      <c r="N190" s="26"/>
      <c r="O190" s="159"/>
      <c r="P190" s="99"/>
      <c r="Q190" s="26"/>
      <c r="R190" s="27"/>
      <c r="S190" s="26">
        <f t="shared" si="3"/>
        <v>0</v>
      </c>
      <c r="T190" s="26"/>
      <c r="U190" s="28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171"/>
      <c r="B191" s="375"/>
      <c r="C191" s="172"/>
      <c r="D191" s="375"/>
      <c r="E191" s="172"/>
      <c r="F191" s="202"/>
      <c r="G191" s="35" t="s">
        <v>28</v>
      </c>
      <c r="H191" s="36"/>
      <c r="I191" s="38"/>
      <c r="J191" s="38"/>
      <c r="K191" s="39"/>
      <c r="L191" s="40"/>
      <c r="M191" s="39">
        <f t="shared" si="2"/>
        <v>0</v>
      </c>
      <c r="N191" s="39"/>
      <c r="O191" s="58"/>
      <c r="P191" s="59"/>
      <c r="Q191" s="39"/>
      <c r="R191" s="40"/>
      <c r="S191" s="39">
        <f t="shared" si="3"/>
        <v>0</v>
      </c>
      <c r="T191" s="39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169</v>
      </c>
      <c r="C192" s="381" t="s">
        <v>22</v>
      </c>
      <c r="D192" s="381"/>
      <c r="E192" s="381" t="s">
        <v>27</v>
      </c>
      <c r="F192" s="46"/>
      <c r="G192" s="47" t="s">
        <v>24</v>
      </c>
      <c r="H192" s="98"/>
      <c r="I192" s="49"/>
      <c r="J192" s="49"/>
      <c r="K192" s="50"/>
      <c r="L192" s="51"/>
      <c r="M192" s="50">
        <f t="shared" si="2"/>
        <v>0</v>
      </c>
      <c r="N192" s="50"/>
      <c r="O192" s="31"/>
      <c r="P192" s="123"/>
      <c r="Q192" s="50"/>
      <c r="R192" s="51"/>
      <c r="S192" s="50">
        <f t="shared" si="3"/>
        <v>0</v>
      </c>
      <c r="T192" s="50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80"/>
      <c r="D193" s="380"/>
      <c r="E193" s="380"/>
      <c r="F193" s="54"/>
      <c r="G193" s="55" t="s">
        <v>28</v>
      </c>
      <c r="H193" s="111"/>
      <c r="I193" s="57"/>
      <c r="J193" s="57"/>
      <c r="K193" s="43"/>
      <c r="L193" s="44"/>
      <c r="M193" s="43">
        <f t="shared" si="2"/>
        <v>0</v>
      </c>
      <c r="N193" s="43"/>
      <c r="O193" s="41"/>
      <c r="P193" s="103"/>
      <c r="Q193" s="43"/>
      <c r="R193" s="128"/>
      <c r="S193" s="50">
        <f t="shared" si="3"/>
        <v>0</v>
      </c>
      <c r="T193" s="43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170</v>
      </c>
      <c r="C194" s="374" t="s">
        <v>22</v>
      </c>
      <c r="D194" s="374"/>
      <c r="E194" s="374" t="s">
        <v>160</v>
      </c>
      <c r="F194" s="22"/>
      <c r="G194" s="23" t="s">
        <v>24</v>
      </c>
      <c r="H194" s="107"/>
      <c r="I194" s="25"/>
      <c r="J194" s="25"/>
      <c r="K194" s="26"/>
      <c r="L194" s="27"/>
      <c r="M194" s="26">
        <f t="shared" si="2"/>
        <v>0</v>
      </c>
      <c r="N194" s="26"/>
      <c r="O194" s="31"/>
      <c r="P194" s="53">
        <v>9</v>
      </c>
      <c r="Q194" s="30">
        <v>22498.43</v>
      </c>
      <c r="R194" s="27"/>
      <c r="S194" s="26">
        <f t="shared" si="3"/>
        <v>0</v>
      </c>
      <c r="T194" s="26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2"/>
        <v>0</v>
      </c>
      <c r="N195" s="39"/>
      <c r="O195" s="41"/>
      <c r="P195" s="59"/>
      <c r="Q195" s="39"/>
      <c r="R195" s="40"/>
      <c r="S195" s="39">
        <f t="shared" si="3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171</v>
      </c>
      <c r="C196" s="381" t="s">
        <v>22</v>
      </c>
      <c r="D196" s="381"/>
      <c r="E196" s="381" t="s">
        <v>27</v>
      </c>
      <c r="F196" s="46"/>
      <c r="G196" s="23" t="s">
        <v>24</v>
      </c>
      <c r="H196" s="48">
        <v>1</v>
      </c>
      <c r="I196" s="49"/>
      <c r="J196" s="49"/>
      <c r="K196" s="50"/>
      <c r="L196" s="51"/>
      <c r="M196" s="50">
        <f t="shared" si="2"/>
        <v>0</v>
      </c>
      <c r="N196" s="50"/>
      <c r="O196" s="31"/>
      <c r="P196" s="108">
        <v>4</v>
      </c>
      <c r="Q196" s="65">
        <v>15550.04</v>
      </c>
      <c r="R196" s="51"/>
      <c r="S196" s="50">
        <f t="shared" si="3"/>
        <v>0</v>
      </c>
      <c r="T196" s="50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116"/>
      <c r="I197" s="57"/>
      <c r="J197" s="57"/>
      <c r="K197" s="43"/>
      <c r="L197" s="128"/>
      <c r="M197" s="50">
        <f t="shared" si="2"/>
        <v>0</v>
      </c>
      <c r="N197" s="43"/>
      <c r="O197" s="41"/>
      <c r="P197" s="103"/>
      <c r="Q197" s="43"/>
      <c r="R197" s="44"/>
      <c r="S197" s="43">
        <f t="shared" si="3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172</v>
      </c>
      <c r="C198" s="374" t="s">
        <v>22</v>
      </c>
      <c r="D198" s="374"/>
      <c r="E198" s="374" t="s">
        <v>121</v>
      </c>
      <c r="F198" s="22"/>
      <c r="G198" s="23" t="s">
        <v>24</v>
      </c>
      <c r="H198" s="107"/>
      <c r="I198" s="25"/>
      <c r="J198" s="25"/>
      <c r="K198" s="26"/>
      <c r="L198" s="27"/>
      <c r="M198" s="26">
        <f t="shared" si="2"/>
        <v>0</v>
      </c>
      <c r="N198" s="26"/>
      <c r="O198" s="31"/>
      <c r="P198" s="53">
        <v>18</v>
      </c>
      <c r="Q198" s="30">
        <v>27100.080000000002</v>
      </c>
      <c r="R198" s="27"/>
      <c r="S198" s="26">
        <f t="shared" si="3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54"/>
      <c r="G199" s="55" t="s">
        <v>25</v>
      </c>
      <c r="H199" s="102"/>
      <c r="I199" s="57"/>
      <c r="J199" s="57"/>
      <c r="K199" s="43"/>
      <c r="L199" s="44"/>
      <c r="M199" s="43">
        <f t="shared" si="2"/>
        <v>0</v>
      </c>
      <c r="N199" s="43"/>
      <c r="O199" s="41"/>
      <c r="P199" s="103"/>
      <c r="Q199" s="43"/>
      <c r="R199" s="44"/>
      <c r="S199" s="43">
        <f t="shared" si="3"/>
        <v>0</v>
      </c>
      <c r="T199" s="43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173</v>
      </c>
      <c r="C200" s="374"/>
      <c r="D200" s="374"/>
      <c r="E200" s="25"/>
      <c r="F200" s="22"/>
      <c r="G200" s="23" t="s">
        <v>24</v>
      </c>
      <c r="H200" s="104"/>
      <c r="I200" s="25"/>
      <c r="J200" s="25"/>
      <c r="K200" s="26"/>
      <c r="L200" s="27"/>
      <c r="M200" s="26">
        <f t="shared" si="2"/>
        <v>0</v>
      </c>
      <c r="N200" s="26"/>
      <c r="O200" s="31"/>
      <c r="P200" s="53">
        <v>6</v>
      </c>
      <c r="Q200" s="30">
        <v>5292.88</v>
      </c>
      <c r="R200" s="27"/>
      <c r="S200" s="26">
        <f t="shared" si="3"/>
        <v>0</v>
      </c>
      <c r="T200" s="26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8"/>
      <c r="F201" s="34"/>
      <c r="G201" s="35" t="s">
        <v>25</v>
      </c>
      <c r="H201" s="106"/>
      <c r="I201" s="38"/>
      <c r="J201" s="38"/>
      <c r="K201" s="39"/>
      <c r="L201" s="40"/>
      <c r="M201" s="39">
        <f t="shared" si="2"/>
        <v>0</v>
      </c>
      <c r="N201" s="39"/>
      <c r="O201" s="41"/>
      <c r="P201" s="59"/>
      <c r="Q201" s="39"/>
      <c r="R201" s="40"/>
      <c r="S201" s="39">
        <f t="shared" si="3"/>
        <v>0</v>
      </c>
      <c r="T201" s="39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82"/>
      <c r="B202" s="381" t="s">
        <v>174</v>
      </c>
      <c r="C202" s="381" t="s">
        <v>39</v>
      </c>
      <c r="D202" s="381" t="s">
        <v>175</v>
      </c>
      <c r="E202" s="381" t="s">
        <v>176</v>
      </c>
      <c r="F202" s="46"/>
      <c r="G202" s="47" t="s">
        <v>24</v>
      </c>
      <c r="H202" s="107"/>
      <c r="I202" s="49"/>
      <c r="J202" s="49"/>
      <c r="K202" s="50"/>
      <c r="L202" s="51"/>
      <c r="M202" s="50">
        <f t="shared" si="2"/>
        <v>0</v>
      </c>
      <c r="N202" s="50"/>
      <c r="O202" s="31"/>
      <c r="P202" s="108">
        <v>7</v>
      </c>
      <c r="Q202" s="65">
        <v>29316.959999999999</v>
      </c>
      <c r="R202" s="51"/>
      <c r="S202" s="50">
        <f t="shared" si="3"/>
        <v>0</v>
      </c>
      <c r="T202" s="50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9"/>
      <c r="B203" s="380"/>
      <c r="C203" s="380"/>
      <c r="D203" s="380"/>
      <c r="E203" s="380"/>
      <c r="F203" s="54"/>
      <c r="G203" s="55" t="s">
        <v>25</v>
      </c>
      <c r="H203" s="111"/>
      <c r="I203" s="57"/>
      <c r="J203" s="57"/>
      <c r="K203" s="43"/>
      <c r="L203" s="44"/>
      <c r="M203" s="43">
        <f t="shared" si="2"/>
        <v>0</v>
      </c>
      <c r="N203" s="43"/>
      <c r="O203" s="41"/>
      <c r="P203" s="103"/>
      <c r="Q203" s="43"/>
      <c r="R203" s="44"/>
      <c r="S203" s="43">
        <f t="shared" si="3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177</v>
      </c>
      <c r="C204" s="374" t="s">
        <v>22</v>
      </c>
      <c r="D204" s="374"/>
      <c r="E204" s="374" t="s">
        <v>27</v>
      </c>
      <c r="F204" s="22"/>
      <c r="G204" s="23" t="s">
        <v>24</v>
      </c>
      <c r="H204" s="107"/>
      <c r="I204" s="25"/>
      <c r="J204" s="25"/>
      <c r="K204" s="26"/>
      <c r="L204" s="27"/>
      <c r="M204" s="26">
        <f t="shared" si="2"/>
        <v>0</v>
      </c>
      <c r="N204" s="26"/>
      <c r="O204" s="31"/>
      <c r="P204" s="53">
        <v>7</v>
      </c>
      <c r="Q204" s="30">
        <v>19117.28</v>
      </c>
      <c r="R204" s="27"/>
      <c r="S204" s="26">
        <f t="shared" si="3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55" t="s">
        <v>28</v>
      </c>
      <c r="H205" s="118"/>
      <c r="I205" s="57"/>
      <c r="J205" s="57"/>
      <c r="K205" s="43"/>
      <c r="L205" s="44"/>
      <c r="M205" s="43">
        <f t="shared" si="2"/>
        <v>0</v>
      </c>
      <c r="N205" s="43"/>
      <c r="O205" s="41"/>
      <c r="P205" s="103"/>
      <c r="Q205" s="43"/>
      <c r="R205" s="44"/>
      <c r="S205" s="43">
        <f t="shared" si="3"/>
        <v>0</v>
      </c>
      <c r="T205" s="43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178</v>
      </c>
      <c r="C206" s="374"/>
      <c r="D206" s="374"/>
      <c r="E206" s="374"/>
      <c r="F206" s="22"/>
      <c r="G206" s="176" t="s">
        <v>24</v>
      </c>
      <c r="H206" s="104"/>
      <c r="I206" s="25"/>
      <c r="J206" s="25"/>
      <c r="K206" s="26"/>
      <c r="L206" s="27"/>
      <c r="M206" s="26">
        <f t="shared" si="2"/>
        <v>0</v>
      </c>
      <c r="N206" s="26"/>
      <c r="O206" s="31"/>
      <c r="P206" s="120"/>
      <c r="Q206" s="26"/>
      <c r="R206" s="27"/>
      <c r="S206" s="26">
        <f t="shared" si="3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26"/>
      <c r="G207" s="177" t="s">
        <v>28</v>
      </c>
      <c r="H207" s="131"/>
      <c r="I207" s="57"/>
      <c r="J207" s="57"/>
      <c r="K207" s="43"/>
      <c r="L207" s="44"/>
      <c r="M207" s="43">
        <f t="shared" si="2"/>
        <v>0</v>
      </c>
      <c r="N207" s="43"/>
      <c r="O207" s="45"/>
      <c r="P207" s="42"/>
      <c r="Q207" s="43"/>
      <c r="R207" s="44"/>
      <c r="S207" s="43">
        <f t="shared" si="3"/>
        <v>0</v>
      </c>
      <c r="T207" s="43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179</v>
      </c>
      <c r="C208" s="374"/>
      <c r="D208" s="374"/>
      <c r="E208" s="374" t="s">
        <v>27</v>
      </c>
      <c r="F208" s="22"/>
      <c r="G208" s="23" t="s">
        <v>24</v>
      </c>
      <c r="H208" s="104"/>
      <c r="I208" s="25"/>
      <c r="J208" s="25"/>
      <c r="K208" s="26"/>
      <c r="L208" s="27"/>
      <c r="M208" s="26">
        <f t="shared" si="2"/>
        <v>0</v>
      </c>
      <c r="N208" s="26"/>
      <c r="O208" s="28"/>
      <c r="P208" s="120"/>
      <c r="Q208" s="26"/>
      <c r="R208" s="27"/>
      <c r="S208" s="26">
        <f t="shared" si="3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105"/>
      <c r="G209" s="35" t="s">
        <v>28</v>
      </c>
      <c r="H209" s="106"/>
      <c r="I209" s="38"/>
      <c r="J209" s="38"/>
      <c r="K209" s="39"/>
      <c r="L209" s="40"/>
      <c r="M209" s="39">
        <f t="shared" si="2"/>
        <v>0</v>
      </c>
      <c r="N209" s="39"/>
      <c r="O209" s="41"/>
      <c r="P209" s="69"/>
      <c r="Q209" s="39"/>
      <c r="R209" s="40"/>
      <c r="S209" s="39">
        <f t="shared" si="3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82"/>
      <c r="B210" s="381" t="s">
        <v>180</v>
      </c>
      <c r="C210" s="381" t="s">
        <v>46</v>
      </c>
      <c r="D210" s="381" t="s">
        <v>181</v>
      </c>
      <c r="E210" s="381" t="s">
        <v>27</v>
      </c>
      <c r="F210" s="46"/>
      <c r="G210" s="47" t="s">
        <v>24</v>
      </c>
      <c r="H210" s="107"/>
      <c r="I210" s="49"/>
      <c r="J210" s="49"/>
      <c r="K210" s="50"/>
      <c r="L210" s="51"/>
      <c r="M210" s="50">
        <f t="shared" si="2"/>
        <v>0</v>
      </c>
      <c r="N210" s="50"/>
      <c r="O210" s="31"/>
      <c r="P210" s="108">
        <v>9</v>
      </c>
      <c r="Q210" s="65">
        <v>31034.59</v>
      </c>
      <c r="R210" s="51"/>
      <c r="S210" s="50">
        <f t="shared" si="3"/>
        <v>0</v>
      </c>
      <c r="T210" s="50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9"/>
      <c r="B211" s="380"/>
      <c r="C211" s="380"/>
      <c r="D211" s="380"/>
      <c r="E211" s="380"/>
      <c r="F211" s="54"/>
      <c r="G211" s="55" t="s">
        <v>28</v>
      </c>
      <c r="H211" s="116"/>
      <c r="I211" s="57"/>
      <c r="J211" s="57"/>
      <c r="K211" s="43"/>
      <c r="L211" s="128"/>
      <c r="M211" s="50">
        <f t="shared" si="2"/>
        <v>0</v>
      </c>
      <c r="N211" s="43"/>
      <c r="O211" s="41"/>
      <c r="P211" s="103"/>
      <c r="Q211" s="43"/>
      <c r="R211" s="44"/>
      <c r="S211" s="43">
        <f t="shared" si="3"/>
        <v>0</v>
      </c>
      <c r="T211" s="43"/>
      <c r="U211" s="45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72"/>
      <c r="B212" s="374" t="s">
        <v>182</v>
      </c>
      <c r="C212" s="374" t="s">
        <v>46</v>
      </c>
      <c r="D212" s="374" t="s">
        <v>181</v>
      </c>
      <c r="E212" s="374" t="s">
        <v>27</v>
      </c>
      <c r="F212" s="22"/>
      <c r="G212" s="23" t="s">
        <v>24</v>
      </c>
      <c r="H212" s="107"/>
      <c r="I212" s="25"/>
      <c r="J212" s="25"/>
      <c r="K212" s="26"/>
      <c r="L212" s="27"/>
      <c r="M212" s="26">
        <f t="shared" si="2"/>
        <v>0</v>
      </c>
      <c r="N212" s="26"/>
      <c r="O212" s="31"/>
      <c r="P212" s="53">
        <v>3</v>
      </c>
      <c r="Q212" s="30">
        <v>18152.009999999998</v>
      </c>
      <c r="R212" s="27"/>
      <c r="S212" s="26">
        <f t="shared" si="3"/>
        <v>0</v>
      </c>
      <c r="T212" s="26"/>
      <c r="U212" s="100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3"/>
      <c r="B213" s="375"/>
      <c r="C213" s="375"/>
      <c r="D213" s="375"/>
      <c r="E213" s="375"/>
      <c r="F213" s="34"/>
      <c r="G213" s="35" t="s">
        <v>28</v>
      </c>
      <c r="H213" s="116"/>
      <c r="I213" s="38"/>
      <c r="J213" s="38"/>
      <c r="K213" s="39"/>
      <c r="L213" s="40"/>
      <c r="M213" s="39">
        <f t="shared" si="2"/>
        <v>0</v>
      </c>
      <c r="N213" s="39"/>
      <c r="O213" s="41"/>
      <c r="P213" s="59"/>
      <c r="Q213" s="39"/>
      <c r="R213" s="40"/>
      <c r="S213" s="39">
        <f t="shared" si="3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82"/>
      <c r="B214" s="381" t="s">
        <v>183</v>
      </c>
      <c r="C214" s="381" t="s">
        <v>22</v>
      </c>
      <c r="D214" s="381"/>
      <c r="E214" s="381" t="s">
        <v>99</v>
      </c>
      <c r="F214" s="127"/>
      <c r="G214" s="23" t="s">
        <v>24</v>
      </c>
      <c r="H214" s="107"/>
      <c r="I214" s="49"/>
      <c r="J214" s="49"/>
      <c r="K214" s="50"/>
      <c r="L214" s="51"/>
      <c r="M214" s="50">
        <f t="shared" si="2"/>
        <v>0</v>
      </c>
      <c r="N214" s="50"/>
      <c r="O214" s="31"/>
      <c r="P214" s="108">
        <v>1</v>
      </c>
      <c r="Q214" s="65">
        <v>1566.51</v>
      </c>
      <c r="R214" s="51"/>
      <c r="S214" s="50">
        <f t="shared" si="3"/>
        <v>0</v>
      </c>
      <c r="T214" s="50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54"/>
      <c r="G215" s="55" t="s">
        <v>28</v>
      </c>
      <c r="H215" s="116"/>
      <c r="I215" s="57"/>
      <c r="J215" s="57"/>
      <c r="K215" s="43"/>
      <c r="L215" s="44"/>
      <c r="M215" s="43">
        <f t="shared" si="2"/>
        <v>0</v>
      </c>
      <c r="N215" s="43"/>
      <c r="O215" s="41"/>
      <c r="P215" s="103"/>
      <c r="Q215" s="43"/>
      <c r="R215" s="44"/>
      <c r="S215" s="43">
        <f t="shared" si="3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184</v>
      </c>
      <c r="C216" s="374" t="s">
        <v>22</v>
      </c>
      <c r="D216" s="374"/>
      <c r="E216" s="374" t="s">
        <v>27</v>
      </c>
      <c r="F216" s="60"/>
      <c r="G216" s="23" t="s">
        <v>24</v>
      </c>
      <c r="H216" s="107"/>
      <c r="I216" s="25"/>
      <c r="J216" s="25"/>
      <c r="K216" s="26"/>
      <c r="L216" s="27"/>
      <c r="M216" s="26">
        <f t="shared" si="2"/>
        <v>0</v>
      </c>
      <c r="N216" s="26"/>
      <c r="O216" s="31"/>
      <c r="P216" s="99"/>
      <c r="Q216" s="26"/>
      <c r="R216" s="27"/>
      <c r="S216" s="26">
        <f t="shared" si="3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6.5" customHeight="1">
      <c r="A217" s="379"/>
      <c r="B217" s="380"/>
      <c r="C217" s="380"/>
      <c r="D217" s="380"/>
      <c r="E217" s="380"/>
      <c r="F217" s="54"/>
      <c r="G217" s="55" t="s">
        <v>28</v>
      </c>
      <c r="H217" s="111"/>
      <c r="I217" s="57"/>
      <c r="J217" s="57"/>
      <c r="K217" s="43"/>
      <c r="L217" s="44"/>
      <c r="M217" s="43">
        <f t="shared" si="2"/>
        <v>0</v>
      </c>
      <c r="N217" s="43"/>
      <c r="O217" s="41"/>
      <c r="P217" s="103"/>
      <c r="Q217" s="43"/>
      <c r="R217" s="44"/>
      <c r="S217" s="43">
        <f t="shared" si="3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6.5" customHeight="1">
      <c r="A218" s="372"/>
      <c r="B218" s="374" t="s">
        <v>185</v>
      </c>
      <c r="C218" s="374" t="s">
        <v>22</v>
      </c>
      <c r="D218" s="374"/>
      <c r="E218" s="374" t="s">
        <v>27</v>
      </c>
      <c r="F218" s="22"/>
      <c r="G218" s="23" t="s">
        <v>24</v>
      </c>
      <c r="H218" s="98"/>
      <c r="I218" s="25"/>
      <c r="J218" s="25"/>
      <c r="K218" s="26"/>
      <c r="L218" s="27"/>
      <c r="M218" s="26">
        <f t="shared" si="2"/>
        <v>0</v>
      </c>
      <c r="N218" s="26"/>
      <c r="O218" s="31"/>
      <c r="P218" s="53">
        <v>2</v>
      </c>
      <c r="Q218" s="30">
        <v>2577.4</v>
      </c>
      <c r="R218" s="27"/>
      <c r="S218" s="26">
        <f t="shared" si="3"/>
        <v>0</v>
      </c>
      <c r="T218" s="26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9"/>
      <c r="B219" s="380"/>
      <c r="C219" s="380"/>
      <c r="D219" s="380"/>
      <c r="E219" s="380"/>
      <c r="F219" s="54"/>
      <c r="G219" s="55" t="s">
        <v>28</v>
      </c>
      <c r="H219" s="133">
        <v>1</v>
      </c>
      <c r="I219" s="57"/>
      <c r="J219" s="57"/>
      <c r="K219" s="43"/>
      <c r="L219" s="44"/>
      <c r="M219" s="43">
        <f t="shared" si="2"/>
        <v>0</v>
      </c>
      <c r="N219" s="43"/>
      <c r="O219" s="41"/>
      <c r="P219" s="103"/>
      <c r="Q219" s="43"/>
      <c r="R219" s="44"/>
      <c r="S219" s="43">
        <f t="shared" si="3"/>
        <v>0</v>
      </c>
      <c r="T219" s="43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186</v>
      </c>
      <c r="C220" s="374" t="s">
        <v>22</v>
      </c>
      <c r="D220" s="374"/>
      <c r="E220" s="374" t="s">
        <v>99</v>
      </c>
      <c r="F220" s="60"/>
      <c r="G220" s="23" t="s">
        <v>24</v>
      </c>
      <c r="H220" s="107"/>
      <c r="I220" s="25"/>
      <c r="J220" s="25"/>
      <c r="K220" s="26"/>
      <c r="L220" s="27"/>
      <c r="M220" s="26">
        <f t="shared" si="2"/>
        <v>0</v>
      </c>
      <c r="N220" s="26"/>
      <c r="O220" s="31"/>
      <c r="P220" s="53">
        <v>6</v>
      </c>
      <c r="Q220" s="30">
        <v>10828.63</v>
      </c>
      <c r="R220" s="27"/>
      <c r="S220" s="26">
        <f t="shared" si="3"/>
        <v>0</v>
      </c>
      <c r="T220" s="26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34"/>
      <c r="G221" s="35" t="s">
        <v>28</v>
      </c>
      <c r="H221" s="111"/>
      <c r="I221" s="38"/>
      <c r="J221" s="38"/>
      <c r="K221" s="39"/>
      <c r="L221" s="40"/>
      <c r="M221" s="39">
        <f t="shared" si="2"/>
        <v>0</v>
      </c>
      <c r="N221" s="39"/>
      <c r="O221" s="41"/>
      <c r="P221" s="59"/>
      <c r="Q221" s="39"/>
      <c r="R221" s="40"/>
      <c r="S221" s="39">
        <f t="shared" si="3"/>
        <v>0</v>
      </c>
      <c r="T221" s="39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82"/>
      <c r="B222" s="381" t="s">
        <v>187</v>
      </c>
      <c r="C222" s="381" t="s">
        <v>22</v>
      </c>
      <c r="D222" s="381"/>
      <c r="E222" s="381" t="s">
        <v>131</v>
      </c>
      <c r="F222" s="46"/>
      <c r="G222" s="23" t="s">
        <v>24</v>
      </c>
      <c r="H222" s="107"/>
      <c r="I222" s="49"/>
      <c r="J222" s="49"/>
      <c r="K222" s="50"/>
      <c r="L222" s="51"/>
      <c r="M222" s="50">
        <f t="shared" si="2"/>
        <v>0</v>
      </c>
      <c r="N222" s="50"/>
      <c r="O222" s="31"/>
      <c r="P222" s="108">
        <v>6</v>
      </c>
      <c r="Q222" s="65">
        <v>16079.31</v>
      </c>
      <c r="R222" s="51"/>
      <c r="S222" s="50">
        <f t="shared" si="3"/>
        <v>0</v>
      </c>
      <c r="T222" s="50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9"/>
      <c r="B223" s="380"/>
      <c r="C223" s="380"/>
      <c r="D223" s="380"/>
      <c r="E223" s="380"/>
      <c r="F223" s="54"/>
      <c r="G223" s="55" t="s">
        <v>25</v>
      </c>
      <c r="H223" s="111"/>
      <c r="I223" s="57"/>
      <c r="J223" s="57"/>
      <c r="K223" s="43"/>
      <c r="L223" s="44"/>
      <c r="M223" s="43">
        <f t="shared" si="2"/>
        <v>0</v>
      </c>
      <c r="N223" s="43"/>
      <c r="O223" s="41"/>
      <c r="P223" s="103"/>
      <c r="Q223" s="43"/>
      <c r="R223" s="44"/>
      <c r="S223" s="43">
        <f t="shared" si="3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188</v>
      </c>
      <c r="C224" s="374" t="s">
        <v>22</v>
      </c>
      <c r="D224" s="374"/>
      <c r="E224" s="374" t="s">
        <v>27</v>
      </c>
      <c r="F224" s="22"/>
      <c r="G224" s="23" t="s">
        <v>24</v>
      </c>
      <c r="H224" s="98"/>
      <c r="I224" s="25"/>
      <c r="J224" s="25"/>
      <c r="K224" s="26"/>
      <c r="L224" s="27"/>
      <c r="M224" s="26">
        <f t="shared" si="2"/>
        <v>0</v>
      </c>
      <c r="N224" s="26"/>
      <c r="O224" s="31"/>
      <c r="P224" s="99"/>
      <c r="Q224" s="26"/>
      <c r="R224" s="27"/>
      <c r="S224" s="26">
        <f t="shared" si="3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20.25" customHeight="1">
      <c r="A225" s="373"/>
      <c r="B225" s="375"/>
      <c r="C225" s="375"/>
      <c r="D225" s="375"/>
      <c r="E225" s="375"/>
      <c r="F225" s="54"/>
      <c r="G225" s="55" t="s">
        <v>28</v>
      </c>
      <c r="H225" s="118"/>
      <c r="I225" s="57"/>
      <c r="J225" s="57"/>
      <c r="K225" s="43"/>
      <c r="L225" s="44"/>
      <c r="M225" s="43">
        <f t="shared" si="2"/>
        <v>0</v>
      </c>
      <c r="N225" s="43"/>
      <c r="O225" s="45"/>
      <c r="P225" s="103"/>
      <c r="Q225" s="43"/>
      <c r="R225" s="44"/>
      <c r="S225" s="43">
        <f t="shared" si="3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189</v>
      </c>
      <c r="C226" s="374"/>
      <c r="D226" s="374"/>
      <c r="E226" s="374" t="s">
        <v>27</v>
      </c>
      <c r="F226" s="22"/>
      <c r="G226" s="23" t="s">
        <v>24</v>
      </c>
      <c r="H226" s="119"/>
      <c r="I226" s="25"/>
      <c r="J226" s="25"/>
      <c r="K226" s="26"/>
      <c r="L226" s="27"/>
      <c r="M226" s="26">
        <f t="shared" si="2"/>
        <v>0</v>
      </c>
      <c r="N226" s="26"/>
      <c r="O226" s="28"/>
      <c r="P226" s="120"/>
      <c r="Q226" s="26"/>
      <c r="R226" s="27"/>
      <c r="S226" s="26">
        <f t="shared" si="3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35" t="s">
        <v>28</v>
      </c>
      <c r="H227" s="36"/>
      <c r="I227" s="38"/>
      <c r="J227" s="38"/>
      <c r="K227" s="39"/>
      <c r="L227" s="40"/>
      <c r="M227" s="39">
        <f t="shared" si="2"/>
        <v>0</v>
      </c>
      <c r="N227" s="39"/>
      <c r="O227" s="41"/>
      <c r="P227" s="69"/>
      <c r="Q227" s="39"/>
      <c r="R227" s="40"/>
      <c r="S227" s="39">
        <f t="shared" si="3"/>
        <v>0</v>
      </c>
      <c r="T227" s="39"/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190</v>
      </c>
      <c r="C228" s="381" t="s">
        <v>39</v>
      </c>
      <c r="D228" s="381" t="s">
        <v>191</v>
      </c>
      <c r="E228" s="381" t="s">
        <v>27</v>
      </c>
      <c r="F228" s="46"/>
      <c r="G228" s="47" t="s">
        <v>24</v>
      </c>
      <c r="H228" s="98"/>
      <c r="I228" s="49"/>
      <c r="J228" s="49"/>
      <c r="K228" s="50"/>
      <c r="L228" s="51"/>
      <c r="M228" s="50">
        <f t="shared" si="2"/>
        <v>0</v>
      </c>
      <c r="N228" s="50"/>
      <c r="O228" s="31"/>
      <c r="P228" s="123"/>
      <c r="Q228" s="50"/>
      <c r="R228" s="51"/>
      <c r="S228" s="50">
        <f t="shared" si="3"/>
        <v>0</v>
      </c>
      <c r="T228" s="50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34"/>
      <c r="G229" s="35" t="s">
        <v>28</v>
      </c>
      <c r="H229" s="102"/>
      <c r="I229" s="57"/>
      <c r="J229" s="57"/>
      <c r="K229" s="43"/>
      <c r="L229" s="44"/>
      <c r="M229" s="43">
        <f t="shared" si="2"/>
        <v>0</v>
      </c>
      <c r="N229" s="43"/>
      <c r="O229" s="45"/>
      <c r="P229" s="59"/>
      <c r="Q229" s="39"/>
      <c r="R229" s="40"/>
      <c r="S229" s="39">
        <f t="shared" si="3"/>
        <v>0</v>
      </c>
      <c r="T229" s="39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82"/>
      <c r="B230" s="381" t="s">
        <v>192</v>
      </c>
      <c r="C230" s="381" t="s">
        <v>22</v>
      </c>
      <c r="D230" s="381"/>
      <c r="E230" s="381" t="s">
        <v>193</v>
      </c>
      <c r="F230" s="46"/>
      <c r="G230" s="23" t="s">
        <v>24</v>
      </c>
      <c r="H230" s="104"/>
      <c r="I230" s="25"/>
      <c r="J230" s="25"/>
      <c r="K230" s="26"/>
      <c r="L230" s="27"/>
      <c r="M230" s="26">
        <f t="shared" si="2"/>
        <v>0</v>
      </c>
      <c r="N230" s="26"/>
      <c r="O230" s="100"/>
      <c r="P230" s="64">
        <v>10</v>
      </c>
      <c r="Q230" s="65">
        <v>17890.599999999999</v>
      </c>
      <c r="R230" s="51"/>
      <c r="S230" s="50">
        <f t="shared" si="3"/>
        <v>0</v>
      </c>
      <c r="T230" s="50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38"/>
      <c r="J231" s="38"/>
      <c r="K231" s="39"/>
      <c r="L231" s="40"/>
      <c r="M231" s="39">
        <f t="shared" si="2"/>
        <v>0</v>
      </c>
      <c r="N231" s="39"/>
      <c r="O231" s="41"/>
      <c r="P231" s="42"/>
      <c r="Q231" s="43"/>
      <c r="R231" s="44"/>
      <c r="S231" s="43">
        <f t="shared" si="3"/>
        <v>0</v>
      </c>
      <c r="T231" s="43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194</v>
      </c>
      <c r="C232" s="374" t="s">
        <v>22</v>
      </c>
      <c r="D232" s="374"/>
      <c r="E232" s="374" t="s">
        <v>160</v>
      </c>
      <c r="F232" s="22"/>
      <c r="G232" s="23" t="s">
        <v>24</v>
      </c>
      <c r="H232" s="107"/>
      <c r="I232" s="49"/>
      <c r="J232" s="49"/>
      <c r="K232" s="50"/>
      <c r="L232" s="128"/>
      <c r="M232" s="129">
        <f t="shared" si="2"/>
        <v>0</v>
      </c>
      <c r="N232" s="50"/>
      <c r="O232" s="31"/>
      <c r="P232" s="29">
        <v>4</v>
      </c>
      <c r="Q232" s="30">
        <v>7094.76</v>
      </c>
      <c r="R232" s="27"/>
      <c r="S232" s="26">
        <f t="shared" si="3"/>
        <v>0</v>
      </c>
      <c r="T232" s="26"/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34"/>
      <c r="G233" s="35" t="s">
        <v>28</v>
      </c>
      <c r="H233" s="106"/>
      <c r="I233" s="37">
        <v>1</v>
      </c>
      <c r="J233" s="37">
        <v>288.14999999999998</v>
      </c>
      <c r="K233" s="39"/>
      <c r="L233" s="44"/>
      <c r="M233" s="43">
        <f t="shared" si="2"/>
        <v>0</v>
      </c>
      <c r="N233" s="39"/>
      <c r="O233" s="41"/>
      <c r="P233" s="69"/>
      <c r="Q233" s="39"/>
      <c r="R233" s="40"/>
      <c r="S233" s="39">
        <f t="shared" si="3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82"/>
      <c r="B234" s="381" t="s">
        <v>195</v>
      </c>
      <c r="C234" s="381" t="s">
        <v>22</v>
      </c>
      <c r="D234" s="381"/>
      <c r="E234" s="381" t="s">
        <v>27</v>
      </c>
      <c r="F234" s="46"/>
      <c r="G234" s="47" t="s">
        <v>24</v>
      </c>
      <c r="H234" s="104"/>
      <c r="I234" s="25"/>
      <c r="J234" s="25"/>
      <c r="K234" s="26"/>
      <c r="L234" s="27"/>
      <c r="M234" s="26">
        <f t="shared" si="2"/>
        <v>0</v>
      </c>
      <c r="N234" s="26"/>
      <c r="O234" s="31"/>
      <c r="P234" s="64">
        <v>2</v>
      </c>
      <c r="Q234" s="65">
        <v>38969.4</v>
      </c>
      <c r="R234" s="51"/>
      <c r="S234" s="50">
        <f t="shared" si="3"/>
        <v>0</v>
      </c>
      <c r="T234" s="50"/>
      <c r="U234" s="3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54"/>
      <c r="G235" s="55" t="s">
        <v>28</v>
      </c>
      <c r="H235" s="178">
        <v>1</v>
      </c>
      <c r="I235" s="130">
        <v>1</v>
      </c>
      <c r="J235" s="130">
        <v>1056.55</v>
      </c>
      <c r="K235" s="43"/>
      <c r="L235" s="44"/>
      <c r="M235" s="43">
        <f t="shared" si="2"/>
        <v>0</v>
      </c>
      <c r="N235" s="43"/>
      <c r="O235" s="45"/>
      <c r="P235" s="42"/>
      <c r="Q235" s="43"/>
      <c r="R235" s="44"/>
      <c r="S235" s="43">
        <f t="shared" si="3"/>
        <v>0</v>
      </c>
      <c r="T235" s="43"/>
      <c r="U235" s="4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196</v>
      </c>
      <c r="C236" s="381" t="s">
        <v>22</v>
      </c>
      <c r="D236" s="374"/>
      <c r="E236" s="381" t="s">
        <v>27</v>
      </c>
      <c r="F236" s="22"/>
      <c r="G236" s="23" t="s">
        <v>24</v>
      </c>
      <c r="H236" s="119"/>
      <c r="I236" s="25"/>
      <c r="J236" s="25"/>
      <c r="K236" s="26"/>
      <c r="L236" s="27"/>
      <c r="M236" s="26">
        <f t="shared" si="2"/>
        <v>0</v>
      </c>
      <c r="N236" s="26"/>
      <c r="O236" s="28"/>
      <c r="P236" s="120"/>
      <c r="Q236" s="26"/>
      <c r="R236" s="27"/>
      <c r="S236" s="26">
        <f t="shared" si="3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34"/>
      <c r="G237" s="35" t="s">
        <v>28</v>
      </c>
      <c r="H237" s="36"/>
      <c r="I237" s="38"/>
      <c r="J237" s="38"/>
      <c r="K237" s="39"/>
      <c r="L237" s="40"/>
      <c r="M237" s="39">
        <f t="shared" si="2"/>
        <v>0</v>
      </c>
      <c r="N237" s="39"/>
      <c r="O237" s="41"/>
      <c r="P237" s="69"/>
      <c r="Q237" s="39"/>
      <c r="R237" s="40"/>
      <c r="S237" s="39">
        <f t="shared" si="3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82"/>
      <c r="B238" s="381" t="s">
        <v>197</v>
      </c>
      <c r="C238" s="381" t="s">
        <v>22</v>
      </c>
      <c r="D238" s="381"/>
      <c r="E238" s="381" t="s">
        <v>27</v>
      </c>
      <c r="F238" s="46"/>
      <c r="G238" s="47" t="s">
        <v>24</v>
      </c>
      <c r="H238" s="98"/>
      <c r="I238" s="49"/>
      <c r="J238" s="49"/>
      <c r="K238" s="50"/>
      <c r="L238" s="51"/>
      <c r="M238" s="50">
        <f t="shared" si="2"/>
        <v>0</v>
      </c>
      <c r="N238" s="50"/>
      <c r="O238" s="31"/>
      <c r="P238" s="123"/>
      <c r="Q238" s="50"/>
      <c r="R238" s="51"/>
      <c r="S238" s="50">
        <f t="shared" si="3"/>
        <v>0</v>
      </c>
      <c r="T238" s="50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9"/>
      <c r="B239" s="380"/>
      <c r="C239" s="380"/>
      <c r="D239" s="380"/>
      <c r="E239" s="380"/>
      <c r="F239" s="54"/>
      <c r="G239" s="55" t="s">
        <v>28</v>
      </c>
      <c r="H239" s="111"/>
      <c r="I239" s="57"/>
      <c r="J239" s="57"/>
      <c r="K239" s="43"/>
      <c r="L239" s="44"/>
      <c r="M239" s="43">
        <f t="shared" si="2"/>
        <v>0</v>
      </c>
      <c r="N239" s="43"/>
      <c r="O239" s="41"/>
      <c r="P239" s="103"/>
      <c r="Q239" s="43"/>
      <c r="R239" s="44"/>
      <c r="S239" s="43">
        <f t="shared" si="3"/>
        <v>0</v>
      </c>
      <c r="T239" s="43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2"/>
      <c r="B240" s="374" t="s">
        <v>198</v>
      </c>
      <c r="C240" s="374" t="s">
        <v>22</v>
      </c>
      <c r="D240" s="374"/>
      <c r="E240" s="374" t="s">
        <v>112</v>
      </c>
      <c r="F240" s="22"/>
      <c r="G240" s="23" t="s">
        <v>24</v>
      </c>
      <c r="H240" s="107"/>
      <c r="I240" s="25"/>
      <c r="J240" s="25"/>
      <c r="K240" s="26"/>
      <c r="L240" s="27"/>
      <c r="M240" s="26">
        <f t="shared" si="2"/>
        <v>0</v>
      </c>
      <c r="N240" s="26"/>
      <c r="O240" s="31"/>
      <c r="P240" s="53">
        <v>4</v>
      </c>
      <c r="Q240" s="30">
        <v>13493.49</v>
      </c>
      <c r="R240" s="27"/>
      <c r="S240" s="26">
        <f t="shared" si="3"/>
        <v>0</v>
      </c>
      <c r="T240" s="26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34"/>
      <c r="G241" s="35" t="s">
        <v>28</v>
      </c>
      <c r="H241" s="111"/>
      <c r="I241" s="38"/>
      <c r="J241" s="38"/>
      <c r="K241" s="39"/>
      <c r="L241" s="40"/>
      <c r="M241" s="39">
        <f t="shared" si="2"/>
        <v>0</v>
      </c>
      <c r="N241" s="39"/>
      <c r="O241" s="41"/>
      <c r="P241" s="59"/>
      <c r="Q241" s="39"/>
      <c r="R241" s="40"/>
      <c r="S241" s="39">
        <f t="shared" si="3"/>
        <v>0</v>
      </c>
      <c r="T241" s="39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82"/>
      <c r="B242" s="381" t="s">
        <v>199</v>
      </c>
      <c r="C242" s="381" t="s">
        <v>22</v>
      </c>
      <c r="D242" s="381"/>
      <c r="E242" s="381" t="s">
        <v>131</v>
      </c>
      <c r="F242" s="46"/>
      <c r="G242" s="23" t="s">
        <v>24</v>
      </c>
      <c r="H242" s="98"/>
      <c r="I242" s="49"/>
      <c r="J242" s="49"/>
      <c r="K242" s="50"/>
      <c r="L242" s="51"/>
      <c r="M242" s="50">
        <f t="shared" si="2"/>
        <v>0</v>
      </c>
      <c r="N242" s="50"/>
      <c r="O242" s="31"/>
      <c r="P242" s="123"/>
      <c r="Q242" s="50"/>
      <c r="R242" s="51"/>
      <c r="S242" s="50">
        <f t="shared" si="3"/>
        <v>0</v>
      </c>
      <c r="T242" s="50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9"/>
      <c r="B243" s="380"/>
      <c r="C243" s="380"/>
      <c r="D243" s="380"/>
      <c r="E243" s="380"/>
      <c r="F243" s="126"/>
      <c r="G243" s="55" t="s">
        <v>25</v>
      </c>
      <c r="H243" s="118"/>
      <c r="I243" s="57"/>
      <c r="J243" s="57"/>
      <c r="K243" s="43"/>
      <c r="L243" s="44"/>
      <c r="M243" s="43">
        <f t="shared" si="2"/>
        <v>0</v>
      </c>
      <c r="N243" s="43"/>
      <c r="O243" s="41"/>
      <c r="P243" s="103"/>
      <c r="Q243" s="43"/>
      <c r="R243" s="44"/>
      <c r="S243" s="43">
        <f t="shared" si="3"/>
        <v>0</v>
      </c>
      <c r="T243" s="43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200</v>
      </c>
      <c r="C244" s="374" t="s">
        <v>22</v>
      </c>
      <c r="D244" s="374"/>
      <c r="E244" s="374" t="s">
        <v>27</v>
      </c>
      <c r="F244" s="60"/>
      <c r="G244" s="23" t="s">
        <v>24</v>
      </c>
      <c r="H244" s="104"/>
      <c r="I244" s="25"/>
      <c r="J244" s="25"/>
      <c r="K244" s="26"/>
      <c r="L244" s="27"/>
      <c r="M244" s="26">
        <f t="shared" si="2"/>
        <v>0</v>
      </c>
      <c r="N244" s="26"/>
      <c r="O244" s="31"/>
      <c r="P244" s="29">
        <v>1</v>
      </c>
      <c r="Q244" s="30">
        <v>1911.09</v>
      </c>
      <c r="R244" s="27"/>
      <c r="S244" s="26">
        <f t="shared" si="3"/>
        <v>0</v>
      </c>
      <c r="T244" s="26"/>
      <c r="U244" s="31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54"/>
      <c r="G245" s="55" t="s">
        <v>28</v>
      </c>
      <c r="H245" s="122"/>
      <c r="I245" s="57"/>
      <c r="J245" s="57"/>
      <c r="K245" s="43"/>
      <c r="L245" s="44"/>
      <c r="M245" s="43">
        <f t="shared" si="2"/>
        <v>0</v>
      </c>
      <c r="N245" s="43"/>
      <c r="O245" s="45"/>
      <c r="P245" s="42"/>
      <c r="Q245" s="43"/>
      <c r="R245" s="44"/>
      <c r="S245" s="43">
        <f t="shared" si="3"/>
        <v>0</v>
      </c>
      <c r="T245" s="43"/>
      <c r="U245" s="45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201</v>
      </c>
      <c r="C246" s="374"/>
      <c r="D246" s="374"/>
      <c r="E246" s="374"/>
      <c r="F246" s="22"/>
      <c r="G246" s="23" t="s">
        <v>24</v>
      </c>
      <c r="H246" s="104"/>
      <c r="I246" s="25"/>
      <c r="J246" s="25"/>
      <c r="K246" s="26"/>
      <c r="L246" s="27"/>
      <c r="M246" s="26">
        <f t="shared" si="2"/>
        <v>0</v>
      </c>
      <c r="N246" s="26"/>
      <c r="O246" s="159"/>
      <c r="P246" s="53">
        <v>2</v>
      </c>
      <c r="Q246" s="30">
        <v>4356.83</v>
      </c>
      <c r="R246" s="27"/>
      <c r="S246" s="26">
        <f t="shared" si="3"/>
        <v>0</v>
      </c>
      <c r="T246" s="26"/>
      <c r="U246" s="28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105"/>
      <c r="G247" s="35" t="s">
        <v>25</v>
      </c>
      <c r="H247" s="106"/>
      <c r="I247" s="38"/>
      <c r="J247" s="38"/>
      <c r="K247" s="39"/>
      <c r="L247" s="40"/>
      <c r="M247" s="39">
        <f t="shared" si="2"/>
        <v>0</v>
      </c>
      <c r="N247" s="39"/>
      <c r="O247" s="58"/>
      <c r="P247" s="59"/>
      <c r="Q247" s="39"/>
      <c r="R247" s="40"/>
      <c r="S247" s="39">
        <f t="shared" si="3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202</v>
      </c>
      <c r="C248" s="381" t="s">
        <v>22</v>
      </c>
      <c r="D248" s="381"/>
      <c r="E248" s="381" t="s">
        <v>27</v>
      </c>
      <c r="F248" s="110"/>
      <c r="G248" s="206" t="s">
        <v>210</v>
      </c>
      <c r="H248" s="107"/>
      <c r="I248" s="49"/>
      <c r="J248" s="49"/>
      <c r="K248" s="50"/>
      <c r="L248" s="51"/>
      <c r="M248" s="50">
        <f t="shared" si="2"/>
        <v>0</v>
      </c>
      <c r="N248" s="50"/>
      <c r="O248" s="31"/>
      <c r="P248" s="123"/>
      <c r="Q248" s="50"/>
      <c r="R248" s="51"/>
      <c r="S248" s="50">
        <f t="shared" si="3"/>
        <v>0</v>
      </c>
      <c r="T248" s="50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54"/>
      <c r="G249" s="55" t="s">
        <v>28</v>
      </c>
      <c r="H249" s="102"/>
      <c r="I249" s="57"/>
      <c r="J249" s="57"/>
      <c r="K249" s="43"/>
      <c r="L249" s="128"/>
      <c r="M249" s="129">
        <f t="shared" si="2"/>
        <v>0</v>
      </c>
      <c r="N249" s="43"/>
      <c r="O249" s="45"/>
      <c r="P249" s="103"/>
      <c r="Q249" s="43"/>
      <c r="R249" s="128"/>
      <c r="S249" s="129">
        <f t="shared" si="3"/>
        <v>0</v>
      </c>
      <c r="T249" s="43"/>
      <c r="U249" s="45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203</v>
      </c>
      <c r="C250" s="374"/>
      <c r="D250" s="374"/>
      <c r="E250" s="374" t="s">
        <v>27</v>
      </c>
      <c r="F250" s="60"/>
      <c r="G250" s="23" t="s">
        <v>24</v>
      </c>
      <c r="H250" s="104"/>
      <c r="I250" s="25"/>
      <c r="J250" s="25"/>
      <c r="K250" s="26"/>
      <c r="L250" s="27"/>
      <c r="M250" s="26">
        <f t="shared" si="2"/>
        <v>0</v>
      </c>
      <c r="N250" s="26"/>
      <c r="O250" s="28"/>
      <c r="P250" s="120"/>
      <c r="Q250" s="26"/>
      <c r="R250" s="27"/>
      <c r="S250" s="26">
        <f t="shared" si="3"/>
        <v>0</v>
      </c>
      <c r="T250" s="26"/>
      <c r="U250" s="28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28</v>
      </c>
      <c r="H251" s="106"/>
      <c r="I251" s="38"/>
      <c r="J251" s="38"/>
      <c r="K251" s="39"/>
      <c r="L251" s="40"/>
      <c r="M251" s="39">
        <f t="shared" si="2"/>
        <v>0</v>
      </c>
      <c r="N251" s="39"/>
      <c r="O251" s="41"/>
      <c r="P251" s="69"/>
      <c r="Q251" s="39"/>
      <c r="R251" s="40"/>
      <c r="S251" s="39">
        <f t="shared" si="3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204</v>
      </c>
      <c r="C252" s="381" t="s">
        <v>22</v>
      </c>
      <c r="D252" s="381"/>
      <c r="E252" s="381" t="s">
        <v>23</v>
      </c>
      <c r="F252" s="127"/>
      <c r="G252" s="47" t="s">
        <v>24</v>
      </c>
      <c r="H252" s="107"/>
      <c r="I252" s="49"/>
      <c r="J252" s="49"/>
      <c r="K252" s="50"/>
      <c r="L252" s="51"/>
      <c r="M252" s="50">
        <f t="shared" si="2"/>
        <v>0</v>
      </c>
      <c r="N252" s="50"/>
      <c r="O252" s="31"/>
      <c r="P252" s="123"/>
      <c r="Q252" s="50"/>
      <c r="R252" s="51"/>
      <c r="S252" s="50">
        <f t="shared" si="3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34"/>
      <c r="G253" s="35" t="s">
        <v>25</v>
      </c>
      <c r="H253" s="111"/>
      <c r="I253" s="38"/>
      <c r="J253" s="38"/>
      <c r="K253" s="39"/>
      <c r="L253" s="40"/>
      <c r="M253" s="39">
        <f t="shared" si="2"/>
        <v>0</v>
      </c>
      <c r="N253" s="39"/>
      <c r="O253" s="41"/>
      <c r="P253" s="59"/>
      <c r="Q253" s="39"/>
      <c r="R253" s="40"/>
      <c r="S253" s="39">
        <f t="shared" si="3"/>
        <v>0</v>
      </c>
      <c r="T253" s="39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179"/>
      <c r="B254" s="180" t="s">
        <v>205</v>
      </c>
      <c r="C254" s="180"/>
      <c r="D254" s="180"/>
      <c r="E254" s="180"/>
      <c r="F254" s="180"/>
      <c r="G254" s="181"/>
      <c r="H254" s="182">
        <f t="shared" ref="H254:U254" si="4">SUM(H9:H253)</f>
        <v>20</v>
      </c>
      <c r="I254" s="183">
        <f t="shared" si="4"/>
        <v>2</v>
      </c>
      <c r="J254" s="183">
        <f t="shared" si="4"/>
        <v>1344.6999999999998</v>
      </c>
      <c r="K254" s="184">
        <f t="shared" si="4"/>
        <v>0</v>
      </c>
      <c r="L254" s="185">
        <f t="shared" si="4"/>
        <v>0</v>
      </c>
      <c r="M254" s="184">
        <f t="shared" si="4"/>
        <v>0</v>
      </c>
      <c r="N254" s="184">
        <f t="shared" si="4"/>
        <v>0</v>
      </c>
      <c r="O254" s="186">
        <f t="shared" si="4"/>
        <v>0</v>
      </c>
      <c r="P254" s="187">
        <f t="shared" si="4"/>
        <v>383</v>
      </c>
      <c r="Q254" s="188">
        <f t="shared" si="4"/>
        <v>1151985.7500000002</v>
      </c>
      <c r="R254" s="185">
        <f t="shared" si="4"/>
        <v>0</v>
      </c>
      <c r="S254" s="188">
        <f t="shared" si="4"/>
        <v>0</v>
      </c>
      <c r="T254" s="188">
        <f t="shared" si="4"/>
        <v>0</v>
      </c>
      <c r="U254" s="189">
        <f t="shared" si="4"/>
        <v>0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I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4"/>
      <c r="G257" s="4"/>
      <c r="H257" s="4" t="s">
        <v>206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27.75" customHeight="1">
      <c r="A258" s="4"/>
      <c r="B258" s="4"/>
      <c r="C258" s="4"/>
      <c r="D258" s="4"/>
      <c r="E258" s="4"/>
      <c r="F258" s="394"/>
      <c r="G258" s="395" t="s">
        <v>5</v>
      </c>
      <c r="H258" s="396"/>
      <c r="I258" s="396"/>
      <c r="J258" s="396"/>
      <c r="K258" s="396"/>
      <c r="L258" s="396"/>
      <c r="M258" s="396"/>
      <c r="N258" s="397"/>
      <c r="O258" s="395" t="s">
        <v>6</v>
      </c>
      <c r="P258" s="396"/>
      <c r="Q258" s="396"/>
      <c r="R258" s="396"/>
      <c r="S258" s="396"/>
      <c r="T258" s="397"/>
      <c r="U258" s="393" t="s">
        <v>207</v>
      </c>
      <c r="V258" s="393" t="s">
        <v>208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386"/>
      <c r="G259" s="190" t="s">
        <v>13</v>
      </c>
      <c r="H259" s="190" t="s">
        <v>14</v>
      </c>
      <c r="I259" s="190" t="s">
        <v>15</v>
      </c>
      <c r="J259" s="190" t="s">
        <v>16</v>
      </c>
      <c r="K259" s="191" t="s">
        <v>17</v>
      </c>
      <c r="L259" s="190" t="s">
        <v>18</v>
      </c>
      <c r="M259" s="190" t="s">
        <v>19</v>
      </c>
      <c r="N259" s="190" t="s">
        <v>20</v>
      </c>
      <c r="O259" s="190" t="s">
        <v>15</v>
      </c>
      <c r="P259" s="190" t="s">
        <v>16</v>
      </c>
      <c r="Q259" s="191" t="s">
        <v>17</v>
      </c>
      <c r="R259" s="190" t="s">
        <v>18</v>
      </c>
      <c r="S259" s="190" t="s">
        <v>19</v>
      </c>
      <c r="T259" s="190" t="s">
        <v>20</v>
      </c>
      <c r="U259" s="392"/>
      <c r="V259" s="392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24</v>
      </c>
      <c r="G260" s="193">
        <f t="shared" ref="G260:I260" si="5">SUMIF($G$9:$G$253,$F$260,H9:H253)</f>
        <v>10</v>
      </c>
      <c r="H260" s="193">
        <f t="shared" si="5"/>
        <v>0</v>
      </c>
      <c r="I260" s="193">
        <f t="shared" si="5"/>
        <v>0</v>
      </c>
      <c r="J260" s="194">
        <f t="shared" ref="J260:J262" si="6">SUMIF($G$9:$G$253,F260,$K$9:$K$253)</f>
        <v>0</v>
      </c>
      <c r="K260" s="195">
        <f t="shared" ref="K260:K262" si="7">SUMIF($G$9:$G$253,F260,$L$9:$L$253)</f>
        <v>0</v>
      </c>
      <c r="L260" s="194">
        <f t="shared" ref="L260:L262" si="8">SUMIF($G$9:$G$253,F260,$M$9:$M$253)</f>
        <v>0</v>
      </c>
      <c r="M260" s="194">
        <f t="shared" ref="M260:O260" si="9">SUMIF($G$9:$G$253,$F$260,N9:N253)</f>
        <v>0</v>
      </c>
      <c r="N260" s="194">
        <f t="shared" si="9"/>
        <v>0</v>
      </c>
      <c r="O260" s="193">
        <f t="shared" si="9"/>
        <v>380</v>
      </c>
      <c r="P260" s="194">
        <f t="shared" ref="P260:P262" si="10">SUMIF($G$9:$G$253,F260,$Q$9:$Q$253)</f>
        <v>1134888.8500000003</v>
      </c>
      <c r="Q260" s="195">
        <f t="shared" ref="Q260:Q262" si="11">SUMIF($G$9:$G$253,F260,$R$9:$R$253)</f>
        <v>0</v>
      </c>
      <c r="R260" s="194">
        <f t="shared" ref="R260:R262" si="12">SUMIF($G$9:$G$253,F260,$S$9:$S$253)</f>
        <v>0</v>
      </c>
      <c r="S260" s="194">
        <f t="shared" ref="S260:T260" si="13">SUMIF($G$9:$G$253,$F$260,T9:T253)</f>
        <v>0</v>
      </c>
      <c r="T260" s="194">
        <f t="shared" si="13"/>
        <v>0</v>
      </c>
      <c r="U260" s="194">
        <f t="shared" ref="U260:U262" si="14">S260+M260</f>
        <v>0</v>
      </c>
      <c r="V260" s="196">
        <f t="shared" ref="V260:V262" si="15">J260-M260+P260-S260</f>
        <v>1134888.8500000003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192" t="s">
        <v>28</v>
      </c>
      <c r="G261" s="193">
        <f t="shared" ref="G261:I261" si="16">SUMIF($G$9:$G$253,$F$261,H9:H253)</f>
        <v>8</v>
      </c>
      <c r="H261" s="193">
        <f t="shared" si="16"/>
        <v>2</v>
      </c>
      <c r="I261" s="193">
        <f t="shared" si="16"/>
        <v>1344.6999999999998</v>
      </c>
      <c r="J261" s="194">
        <f t="shared" si="6"/>
        <v>0</v>
      </c>
      <c r="K261" s="195">
        <f t="shared" si="7"/>
        <v>0</v>
      </c>
      <c r="L261" s="194">
        <f t="shared" si="8"/>
        <v>0</v>
      </c>
      <c r="M261" s="194">
        <f t="shared" ref="M261:O261" si="17">SUMIF($G$9:$G$253,$F$261,N9:N253)</f>
        <v>0</v>
      </c>
      <c r="N261" s="194">
        <f t="shared" si="17"/>
        <v>0</v>
      </c>
      <c r="O261" s="193">
        <f t="shared" si="17"/>
        <v>2</v>
      </c>
      <c r="P261" s="194">
        <f t="shared" si="10"/>
        <v>16808.75</v>
      </c>
      <c r="Q261" s="195">
        <f t="shared" si="11"/>
        <v>0</v>
      </c>
      <c r="R261" s="194">
        <f t="shared" si="12"/>
        <v>0</v>
      </c>
      <c r="S261" s="194">
        <f t="shared" ref="S261:T261" si="18">SUMIF($G$9:$G$253,$F$261,T9:T253)</f>
        <v>0</v>
      </c>
      <c r="T261" s="194">
        <f t="shared" si="18"/>
        <v>0</v>
      </c>
      <c r="U261" s="194">
        <f t="shared" si="14"/>
        <v>0</v>
      </c>
      <c r="V261" s="196">
        <f t="shared" si="15"/>
        <v>16808.75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192" t="s">
        <v>25</v>
      </c>
      <c r="G262" s="193">
        <f t="shared" ref="G262:I262" si="19">SUMIF($G$9:$G$253,$F$262,H9:H253)</f>
        <v>2</v>
      </c>
      <c r="H262" s="193">
        <f t="shared" si="19"/>
        <v>0</v>
      </c>
      <c r="I262" s="193">
        <f t="shared" si="19"/>
        <v>0</v>
      </c>
      <c r="J262" s="194">
        <f t="shared" si="6"/>
        <v>0</v>
      </c>
      <c r="K262" s="195">
        <f t="shared" si="7"/>
        <v>0</v>
      </c>
      <c r="L262" s="194">
        <f t="shared" si="8"/>
        <v>0</v>
      </c>
      <c r="M262" s="194">
        <f t="shared" ref="M262:O262" si="20">SUMIF($G$9:$G$253,$F$262,N9:N253)</f>
        <v>0</v>
      </c>
      <c r="N262" s="194">
        <f t="shared" si="20"/>
        <v>0</v>
      </c>
      <c r="O262" s="193">
        <f t="shared" si="20"/>
        <v>1</v>
      </c>
      <c r="P262" s="194">
        <f t="shared" si="10"/>
        <v>288.14999999999998</v>
      </c>
      <c r="Q262" s="195">
        <f t="shared" si="11"/>
        <v>0</v>
      </c>
      <c r="R262" s="194">
        <f t="shared" si="12"/>
        <v>0</v>
      </c>
      <c r="S262" s="194">
        <f t="shared" ref="S262:T262" si="21">SUMIF($G$9:$G$253,$F$262,T9:T253)</f>
        <v>0</v>
      </c>
      <c r="T262" s="194">
        <f t="shared" si="21"/>
        <v>0</v>
      </c>
      <c r="U262" s="194">
        <f t="shared" si="14"/>
        <v>0</v>
      </c>
      <c r="V262" s="196">
        <f t="shared" si="15"/>
        <v>288.14999999999998</v>
      </c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197">
        <f t="shared" ref="G263:V263" si="22">G262+G261+G260</f>
        <v>20</v>
      </c>
      <c r="H263" s="197">
        <f t="shared" si="22"/>
        <v>2</v>
      </c>
      <c r="I263" s="197">
        <f t="shared" si="22"/>
        <v>1344.6999999999998</v>
      </c>
      <c r="J263" s="198">
        <f t="shared" si="22"/>
        <v>0</v>
      </c>
      <c r="K263" s="199">
        <f t="shared" si="22"/>
        <v>0</v>
      </c>
      <c r="L263" s="198">
        <f t="shared" si="22"/>
        <v>0</v>
      </c>
      <c r="M263" s="198">
        <f t="shared" si="22"/>
        <v>0</v>
      </c>
      <c r="N263" s="198">
        <f t="shared" si="22"/>
        <v>0</v>
      </c>
      <c r="O263" s="197">
        <f t="shared" si="22"/>
        <v>383</v>
      </c>
      <c r="P263" s="198">
        <f t="shared" si="22"/>
        <v>1151985.7500000002</v>
      </c>
      <c r="Q263" s="200">
        <f t="shared" si="22"/>
        <v>0</v>
      </c>
      <c r="R263" s="198">
        <f t="shared" si="22"/>
        <v>0</v>
      </c>
      <c r="S263" s="198">
        <f t="shared" si="22"/>
        <v>0</v>
      </c>
      <c r="T263" s="198">
        <f t="shared" si="22"/>
        <v>0</v>
      </c>
      <c r="U263" s="198">
        <f t="shared" si="22"/>
        <v>0</v>
      </c>
      <c r="V263" s="198">
        <f t="shared" si="22"/>
        <v>1151985.7500000002</v>
      </c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</sheetData>
  <mergeCells count="606">
    <mergeCell ref="A139:A141"/>
    <mergeCell ref="B139:B141"/>
    <mergeCell ref="C139:C141"/>
    <mergeCell ref="D139:D141"/>
    <mergeCell ref="E139:E141"/>
    <mergeCell ref="C186:C187"/>
    <mergeCell ref="D186:D187"/>
    <mergeCell ref="A184:A185"/>
    <mergeCell ref="B184:B185"/>
    <mergeCell ref="C184:C185"/>
    <mergeCell ref="D184:D185"/>
    <mergeCell ref="E184:E185"/>
    <mergeCell ref="B186:B187"/>
    <mergeCell ref="E186:E187"/>
    <mergeCell ref="C124:C125"/>
    <mergeCell ref="D124:D125"/>
    <mergeCell ref="E124:E125"/>
    <mergeCell ref="A126:A127"/>
    <mergeCell ref="B126:B127"/>
    <mergeCell ref="C126:C127"/>
    <mergeCell ref="A128:A130"/>
    <mergeCell ref="B128:B130"/>
    <mergeCell ref="C128:C130"/>
    <mergeCell ref="D128:D130"/>
    <mergeCell ref="E128:E130"/>
    <mergeCell ref="B133:B134"/>
    <mergeCell ref="E133:E134"/>
    <mergeCell ref="D137:D138"/>
    <mergeCell ref="E137:E138"/>
    <mergeCell ref="A133:A134"/>
    <mergeCell ref="A135:A136"/>
    <mergeCell ref="B135:B136"/>
    <mergeCell ref="C135:C136"/>
    <mergeCell ref="D135:D136"/>
    <mergeCell ref="E135:E136"/>
    <mergeCell ref="A137:A138"/>
    <mergeCell ref="C133:C134"/>
    <mergeCell ref="D133:D134"/>
    <mergeCell ref="B137:B138"/>
    <mergeCell ref="C137:C138"/>
    <mergeCell ref="A118:A119"/>
    <mergeCell ref="B118:B119"/>
    <mergeCell ref="C118:C119"/>
    <mergeCell ref="D118:D119"/>
    <mergeCell ref="E118:E119"/>
    <mergeCell ref="A131:A132"/>
    <mergeCell ref="B131:B132"/>
    <mergeCell ref="C131:C132"/>
    <mergeCell ref="D131:D132"/>
    <mergeCell ref="E131:E132"/>
    <mergeCell ref="C122:C123"/>
    <mergeCell ref="D122:D123"/>
    <mergeCell ref="A120:A121"/>
    <mergeCell ref="B120:B121"/>
    <mergeCell ref="C120:C121"/>
    <mergeCell ref="D120:D121"/>
    <mergeCell ref="E120:E121"/>
    <mergeCell ref="B122:B123"/>
    <mergeCell ref="E122:E123"/>
    <mergeCell ref="D126:D127"/>
    <mergeCell ref="E126:E127"/>
    <mergeCell ref="A122:A123"/>
    <mergeCell ref="A124:A125"/>
    <mergeCell ref="B124:B125"/>
    <mergeCell ref="A107:A109"/>
    <mergeCell ref="B107:B109"/>
    <mergeCell ref="C107:C109"/>
    <mergeCell ref="D107:D109"/>
    <mergeCell ref="E107:E109"/>
    <mergeCell ref="C112:C113"/>
    <mergeCell ref="D112:D113"/>
    <mergeCell ref="B116:B117"/>
    <mergeCell ref="C116:C117"/>
    <mergeCell ref="C114:C115"/>
    <mergeCell ref="D114:D115"/>
    <mergeCell ref="E114:E115"/>
    <mergeCell ref="A116:A117"/>
    <mergeCell ref="C101:C102"/>
    <mergeCell ref="D101:D102"/>
    <mergeCell ref="A99:A100"/>
    <mergeCell ref="B99:B100"/>
    <mergeCell ref="C99:C100"/>
    <mergeCell ref="D99:D100"/>
    <mergeCell ref="E99:E100"/>
    <mergeCell ref="B101:B102"/>
    <mergeCell ref="E101:E102"/>
    <mergeCell ref="D105:D106"/>
    <mergeCell ref="E105:E106"/>
    <mergeCell ref="A101:A102"/>
    <mergeCell ref="A103:A104"/>
    <mergeCell ref="B103:B104"/>
    <mergeCell ref="C103:C104"/>
    <mergeCell ref="D103:D104"/>
    <mergeCell ref="E103:E104"/>
    <mergeCell ref="A105:A106"/>
    <mergeCell ref="B105:B106"/>
    <mergeCell ref="C105:C106"/>
    <mergeCell ref="A85:A86"/>
    <mergeCell ref="B85:B86"/>
    <mergeCell ref="C85:C86"/>
    <mergeCell ref="D85:D86"/>
    <mergeCell ref="E85:E86"/>
    <mergeCell ref="A87:A88"/>
    <mergeCell ref="B95:B96"/>
    <mergeCell ref="C95:C96"/>
    <mergeCell ref="A97:A98"/>
    <mergeCell ref="B97:B98"/>
    <mergeCell ref="C97:C98"/>
    <mergeCell ref="D97:D98"/>
    <mergeCell ref="E97:E98"/>
    <mergeCell ref="D79:D80"/>
    <mergeCell ref="E79:E80"/>
    <mergeCell ref="D81:D82"/>
    <mergeCell ref="E81:E82"/>
    <mergeCell ref="D83:D84"/>
    <mergeCell ref="E83:E84"/>
    <mergeCell ref="A75:A76"/>
    <mergeCell ref="A77:A78"/>
    <mergeCell ref="B77:B78"/>
    <mergeCell ref="C77:C78"/>
    <mergeCell ref="D77:D78"/>
    <mergeCell ref="E77:E78"/>
    <mergeCell ref="A79:A80"/>
    <mergeCell ref="B79:B80"/>
    <mergeCell ref="C79:C80"/>
    <mergeCell ref="A81:A82"/>
    <mergeCell ref="B81:B82"/>
    <mergeCell ref="C81:C82"/>
    <mergeCell ref="B83:B84"/>
    <mergeCell ref="C83:C84"/>
    <mergeCell ref="A83:A84"/>
    <mergeCell ref="C75:C76"/>
    <mergeCell ref="D75:D76"/>
    <mergeCell ref="A73:A74"/>
    <mergeCell ref="B73:B74"/>
    <mergeCell ref="C73:C74"/>
    <mergeCell ref="D73:D74"/>
    <mergeCell ref="E73:E74"/>
    <mergeCell ref="B75:B76"/>
    <mergeCell ref="E75:E76"/>
    <mergeCell ref="D248:D249"/>
    <mergeCell ref="E248:E249"/>
    <mergeCell ref="A250:A251"/>
    <mergeCell ref="D95:D96"/>
    <mergeCell ref="E95:E96"/>
    <mergeCell ref="A91:A92"/>
    <mergeCell ref="A93:A94"/>
    <mergeCell ref="B93:B94"/>
    <mergeCell ref="C93:C94"/>
    <mergeCell ref="D93:D94"/>
    <mergeCell ref="E93:E94"/>
    <mergeCell ref="A95:A96"/>
    <mergeCell ref="A110:A111"/>
    <mergeCell ref="B110:B111"/>
    <mergeCell ref="C110:C111"/>
    <mergeCell ref="D110:D111"/>
    <mergeCell ref="E110:E111"/>
    <mergeCell ref="B112:B113"/>
    <mergeCell ref="E112:E113"/>
    <mergeCell ref="D116:D117"/>
    <mergeCell ref="E116:E117"/>
    <mergeCell ref="A112:A113"/>
    <mergeCell ref="A114:A115"/>
    <mergeCell ref="B114:B115"/>
    <mergeCell ref="B250:B251"/>
    <mergeCell ref="C250:C251"/>
    <mergeCell ref="A252:A253"/>
    <mergeCell ref="B252:B253"/>
    <mergeCell ref="C252:C253"/>
    <mergeCell ref="A246:A247"/>
    <mergeCell ref="A248:A249"/>
    <mergeCell ref="B248:B249"/>
    <mergeCell ref="C248:C249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34:A235"/>
    <mergeCell ref="B234:B235"/>
    <mergeCell ref="C234:C235"/>
    <mergeCell ref="D234:D235"/>
    <mergeCell ref="E234:E235"/>
    <mergeCell ref="U258:U259"/>
    <mergeCell ref="V258:V259"/>
    <mergeCell ref="D250:D251"/>
    <mergeCell ref="E250:E251"/>
    <mergeCell ref="D252:D253"/>
    <mergeCell ref="E252:E253"/>
    <mergeCell ref="F258:F259"/>
    <mergeCell ref="G258:N258"/>
    <mergeCell ref="O258:T258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42:D243"/>
    <mergeCell ref="D224:D225"/>
    <mergeCell ref="E224:E225"/>
    <mergeCell ref="D226:D227"/>
    <mergeCell ref="E226:E227"/>
    <mergeCell ref="D228:D229"/>
    <mergeCell ref="E228:E229"/>
    <mergeCell ref="A220:A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A226:A227"/>
    <mergeCell ref="B226:B227"/>
    <mergeCell ref="C226:C227"/>
    <mergeCell ref="B228:B229"/>
    <mergeCell ref="C228:C229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08:D209"/>
    <mergeCell ref="E208:E209"/>
    <mergeCell ref="D210:D211"/>
    <mergeCell ref="E210:E211"/>
    <mergeCell ref="D212:D213"/>
    <mergeCell ref="E212:E213"/>
    <mergeCell ref="A204:A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A210:A211"/>
    <mergeCell ref="B210:B211"/>
    <mergeCell ref="C210:C211"/>
    <mergeCell ref="B212:B213"/>
    <mergeCell ref="C212:C213"/>
    <mergeCell ref="C204:C205"/>
    <mergeCell ref="D204:D205"/>
    <mergeCell ref="A202:A203"/>
    <mergeCell ref="B202:B203"/>
    <mergeCell ref="C202:C203"/>
    <mergeCell ref="D202:D203"/>
    <mergeCell ref="E202:E203"/>
    <mergeCell ref="B204:B205"/>
    <mergeCell ref="E204:E205"/>
    <mergeCell ref="A196:A197"/>
    <mergeCell ref="B196:B197"/>
    <mergeCell ref="C196:C197"/>
    <mergeCell ref="D196:D197"/>
    <mergeCell ref="E196:E197"/>
    <mergeCell ref="C200:C201"/>
    <mergeCell ref="D200:D201"/>
    <mergeCell ref="A198:A199"/>
    <mergeCell ref="B198:B199"/>
    <mergeCell ref="C198:C199"/>
    <mergeCell ref="D198:D199"/>
    <mergeCell ref="E198:E199"/>
    <mergeCell ref="A200:A201"/>
    <mergeCell ref="B200:B201"/>
    <mergeCell ref="D175:D176"/>
    <mergeCell ref="E175:E176"/>
    <mergeCell ref="A167:A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A173:A174"/>
    <mergeCell ref="B173:B174"/>
    <mergeCell ref="C173:C174"/>
    <mergeCell ref="B175:B176"/>
    <mergeCell ref="C175:C176"/>
    <mergeCell ref="B188:B189"/>
    <mergeCell ref="C188:C189"/>
    <mergeCell ref="D188:D189"/>
    <mergeCell ref="E188:E189"/>
    <mergeCell ref="B190:B191"/>
    <mergeCell ref="D190:D191"/>
    <mergeCell ref="D194:D195"/>
    <mergeCell ref="E194:E195"/>
    <mergeCell ref="A188:A189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A179:A180"/>
    <mergeCell ref="B179:B180"/>
    <mergeCell ref="C179:C180"/>
    <mergeCell ref="A181:A183"/>
    <mergeCell ref="B181:B183"/>
    <mergeCell ref="C181:C183"/>
    <mergeCell ref="D181:D183"/>
    <mergeCell ref="E181:E183"/>
    <mergeCell ref="A186:A187"/>
    <mergeCell ref="D179:D180"/>
    <mergeCell ref="E179:E180"/>
    <mergeCell ref="A163:A164"/>
    <mergeCell ref="B163:B164"/>
    <mergeCell ref="C163:C164"/>
    <mergeCell ref="D163:D164"/>
    <mergeCell ref="E163:E164"/>
    <mergeCell ref="A175:A176"/>
    <mergeCell ref="A177:A178"/>
    <mergeCell ref="B177:B178"/>
    <mergeCell ref="C177:C178"/>
    <mergeCell ref="D177:D178"/>
    <mergeCell ref="E177:E178"/>
    <mergeCell ref="C167:C168"/>
    <mergeCell ref="D167:D168"/>
    <mergeCell ref="A165:A166"/>
    <mergeCell ref="B165:B166"/>
    <mergeCell ref="C165:C166"/>
    <mergeCell ref="D165:D166"/>
    <mergeCell ref="E165:E166"/>
    <mergeCell ref="B167:B168"/>
    <mergeCell ref="E167:E168"/>
    <mergeCell ref="D171:D172"/>
    <mergeCell ref="E171:E172"/>
    <mergeCell ref="D173:D174"/>
    <mergeCell ref="E173:E174"/>
    <mergeCell ref="A153:A154"/>
    <mergeCell ref="B153:B154"/>
    <mergeCell ref="C153:C154"/>
    <mergeCell ref="D153:D154"/>
    <mergeCell ref="E153:E154"/>
    <mergeCell ref="A144:A146"/>
    <mergeCell ref="A147:A148"/>
    <mergeCell ref="B147:B148"/>
    <mergeCell ref="A149:A150"/>
    <mergeCell ref="B149:B150"/>
    <mergeCell ref="A151:A152"/>
    <mergeCell ref="B151:B152"/>
    <mergeCell ref="A142:A143"/>
    <mergeCell ref="B142:B143"/>
    <mergeCell ref="C142:C143"/>
    <mergeCell ref="D142:D143"/>
    <mergeCell ref="E142:E143"/>
    <mergeCell ref="B144:B146"/>
    <mergeCell ref="E144:E146"/>
    <mergeCell ref="C149:C150"/>
    <mergeCell ref="C151:C152"/>
    <mergeCell ref="D151:D152"/>
    <mergeCell ref="E151:E152"/>
    <mergeCell ref="C144:C146"/>
    <mergeCell ref="D144:D146"/>
    <mergeCell ref="C147:C148"/>
    <mergeCell ref="D147:D148"/>
    <mergeCell ref="E147:E148"/>
    <mergeCell ref="D149:D150"/>
    <mergeCell ref="E149:E150"/>
    <mergeCell ref="A155:A156"/>
    <mergeCell ref="B155:B156"/>
    <mergeCell ref="C155:C156"/>
    <mergeCell ref="D155:D156"/>
    <mergeCell ref="E155:E156"/>
    <mergeCell ref="B157:B158"/>
    <mergeCell ref="E157:E158"/>
    <mergeCell ref="D161:D162"/>
    <mergeCell ref="E161:E162"/>
    <mergeCell ref="A157:A158"/>
    <mergeCell ref="A159:A160"/>
    <mergeCell ref="B159:B160"/>
    <mergeCell ref="C159:C160"/>
    <mergeCell ref="D159:D160"/>
    <mergeCell ref="E159:E160"/>
    <mergeCell ref="A161:A162"/>
    <mergeCell ref="C157:C158"/>
    <mergeCell ref="D157:D158"/>
    <mergeCell ref="B161:B162"/>
    <mergeCell ref="C161:C162"/>
    <mergeCell ref="D87:D88"/>
    <mergeCell ref="E87:E88"/>
    <mergeCell ref="D89:D90"/>
    <mergeCell ref="E89:E90"/>
    <mergeCell ref="D91:D92"/>
    <mergeCell ref="E91:E92"/>
    <mergeCell ref="B87:B88"/>
    <mergeCell ref="C87:C88"/>
    <mergeCell ref="A89:A90"/>
    <mergeCell ref="B89:B90"/>
    <mergeCell ref="C89:C90"/>
    <mergeCell ref="B91:B92"/>
    <mergeCell ref="C91:C92"/>
    <mergeCell ref="D59:D60"/>
    <mergeCell ref="E59:E60"/>
    <mergeCell ref="A61:A62"/>
    <mergeCell ref="B69:B70"/>
    <mergeCell ref="C69:C70"/>
    <mergeCell ref="A71:A72"/>
    <mergeCell ref="B71:B72"/>
    <mergeCell ref="C71:C72"/>
    <mergeCell ref="D71:D72"/>
    <mergeCell ref="E71:E72"/>
    <mergeCell ref="A55:A56"/>
    <mergeCell ref="B55:B56"/>
    <mergeCell ref="C55:C56"/>
    <mergeCell ref="B57:B58"/>
    <mergeCell ref="C57:C58"/>
    <mergeCell ref="A57:A58"/>
    <mergeCell ref="A59:A60"/>
    <mergeCell ref="B59:B60"/>
    <mergeCell ref="C59:C60"/>
    <mergeCell ref="A49:A50"/>
    <mergeCell ref="A51:A52"/>
    <mergeCell ref="B51:B52"/>
    <mergeCell ref="C51:C52"/>
    <mergeCell ref="D51:D52"/>
    <mergeCell ref="E51:E52"/>
    <mergeCell ref="A53:A54"/>
    <mergeCell ref="B53:B54"/>
    <mergeCell ref="C53:C54"/>
    <mergeCell ref="D69:D70"/>
    <mergeCell ref="E69:E70"/>
    <mergeCell ref="A65:A66"/>
    <mergeCell ref="A67:A68"/>
    <mergeCell ref="B67:B68"/>
    <mergeCell ref="C67:C68"/>
    <mergeCell ref="D67:D68"/>
    <mergeCell ref="E67:E68"/>
    <mergeCell ref="A69:A70"/>
    <mergeCell ref="D65:D66"/>
    <mergeCell ref="E65:E66"/>
    <mergeCell ref="B61:B62"/>
    <mergeCell ref="C61:C62"/>
    <mergeCell ref="A63:A64"/>
    <mergeCell ref="B63:B64"/>
    <mergeCell ref="C63:C64"/>
    <mergeCell ref="B65:B66"/>
    <mergeCell ref="C65:C66"/>
    <mergeCell ref="A45:A46"/>
    <mergeCell ref="B45:B46"/>
    <mergeCell ref="C45:C46"/>
    <mergeCell ref="D45:D46"/>
    <mergeCell ref="E45:E46"/>
    <mergeCell ref="D61:D62"/>
    <mergeCell ref="E61:E62"/>
    <mergeCell ref="D63:D64"/>
    <mergeCell ref="E63:E64"/>
    <mergeCell ref="C49:C50"/>
    <mergeCell ref="D49:D50"/>
    <mergeCell ref="A47:A48"/>
    <mergeCell ref="B47:B48"/>
    <mergeCell ref="C47:C48"/>
    <mergeCell ref="D47:D48"/>
    <mergeCell ref="E47:E48"/>
    <mergeCell ref="B49:B50"/>
    <mergeCell ref="E49:E50"/>
    <mergeCell ref="D53:D54"/>
    <mergeCell ref="E53:E54"/>
    <mergeCell ref="D55:D56"/>
    <mergeCell ref="E55:E56"/>
    <mergeCell ref="D57:D58"/>
    <mergeCell ref="E57:E58"/>
    <mergeCell ref="D35:D36"/>
    <mergeCell ref="E35:E36"/>
    <mergeCell ref="D37:D38"/>
    <mergeCell ref="E37:E38"/>
    <mergeCell ref="D39:D40"/>
    <mergeCell ref="E39:E40"/>
    <mergeCell ref="A31:A32"/>
    <mergeCell ref="A33:A34"/>
    <mergeCell ref="B33:B34"/>
    <mergeCell ref="C33:C34"/>
    <mergeCell ref="D33:D34"/>
    <mergeCell ref="E33:E34"/>
    <mergeCell ref="A35:A36"/>
    <mergeCell ref="B35:B36"/>
    <mergeCell ref="C35:C36"/>
    <mergeCell ref="A37:A38"/>
    <mergeCell ref="B37:B38"/>
    <mergeCell ref="C37:C38"/>
    <mergeCell ref="B39:B40"/>
    <mergeCell ref="C39:C40"/>
    <mergeCell ref="D27:D28"/>
    <mergeCell ref="E27:E28"/>
    <mergeCell ref="D29:D30"/>
    <mergeCell ref="E29:E30"/>
    <mergeCell ref="D31:D32"/>
    <mergeCell ref="E31:E32"/>
    <mergeCell ref="A23:A24"/>
    <mergeCell ref="A25:A26"/>
    <mergeCell ref="B25:B26"/>
    <mergeCell ref="C25:C26"/>
    <mergeCell ref="D25:D26"/>
    <mergeCell ref="E25:E26"/>
    <mergeCell ref="A27:A28"/>
    <mergeCell ref="B27:B28"/>
    <mergeCell ref="C27:C28"/>
    <mergeCell ref="A29:A30"/>
    <mergeCell ref="B29:B30"/>
    <mergeCell ref="C29:C30"/>
    <mergeCell ref="B31:B32"/>
    <mergeCell ref="C31:C32"/>
    <mergeCell ref="D43:D44"/>
    <mergeCell ref="E43:E44"/>
    <mergeCell ref="A39:A40"/>
    <mergeCell ref="A41:A42"/>
    <mergeCell ref="B41:B42"/>
    <mergeCell ref="C41:C42"/>
    <mergeCell ref="D41:D42"/>
    <mergeCell ref="E41:E42"/>
    <mergeCell ref="A43:A44"/>
    <mergeCell ref="B43:B44"/>
    <mergeCell ref="C43:C44"/>
    <mergeCell ref="D19:D20"/>
    <mergeCell ref="E19:E20"/>
    <mergeCell ref="D21:D22"/>
    <mergeCell ref="E21:E22"/>
    <mergeCell ref="D23:D24"/>
    <mergeCell ref="E23:E24"/>
    <mergeCell ref="A15:A16"/>
    <mergeCell ref="A17:A18"/>
    <mergeCell ref="B17:B18"/>
    <mergeCell ref="C17:C18"/>
    <mergeCell ref="D17:D18"/>
    <mergeCell ref="E17:E18"/>
    <mergeCell ref="A19:A20"/>
    <mergeCell ref="B19:B20"/>
    <mergeCell ref="C19:C20"/>
    <mergeCell ref="A21:A22"/>
    <mergeCell ref="B21:B22"/>
    <mergeCell ref="C21:C22"/>
    <mergeCell ref="B23:B24"/>
    <mergeCell ref="C23:C24"/>
    <mergeCell ref="A11:A12"/>
    <mergeCell ref="B11:B12"/>
    <mergeCell ref="C11:C12"/>
    <mergeCell ref="D11:D12"/>
    <mergeCell ref="E11:E12"/>
    <mergeCell ref="C15:C16"/>
    <mergeCell ref="D15:D16"/>
    <mergeCell ref="A13:A14"/>
    <mergeCell ref="B13:B14"/>
    <mergeCell ref="C13:C14"/>
    <mergeCell ref="D13:D14"/>
    <mergeCell ref="E13:E14"/>
    <mergeCell ref="B15:B16"/>
    <mergeCell ref="E15:E16"/>
    <mergeCell ref="A2:U2"/>
    <mergeCell ref="A3:U3"/>
    <mergeCell ref="A4:U4"/>
    <mergeCell ref="H6:O6"/>
    <mergeCell ref="P6:U6"/>
    <mergeCell ref="A9:A10"/>
    <mergeCell ref="B9:B10"/>
    <mergeCell ref="E9:E10"/>
    <mergeCell ref="C9:C10"/>
    <mergeCell ref="D9:D10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6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7</v>
      </c>
      <c r="Q9" s="30">
        <v>18177.259999999998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35" t="s">
        <v>25</v>
      </c>
      <c r="H10" s="66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223" t="s">
        <v>250</v>
      </c>
      <c r="G11" s="47" t="s">
        <v>24</v>
      </c>
      <c r="H11" s="48">
        <v>4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7"/>
      <c r="S11" s="26">
        <f t="shared" si="1"/>
        <v>34359</v>
      </c>
      <c r="T11" s="26"/>
      <c r="U11" s="241">
        <v>34359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5</v>
      </c>
      <c r="I13" s="62">
        <v>3</v>
      </c>
      <c r="J13" s="62">
        <v>5</v>
      </c>
      <c r="K13" s="30">
        <v>10039.42</v>
      </c>
      <c r="L13" s="27"/>
      <c r="M13" s="26">
        <f t="shared" si="0"/>
        <v>0</v>
      </c>
      <c r="N13" s="26"/>
      <c r="O13" s="63"/>
      <c r="P13" s="64">
        <v>13</v>
      </c>
      <c r="Q13" s="65">
        <v>52910.82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39"/>
      <c r="U14" s="222">
        <v>15752.2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6"/>
      <c r="B15" s="377" t="s">
        <v>31</v>
      </c>
      <c r="C15" s="377" t="s">
        <v>22</v>
      </c>
      <c r="D15" s="377" t="s">
        <v>32</v>
      </c>
      <c r="E15" s="377" t="s">
        <v>27</v>
      </c>
      <c r="F15" s="72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21" t="s">
        <v>213</v>
      </c>
      <c r="G16" s="101" t="s">
        <v>28</v>
      </c>
      <c r="H16" s="112">
        <v>2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4</v>
      </c>
      <c r="Q16" s="114">
        <v>5186.7</v>
      </c>
      <c r="R16" s="44"/>
      <c r="S16" s="43">
        <f t="shared" si="1"/>
        <v>7027.7</v>
      </c>
      <c r="T16" s="43"/>
      <c r="U16" s="222">
        <f>5106.7+1921</f>
        <v>7027.7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48">
        <v>5</v>
      </c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19392.3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39</v>
      </c>
      <c r="D21" s="381" t="s">
        <v>277</v>
      </c>
      <c r="E21" s="381" t="s">
        <v>37</v>
      </c>
      <c r="F21" s="223" t="s">
        <v>278</v>
      </c>
      <c r="G21" s="47" t="s">
        <v>24</v>
      </c>
      <c r="H21" s="48">
        <v>3</v>
      </c>
      <c r="I21" s="203">
        <v>1</v>
      </c>
      <c r="J21" s="203">
        <v>1</v>
      </c>
      <c r="K21" s="65">
        <v>633.92999999999995</v>
      </c>
      <c r="L21" s="51"/>
      <c r="M21" s="50">
        <f t="shared" si="0"/>
        <v>0</v>
      </c>
      <c r="N21" s="50"/>
      <c r="O21" s="31"/>
      <c r="P21" s="108">
        <v>5</v>
      </c>
      <c r="Q21" s="65">
        <v>7296.52</v>
      </c>
      <c r="R21" s="51"/>
      <c r="S21" s="50">
        <f t="shared" si="1"/>
        <v>1045.98</v>
      </c>
      <c r="T21" s="50"/>
      <c r="U21" s="225">
        <v>1045.98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223" t="s">
        <v>255</v>
      </c>
      <c r="G23" s="23" t="s">
        <v>24</v>
      </c>
      <c r="H23" s="48">
        <v>2</v>
      </c>
      <c r="I23" s="203">
        <v>1</v>
      </c>
      <c r="J23" s="203">
        <v>1</v>
      </c>
      <c r="K23" s="65">
        <v>760.72</v>
      </c>
      <c r="L23" s="51"/>
      <c r="M23" s="50">
        <f t="shared" si="0"/>
        <v>0</v>
      </c>
      <c r="N23" s="50"/>
      <c r="O23" s="31"/>
      <c r="P23" s="53">
        <v>13</v>
      </c>
      <c r="Q23" s="30">
        <v>20422.8</v>
      </c>
      <c r="R23" s="27"/>
      <c r="S23" s="26">
        <f t="shared" si="1"/>
        <v>3564.82</v>
      </c>
      <c r="T23" s="26"/>
      <c r="U23" s="243">
        <v>3564.82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4</v>
      </c>
      <c r="I25" s="62">
        <v>3</v>
      </c>
      <c r="J25" s="62">
        <v>3</v>
      </c>
      <c r="K25" s="62">
        <v>2554.9299999999998</v>
      </c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1979.72</v>
      </c>
      <c r="T25" s="26"/>
      <c r="U25" s="225">
        <v>1979.72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1</v>
      </c>
      <c r="Q26" s="68">
        <v>1921</v>
      </c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6"/>
      <c r="B27" s="377" t="s">
        <v>44</v>
      </c>
      <c r="C27" s="377" t="s">
        <v>39</v>
      </c>
      <c r="D27" s="377" t="s">
        <v>258</v>
      </c>
      <c r="E27" s="377" t="s">
        <v>27</v>
      </c>
      <c r="F27" s="232" t="s">
        <v>259</v>
      </c>
      <c r="G27" s="95" t="s">
        <v>24</v>
      </c>
      <c r="H27" s="48">
        <v>7</v>
      </c>
      <c r="I27" s="203">
        <v>5</v>
      </c>
      <c r="J27" s="203">
        <v>7</v>
      </c>
      <c r="K27" s="65">
        <v>10840.12</v>
      </c>
      <c r="L27" s="51"/>
      <c r="M27" s="50">
        <f t="shared" si="0"/>
        <v>0</v>
      </c>
      <c r="N27" s="50"/>
      <c r="O27" s="31"/>
      <c r="P27" s="53">
        <v>11</v>
      </c>
      <c r="Q27" s="30">
        <v>15426.2</v>
      </c>
      <c r="R27" s="205">
        <v>4</v>
      </c>
      <c r="S27" s="26">
        <f t="shared" si="1"/>
        <v>6437.97</v>
      </c>
      <c r="T27" s="30">
        <v>6437.97</v>
      </c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221" t="s">
        <v>216</v>
      </c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115">
        <v>2</v>
      </c>
      <c r="Q28" s="68">
        <v>4494.1000000000004</v>
      </c>
      <c r="R28" s="40"/>
      <c r="S28" s="39">
        <f t="shared" si="1"/>
        <v>4302</v>
      </c>
      <c r="T28" s="39"/>
      <c r="U28" s="41">
        <f>4302</f>
        <v>4302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1" t="s">
        <v>217</v>
      </c>
      <c r="G30" s="55" t="s">
        <v>28</v>
      </c>
      <c r="H30" s="56">
        <v>4</v>
      </c>
      <c r="I30" s="130">
        <v>1</v>
      </c>
      <c r="J30" s="130">
        <v>1</v>
      </c>
      <c r="K30" s="114">
        <v>1921</v>
      </c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14247.380000000001</v>
      </c>
      <c r="T30" s="43"/>
      <c r="U30" s="222">
        <f>6563.38+7684</f>
        <v>14247.380000000001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3</v>
      </c>
      <c r="I33" s="203">
        <v>2</v>
      </c>
      <c r="J33" s="203">
        <v>2</v>
      </c>
      <c r="K33" s="65">
        <v>2091.96</v>
      </c>
      <c r="L33" s="51"/>
      <c r="M33" s="50">
        <f t="shared" si="0"/>
        <v>0</v>
      </c>
      <c r="N33" s="50"/>
      <c r="O33" s="31"/>
      <c r="P33" s="108">
        <v>8</v>
      </c>
      <c r="Q33" s="65">
        <v>22873.08</v>
      </c>
      <c r="R33" s="51"/>
      <c r="S33" s="50">
        <f t="shared" si="1"/>
        <v>19258.7</v>
      </c>
      <c r="T33" s="50"/>
      <c r="U33" s="225">
        <v>19258.7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1</v>
      </c>
      <c r="J34" s="130">
        <v>1</v>
      </c>
      <c r="K34" s="114">
        <v>2497.3000000000002</v>
      </c>
      <c r="L34" s="44"/>
      <c r="M34" s="43">
        <f t="shared" si="0"/>
        <v>0</v>
      </c>
      <c r="N34" s="43"/>
      <c r="O34" s="45"/>
      <c r="P34" s="113">
        <v>2</v>
      </c>
      <c r="Q34" s="114">
        <v>2593.35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</v>
      </c>
      <c r="I37" s="203">
        <v>1</v>
      </c>
      <c r="J37" s="203">
        <v>1</v>
      </c>
      <c r="K37" s="65">
        <v>768.4</v>
      </c>
      <c r="L37" s="51"/>
      <c r="M37" s="50">
        <f t="shared" si="0"/>
        <v>0</v>
      </c>
      <c r="N37" s="50"/>
      <c r="O37" s="31"/>
      <c r="P37" s="64">
        <v>4</v>
      </c>
      <c r="Q37" s="65">
        <v>15058.68</v>
      </c>
      <c r="R37" s="224">
        <v>1</v>
      </c>
      <c r="S37" s="50">
        <f t="shared" si="1"/>
        <v>3647.94</v>
      </c>
      <c r="T37" s="65">
        <v>1893.47</v>
      </c>
      <c r="U37" s="225">
        <v>1754.47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35" t="s">
        <v>28</v>
      </c>
      <c r="H38" s="66">
        <v>3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7">
        <v>2</v>
      </c>
      <c r="Q38" s="68">
        <v>9182.3799999999992</v>
      </c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281</v>
      </c>
      <c r="E41" s="381" t="s">
        <v>58</v>
      </c>
      <c r="F41" s="223" t="s">
        <v>283</v>
      </c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2055.75</v>
      </c>
      <c r="T41" s="26"/>
      <c r="U41" s="243">
        <v>2055.75</v>
      </c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5</v>
      </c>
      <c r="I43" s="203">
        <v>2</v>
      </c>
      <c r="J43" s="203">
        <v>2</v>
      </c>
      <c r="K43" s="65">
        <v>1537</v>
      </c>
      <c r="L43" s="51"/>
      <c r="M43" s="50">
        <f t="shared" si="0"/>
        <v>0</v>
      </c>
      <c r="N43" s="50"/>
      <c r="O43" s="52"/>
      <c r="P43" s="53">
        <v>17</v>
      </c>
      <c r="Q43" s="30">
        <v>66697.78</v>
      </c>
      <c r="R43" s="27"/>
      <c r="S43" s="26">
        <f t="shared" si="1"/>
        <v>44991.43</v>
      </c>
      <c r="T43" s="26"/>
      <c r="U43" s="241">
        <v>44991.43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2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4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3</v>
      </c>
      <c r="Q48" s="68">
        <v>4105.8999999999996</v>
      </c>
      <c r="R48" s="40"/>
      <c r="S48" s="39">
        <f t="shared" si="1"/>
        <v>2209.1999999999998</v>
      </c>
      <c r="T48" s="39"/>
      <c r="U48" s="41">
        <f>2209.2</f>
        <v>2209.1999999999998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226"/>
      <c r="G50" s="227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2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6</v>
      </c>
      <c r="I53" s="62">
        <v>5</v>
      </c>
      <c r="J53" s="62">
        <v>5</v>
      </c>
      <c r="K53" s="30">
        <v>10100.629999999999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05">
        <v>1</v>
      </c>
      <c r="S53" s="26">
        <f t="shared" si="1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2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284</v>
      </c>
      <c r="E55" s="381" t="s">
        <v>55</v>
      </c>
      <c r="F55" s="223" t="s">
        <v>285</v>
      </c>
      <c r="G55" s="47" t="s">
        <v>24</v>
      </c>
      <c r="H55" s="48">
        <v>6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1"/>
        <v>26448.86</v>
      </c>
      <c r="T55" s="26"/>
      <c r="U55" s="243">
        <v>26448.86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2</v>
      </c>
      <c r="I57" s="203">
        <v>1</v>
      </c>
      <c r="J57" s="203">
        <v>1</v>
      </c>
      <c r="K57" s="65">
        <v>768.4</v>
      </c>
      <c r="L57" s="51"/>
      <c r="M57" s="50">
        <f t="shared" si="0"/>
        <v>0</v>
      </c>
      <c r="N57" s="50"/>
      <c r="O57" s="31"/>
      <c r="P57" s="108">
        <v>3</v>
      </c>
      <c r="Q57" s="65">
        <v>3362.45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233" t="s">
        <v>223</v>
      </c>
      <c r="G58" s="227" t="s">
        <v>28</v>
      </c>
      <c r="H58" s="112">
        <v>2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 t="s">
        <v>22</v>
      </c>
      <c r="D59" s="374"/>
      <c r="E59" s="374" t="s">
        <v>27</v>
      </c>
      <c r="F59" s="204" t="s">
        <v>209</v>
      </c>
      <c r="G59" s="176" t="s">
        <v>24</v>
      </c>
      <c r="H59" s="61">
        <v>2</v>
      </c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13580.02</v>
      </c>
      <c r="T59" s="30">
        <v>9062.41</v>
      </c>
      <c r="U59" s="241">
        <v>4517.6099999999997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74</v>
      </c>
      <c r="C61" s="377" t="s">
        <v>39</v>
      </c>
      <c r="D61" s="377" t="s">
        <v>264</v>
      </c>
      <c r="E61" s="377" t="s">
        <v>27</v>
      </c>
      <c r="F61" s="223" t="s">
        <v>265</v>
      </c>
      <c r="G61" s="95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12</v>
      </c>
      <c r="Q61" s="65">
        <v>44651.57</v>
      </c>
      <c r="R61" s="224">
        <v>5</v>
      </c>
      <c r="S61" s="50">
        <f t="shared" si="1"/>
        <v>19918.689999999999</v>
      </c>
      <c r="T61" s="65">
        <v>19918.689999999999</v>
      </c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221" t="s">
        <v>286</v>
      </c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2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4</v>
      </c>
      <c r="Q63" s="30">
        <v>2984.28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220" t="s">
        <v>287</v>
      </c>
      <c r="G64" s="35" t="s">
        <v>28</v>
      </c>
      <c r="H64" s="117">
        <v>3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203">
        <v>1</v>
      </c>
      <c r="J65" s="203">
        <v>1</v>
      </c>
      <c r="K65" s="65">
        <v>633.92999999999995</v>
      </c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61">
        <v>2</v>
      </c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17">
        <v>1</v>
      </c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48">
        <v>5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4</v>
      </c>
      <c r="Q69" s="65">
        <v>16789.810000000001</v>
      </c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226"/>
      <c r="G70" s="227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 t="s">
        <v>39</v>
      </c>
      <c r="D71" s="374" t="s">
        <v>224</v>
      </c>
      <c r="E71" s="374" t="s">
        <v>65</v>
      </c>
      <c r="F71" s="204" t="s">
        <v>225</v>
      </c>
      <c r="G71" s="176" t="s">
        <v>24</v>
      </c>
      <c r="H71" s="248">
        <v>12</v>
      </c>
      <c r="I71" s="62">
        <v>9</v>
      </c>
      <c r="J71" s="62">
        <v>12</v>
      </c>
      <c r="K71" s="30">
        <v>28236.43</v>
      </c>
      <c r="L71" s="27"/>
      <c r="M71" s="26">
        <f t="shared" si="0"/>
        <v>0</v>
      </c>
      <c r="N71" s="26"/>
      <c r="O71" s="31"/>
      <c r="P71" s="29">
        <v>21</v>
      </c>
      <c r="Q71" s="30">
        <v>62849.760000000002</v>
      </c>
      <c r="R71" s="205">
        <v>5</v>
      </c>
      <c r="S71" s="26">
        <f t="shared" si="1"/>
        <v>10367.34</v>
      </c>
      <c r="T71" s="30">
        <v>10367.34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229" t="s">
        <v>28</v>
      </c>
      <c r="H72" s="249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6"/>
      <c r="B73" s="377" t="s">
        <v>82</v>
      </c>
      <c r="C73" s="377" t="s">
        <v>22</v>
      </c>
      <c r="D73" s="400"/>
      <c r="E73" s="377" t="s">
        <v>83</v>
      </c>
      <c r="F73" s="76"/>
      <c r="G73" s="95" t="s">
        <v>24</v>
      </c>
      <c r="H73" s="151">
        <v>5</v>
      </c>
      <c r="I73" s="203">
        <v>1</v>
      </c>
      <c r="J73" s="203">
        <v>1</v>
      </c>
      <c r="K73" s="65">
        <v>950.9</v>
      </c>
      <c r="L73" s="51"/>
      <c r="M73" s="50">
        <f t="shared" si="0"/>
        <v>0</v>
      </c>
      <c r="N73" s="50"/>
      <c r="O73" s="31"/>
      <c r="P73" s="108">
        <v>7</v>
      </c>
      <c r="Q73" s="65">
        <v>9577.4699999999993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1">
        <v>1</v>
      </c>
      <c r="I74" s="130">
        <v>1</v>
      </c>
      <c r="J74" s="130">
        <v>1</v>
      </c>
      <c r="K74" s="114">
        <v>1344.7</v>
      </c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39</v>
      </c>
      <c r="D79" s="374" t="s">
        <v>266</v>
      </c>
      <c r="E79" s="374" t="s">
        <v>23</v>
      </c>
      <c r="F79" s="204" t="s">
        <v>267</v>
      </c>
      <c r="G79" s="176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53">
        <v>3</v>
      </c>
      <c r="Q79" s="30">
        <v>7652.33</v>
      </c>
      <c r="R79" s="205">
        <v>2</v>
      </c>
      <c r="S79" s="26">
        <f t="shared" si="1"/>
        <v>5673.46</v>
      </c>
      <c r="T79" s="30">
        <v>5673.46</v>
      </c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05"/>
      <c r="G80" s="229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32" t="s">
        <v>268</v>
      </c>
      <c r="G81" s="23" t="s">
        <v>24</v>
      </c>
      <c r="H81" s="61">
        <v>6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5</v>
      </c>
      <c r="Q81" s="30">
        <v>14914.91</v>
      </c>
      <c r="R81" s="27"/>
      <c r="S81" s="26">
        <f t="shared" si="1"/>
        <v>5094.8</v>
      </c>
      <c r="T81" s="26"/>
      <c r="U81" s="225">
        <v>5094.8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20" t="s">
        <v>290</v>
      </c>
      <c r="G82" s="35" t="s">
        <v>25</v>
      </c>
      <c r="H82" s="117">
        <v>5</v>
      </c>
      <c r="I82" s="37">
        <v>1</v>
      </c>
      <c r="J82" s="37">
        <v>1</v>
      </c>
      <c r="K82" s="68">
        <v>1056.55</v>
      </c>
      <c r="L82" s="40"/>
      <c r="M82" s="39">
        <f t="shared" si="0"/>
        <v>0</v>
      </c>
      <c r="N82" s="39"/>
      <c r="O82" s="41"/>
      <c r="P82" s="115">
        <v>7</v>
      </c>
      <c r="Q82" s="68">
        <v>19517.36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90</v>
      </c>
      <c r="C83" s="374" t="s">
        <v>39</v>
      </c>
      <c r="D83" s="374" t="s">
        <v>91</v>
      </c>
      <c r="E83" s="374" t="s">
        <v>27</v>
      </c>
      <c r="F83" s="204" t="s">
        <v>291</v>
      </c>
      <c r="G83" s="176" t="s">
        <v>24</v>
      </c>
      <c r="H83" s="48">
        <v>2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3</v>
      </c>
      <c r="Q83" s="65">
        <v>32117.38</v>
      </c>
      <c r="R83" s="51"/>
      <c r="S83" s="50">
        <f t="shared" si="1"/>
        <v>4050.2</v>
      </c>
      <c r="T83" s="50"/>
      <c r="U83" s="225">
        <v>4050.2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20" t="s">
        <v>229</v>
      </c>
      <c r="G84" s="229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32" t="s">
        <v>269</v>
      </c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6</v>
      </c>
      <c r="Q85" s="30">
        <v>31199.119999999999</v>
      </c>
      <c r="R85" s="205">
        <v>2</v>
      </c>
      <c r="S85" s="26">
        <f t="shared" si="1"/>
        <v>3751.96</v>
      </c>
      <c r="T85" s="30">
        <v>3751.96</v>
      </c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233" t="s">
        <v>230</v>
      </c>
      <c r="G86" s="227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176" t="s">
        <v>24</v>
      </c>
      <c r="H87" s="151">
        <v>1</v>
      </c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05"/>
      <c r="G88" s="229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32" t="s">
        <v>292</v>
      </c>
      <c r="G89" s="23" t="s">
        <v>24</v>
      </c>
      <c r="H89" s="48">
        <v>4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14</v>
      </c>
      <c r="Q89" s="30">
        <v>30413.21</v>
      </c>
      <c r="R89" s="27"/>
      <c r="S89" s="26">
        <f t="shared" si="1"/>
        <v>9997.9500000000007</v>
      </c>
      <c r="T89" s="26"/>
      <c r="U89" s="225">
        <v>9997.9500000000007</v>
      </c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233" t="s">
        <v>293</v>
      </c>
      <c r="G90" s="250" t="s">
        <v>25</v>
      </c>
      <c r="H90" s="112">
        <v>3</v>
      </c>
      <c r="I90" s="130">
        <v>2</v>
      </c>
      <c r="J90" s="130">
        <v>2</v>
      </c>
      <c r="K90" s="114">
        <v>2305.1999999999998</v>
      </c>
      <c r="L90" s="44"/>
      <c r="M90" s="43">
        <f t="shared" si="0"/>
        <v>0</v>
      </c>
      <c r="N90" s="43"/>
      <c r="O90" s="41"/>
      <c r="P90" s="113">
        <v>3</v>
      </c>
      <c r="Q90" s="114">
        <v>7159.3</v>
      </c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60"/>
      <c r="G91" s="176" t="s">
        <v>24</v>
      </c>
      <c r="H91" s="248">
        <v>2</v>
      </c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220" t="s">
        <v>294</v>
      </c>
      <c r="G92" s="229" t="s">
        <v>28</v>
      </c>
      <c r="H92" s="251">
        <v>4</v>
      </c>
      <c r="I92" s="208">
        <v>1</v>
      </c>
      <c r="J92" s="208">
        <v>1</v>
      </c>
      <c r="K92" s="209">
        <v>1344.7</v>
      </c>
      <c r="L92" s="210"/>
      <c r="M92" s="211">
        <f t="shared" si="0"/>
        <v>1344.7</v>
      </c>
      <c r="N92" s="211"/>
      <c r="O92" s="212">
        <f>1344.7</f>
        <v>1344.7</v>
      </c>
      <c r="P92" s="103"/>
      <c r="Q92" s="43"/>
      <c r="R92" s="44"/>
      <c r="S92" s="43">
        <f t="shared" si="1"/>
        <v>2209.15</v>
      </c>
      <c r="T92" s="43"/>
      <c r="U92" s="234">
        <v>2209.15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6"/>
      <c r="B93" s="377" t="s">
        <v>98</v>
      </c>
      <c r="C93" s="377" t="s">
        <v>39</v>
      </c>
      <c r="D93" s="377" t="s">
        <v>270</v>
      </c>
      <c r="E93" s="377" t="s">
        <v>99</v>
      </c>
      <c r="F93" s="232" t="s">
        <v>271</v>
      </c>
      <c r="G93" s="73" t="s">
        <v>24</v>
      </c>
      <c r="H93" s="24">
        <v>5</v>
      </c>
      <c r="I93" s="62">
        <v>3</v>
      </c>
      <c r="J93" s="62">
        <v>3</v>
      </c>
      <c r="K93" s="30">
        <v>2852.69</v>
      </c>
      <c r="L93" s="27"/>
      <c r="M93" s="26">
        <f t="shared" si="0"/>
        <v>0</v>
      </c>
      <c r="N93" s="26"/>
      <c r="O93" s="100"/>
      <c r="P93" s="214">
        <v>9</v>
      </c>
      <c r="Q93" s="30">
        <v>44129.72</v>
      </c>
      <c r="R93" s="205">
        <v>2</v>
      </c>
      <c r="S93" s="26">
        <f t="shared" si="1"/>
        <v>1456.12</v>
      </c>
      <c r="T93" s="30">
        <v>1456.12</v>
      </c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295</v>
      </c>
      <c r="G94" s="215" t="s">
        <v>28</v>
      </c>
      <c r="H94" s="133">
        <v>3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1056.55</v>
      </c>
      <c r="T94" s="39"/>
      <c r="U94" s="41">
        <f>1056.55</f>
        <v>1056.55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74" t="s">
        <v>39</v>
      </c>
      <c r="D95" s="381" t="s">
        <v>296</v>
      </c>
      <c r="E95" s="381" t="s">
        <v>27</v>
      </c>
      <c r="F95" s="223" t="s">
        <v>297</v>
      </c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7049.72</v>
      </c>
      <c r="T95" s="50"/>
      <c r="U95" s="225">
        <v>7049.72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298</v>
      </c>
      <c r="G96" s="35" t="s">
        <v>28</v>
      </c>
      <c r="H96" s="133">
        <v>2</v>
      </c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223" t="s">
        <v>272</v>
      </c>
      <c r="G97" s="23" t="s">
        <v>24</v>
      </c>
      <c r="H97" s="48">
        <v>3</v>
      </c>
      <c r="I97" s="203">
        <v>1</v>
      </c>
      <c r="J97" s="203">
        <v>1</v>
      </c>
      <c r="K97" s="65">
        <v>966.08</v>
      </c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224">
        <v>2</v>
      </c>
      <c r="S97" s="50">
        <f t="shared" si="1"/>
        <v>2175.5100000000002</v>
      </c>
      <c r="T97" s="65">
        <v>2175.5100000000002</v>
      </c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21" t="s">
        <v>299</v>
      </c>
      <c r="G98" s="55" t="s">
        <v>28</v>
      </c>
      <c r="H98" s="153">
        <v>6</v>
      </c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2</v>
      </c>
      <c r="Q98" s="114">
        <v>8007.8</v>
      </c>
      <c r="R98" s="44"/>
      <c r="S98" s="43">
        <f t="shared" si="1"/>
        <v>4358.2</v>
      </c>
      <c r="T98" s="43"/>
      <c r="U98" s="41">
        <f>4358.2</f>
        <v>4358.2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48">
        <v>2</v>
      </c>
      <c r="I99" s="62">
        <v>1</v>
      </c>
      <c r="J99" s="62">
        <v>1</v>
      </c>
      <c r="K99" s="30">
        <v>1133.98</v>
      </c>
      <c r="L99" s="27"/>
      <c r="M99" s="26">
        <f t="shared" si="0"/>
        <v>0</v>
      </c>
      <c r="N99" s="26"/>
      <c r="O99" s="31"/>
      <c r="P99" s="53">
        <v>5</v>
      </c>
      <c r="Q99" s="30">
        <v>7208.15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20" t="s">
        <v>300</v>
      </c>
      <c r="G100" s="35" t="s">
        <v>28</v>
      </c>
      <c r="H100" s="133">
        <v>1</v>
      </c>
      <c r="I100" s="37">
        <v>1</v>
      </c>
      <c r="J100" s="37">
        <v>1</v>
      </c>
      <c r="K100" s="68">
        <v>1580.8</v>
      </c>
      <c r="L100" s="40"/>
      <c r="M100" s="39">
        <f t="shared" si="0"/>
        <v>0</v>
      </c>
      <c r="N100" s="39"/>
      <c r="O100" s="41"/>
      <c r="P100" s="115">
        <v>1</v>
      </c>
      <c r="Q100" s="68">
        <v>1377.7</v>
      </c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301</v>
      </c>
      <c r="E101" s="381" t="s">
        <v>27</v>
      </c>
      <c r="F101" s="223" t="s">
        <v>302</v>
      </c>
      <c r="G101" s="23" t="s">
        <v>24</v>
      </c>
      <c r="H101" s="48">
        <v>5</v>
      </c>
      <c r="I101" s="203">
        <v>1</v>
      </c>
      <c r="J101" s="203">
        <v>1</v>
      </c>
      <c r="K101" s="65">
        <v>576.29999999999995</v>
      </c>
      <c r="L101" s="51"/>
      <c r="M101" s="50">
        <f t="shared" si="0"/>
        <v>0</v>
      </c>
      <c r="N101" s="50"/>
      <c r="O101" s="31"/>
      <c r="P101" s="108">
        <v>11</v>
      </c>
      <c r="Q101" s="65">
        <v>34339.61</v>
      </c>
      <c r="R101" s="51"/>
      <c r="S101" s="50">
        <f t="shared" si="1"/>
        <v>6809.92</v>
      </c>
      <c r="T101" s="50"/>
      <c r="U101" s="225">
        <v>6809.92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48">
        <v>1</v>
      </c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20735.55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33" t="s">
        <v>233</v>
      </c>
      <c r="G104" s="227" t="s">
        <v>28</v>
      </c>
      <c r="H104" s="153">
        <v>1</v>
      </c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204" t="s">
        <v>273</v>
      </c>
      <c r="G105" s="176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4</v>
      </c>
      <c r="Q105" s="30">
        <v>14334.39</v>
      </c>
      <c r="R105" s="27"/>
      <c r="S105" s="26">
        <f t="shared" si="1"/>
        <v>13277.84</v>
      </c>
      <c r="T105" s="26"/>
      <c r="U105" s="225">
        <v>13277.84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235" t="s">
        <v>234</v>
      </c>
      <c r="G106" s="252" t="s">
        <v>28</v>
      </c>
      <c r="H106" s="48">
        <v>3</v>
      </c>
      <c r="I106" s="246">
        <v>1</v>
      </c>
      <c r="J106" s="246">
        <v>1</v>
      </c>
      <c r="K106" s="158">
        <v>576.29999999999995</v>
      </c>
      <c r="L106" s="143"/>
      <c r="M106" s="142">
        <f t="shared" si="0"/>
        <v>0</v>
      </c>
      <c r="N106" s="142"/>
      <c r="O106" s="45"/>
      <c r="P106" s="157">
        <v>3</v>
      </c>
      <c r="Q106" s="158">
        <v>6513.21</v>
      </c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253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6"/>
      <c r="B108" s="377" t="s">
        <v>110</v>
      </c>
      <c r="C108" s="377" t="s">
        <v>22</v>
      </c>
      <c r="D108" s="377"/>
      <c r="E108" s="377" t="s">
        <v>67</v>
      </c>
      <c r="F108" s="232" t="s">
        <v>274</v>
      </c>
      <c r="G108" s="23" t="s">
        <v>24</v>
      </c>
      <c r="H108" s="48">
        <v>1</v>
      </c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3034.34</v>
      </c>
      <c r="T108" s="50"/>
      <c r="U108" s="225">
        <v>3034.34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48">
        <v>2</v>
      </c>
      <c r="I110" s="25"/>
      <c r="J110" s="25"/>
      <c r="K110" s="26"/>
      <c r="L110" s="27"/>
      <c r="M110" s="26">
        <f t="shared" si="0"/>
        <v>0</v>
      </c>
      <c r="N110" s="26"/>
      <c r="O110" s="31"/>
      <c r="P110" s="53">
        <v>2</v>
      </c>
      <c r="Q110" s="30">
        <v>1306.28</v>
      </c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233" t="s">
        <v>235</v>
      </c>
      <c r="G111" s="227" t="s">
        <v>28</v>
      </c>
      <c r="H111" s="133">
        <v>1</v>
      </c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39</v>
      </c>
      <c r="D112" s="374" t="s">
        <v>114</v>
      </c>
      <c r="E112" s="374" t="s">
        <v>27</v>
      </c>
      <c r="F112" s="204" t="s">
        <v>305</v>
      </c>
      <c r="G112" s="176" t="s">
        <v>24</v>
      </c>
      <c r="H112" s="48">
        <v>6</v>
      </c>
      <c r="I112" s="62">
        <v>3</v>
      </c>
      <c r="J112" s="62">
        <v>5</v>
      </c>
      <c r="K112" s="30">
        <v>6736.48</v>
      </c>
      <c r="L112" s="27"/>
      <c r="M112" s="26">
        <f t="shared" si="0"/>
        <v>0</v>
      </c>
      <c r="N112" s="26"/>
      <c r="O112" s="31"/>
      <c r="P112" s="53">
        <v>10</v>
      </c>
      <c r="Q112" s="30">
        <v>27295.01</v>
      </c>
      <c r="R112" s="27"/>
      <c r="S112" s="26">
        <f t="shared" si="1"/>
        <v>7729.47</v>
      </c>
      <c r="T112" s="26"/>
      <c r="U112" s="225">
        <v>7729.47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306</v>
      </c>
      <c r="G113" s="229" t="s">
        <v>28</v>
      </c>
      <c r="H113" s="56">
        <v>2</v>
      </c>
      <c r="I113" s="130">
        <v>1</v>
      </c>
      <c r="J113" s="130">
        <v>1</v>
      </c>
      <c r="K113" s="114">
        <v>1152.5999999999999</v>
      </c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223" t="s">
        <v>307</v>
      </c>
      <c r="G116" s="47" t="s">
        <v>24</v>
      </c>
      <c r="H116" s="61">
        <v>3</v>
      </c>
      <c r="I116" s="62">
        <v>3</v>
      </c>
      <c r="J116" s="62">
        <v>3</v>
      </c>
      <c r="K116" s="30">
        <v>3189.98</v>
      </c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2272.3200000000002</v>
      </c>
      <c r="T116" s="50"/>
      <c r="U116" s="225">
        <v>2272.3200000000002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223" t="s">
        <v>308</v>
      </c>
      <c r="G118" s="23" t="s">
        <v>24</v>
      </c>
      <c r="H118" s="48">
        <v>6</v>
      </c>
      <c r="I118" s="203">
        <v>4</v>
      </c>
      <c r="J118" s="203">
        <v>5</v>
      </c>
      <c r="K118" s="65">
        <v>15263.87</v>
      </c>
      <c r="L118" s="51"/>
      <c r="M118" s="50">
        <f t="shared" si="0"/>
        <v>0</v>
      </c>
      <c r="N118" s="50"/>
      <c r="O118" s="31"/>
      <c r="P118" s="108">
        <v>19</v>
      </c>
      <c r="Q118" s="65">
        <v>61934.03</v>
      </c>
      <c r="R118" s="51"/>
      <c r="S118" s="50">
        <f t="shared" si="1"/>
        <v>10009.61</v>
      </c>
      <c r="T118" s="50"/>
      <c r="U118" s="225">
        <v>10009.61</v>
      </c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226"/>
      <c r="G119" s="227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39</v>
      </c>
      <c r="D120" s="374" t="s">
        <v>309</v>
      </c>
      <c r="E120" s="374" t="s">
        <v>27</v>
      </c>
      <c r="F120" s="204" t="s">
        <v>310</v>
      </c>
      <c r="G120" s="176" t="s">
        <v>24</v>
      </c>
      <c r="H120" s="151">
        <v>3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6</v>
      </c>
      <c r="Q120" s="30">
        <v>21153.67</v>
      </c>
      <c r="R120" s="27"/>
      <c r="S120" s="26">
        <f t="shared" si="1"/>
        <v>21153.67</v>
      </c>
      <c r="T120" s="26"/>
      <c r="U120" s="225">
        <v>21153.67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229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311</v>
      </c>
      <c r="E122" s="374" t="s">
        <v>121</v>
      </c>
      <c r="F122" s="232" t="s">
        <v>312</v>
      </c>
      <c r="G122" s="23" t="s">
        <v>24</v>
      </c>
      <c r="H122" s="151">
        <v>3</v>
      </c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20</v>
      </c>
      <c r="Q122" s="30">
        <v>30500.5</v>
      </c>
      <c r="R122" s="27"/>
      <c r="S122" s="26">
        <f t="shared" si="1"/>
        <v>4998.1400000000003</v>
      </c>
      <c r="T122" s="26"/>
      <c r="U122" s="225">
        <v>4998.1400000000003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233" t="s">
        <v>313</v>
      </c>
      <c r="G123" s="227" t="s">
        <v>25</v>
      </c>
      <c r="H123" s="153">
        <v>2</v>
      </c>
      <c r="I123" s="130">
        <v>1</v>
      </c>
      <c r="J123" s="130">
        <v>1</v>
      </c>
      <c r="K123" s="114">
        <v>1344.7</v>
      </c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39</v>
      </c>
      <c r="D124" s="374" t="s">
        <v>123</v>
      </c>
      <c r="E124" s="374" t="s">
        <v>55</v>
      </c>
      <c r="F124" s="204" t="s">
        <v>236</v>
      </c>
      <c r="G124" s="176" t="s">
        <v>24</v>
      </c>
      <c r="H124" s="48">
        <v>5</v>
      </c>
      <c r="I124" s="62">
        <v>1</v>
      </c>
      <c r="J124" s="62">
        <v>2</v>
      </c>
      <c r="K124" s="30">
        <v>3016.65</v>
      </c>
      <c r="L124" s="27"/>
      <c r="M124" s="26">
        <f t="shared" si="0"/>
        <v>0</v>
      </c>
      <c r="N124" s="26"/>
      <c r="O124" s="31"/>
      <c r="P124" s="53">
        <v>11</v>
      </c>
      <c r="Q124" s="30">
        <v>41694.230000000003</v>
      </c>
      <c r="R124" s="205">
        <v>6</v>
      </c>
      <c r="S124" s="26">
        <f t="shared" si="1"/>
        <v>29991.43</v>
      </c>
      <c r="T124" s="30">
        <v>15352.72</v>
      </c>
      <c r="U124" s="225">
        <v>14638.71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229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6"/>
      <c r="B126" s="377" t="s">
        <v>124</v>
      </c>
      <c r="C126" s="377" t="s">
        <v>39</v>
      </c>
      <c r="D126" s="377" t="s">
        <v>314</v>
      </c>
      <c r="E126" s="377" t="s">
        <v>27</v>
      </c>
      <c r="F126" s="232" t="s">
        <v>237</v>
      </c>
      <c r="G126" s="23" t="s">
        <v>24</v>
      </c>
      <c r="H126" s="48">
        <v>8</v>
      </c>
      <c r="I126" s="203">
        <v>1</v>
      </c>
      <c r="J126" s="203">
        <v>2</v>
      </c>
      <c r="K126" s="65">
        <v>1045.98</v>
      </c>
      <c r="L126" s="51"/>
      <c r="M126" s="50">
        <f t="shared" si="0"/>
        <v>0</v>
      </c>
      <c r="N126" s="50"/>
      <c r="O126" s="31"/>
      <c r="P126" s="108">
        <v>33</v>
      </c>
      <c r="Q126" s="65">
        <v>195471.48</v>
      </c>
      <c r="R126" s="224">
        <v>7</v>
      </c>
      <c r="S126" s="50">
        <f t="shared" si="1"/>
        <v>74062.510000000009</v>
      </c>
      <c r="T126" s="65">
        <v>50185.66</v>
      </c>
      <c r="U126" s="225">
        <v>23876.85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239" t="s">
        <v>43</v>
      </c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13">
        <v>1</v>
      </c>
      <c r="Q128" s="43"/>
      <c r="R128" s="44"/>
      <c r="S128" s="43">
        <f t="shared" si="1"/>
        <v>2305.1999999999998</v>
      </c>
      <c r="T128" s="43"/>
      <c r="U128" s="41">
        <f>1152.6+1152.6</f>
        <v>2305.1999999999998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53">
        <v>12</v>
      </c>
      <c r="Q129" s="30">
        <v>11948.95</v>
      </c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54" t="s">
        <v>316</v>
      </c>
      <c r="G130" s="35" t="s">
        <v>28</v>
      </c>
      <c r="H130" s="153">
        <v>3</v>
      </c>
      <c r="I130" s="37">
        <v>2</v>
      </c>
      <c r="J130" s="37">
        <v>2</v>
      </c>
      <c r="K130" s="68">
        <v>2305.1999999999998</v>
      </c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48">
        <v>4</v>
      </c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4</v>
      </c>
      <c r="Q131" s="65">
        <v>16831.23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1" t="s">
        <v>317</v>
      </c>
      <c r="G132" s="55" t="s">
        <v>28</v>
      </c>
      <c r="H132" s="153">
        <v>7</v>
      </c>
      <c r="I132" s="37">
        <v>1</v>
      </c>
      <c r="J132" s="37">
        <v>1</v>
      </c>
      <c r="K132" s="68">
        <v>1578.8</v>
      </c>
      <c r="L132" s="40"/>
      <c r="M132" s="39">
        <f t="shared" si="0"/>
        <v>0</v>
      </c>
      <c r="N132" s="39"/>
      <c r="O132" s="41"/>
      <c r="P132" s="115">
        <v>1</v>
      </c>
      <c r="Q132" s="68">
        <v>11053.9</v>
      </c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247"/>
      <c r="G134" s="227" t="s">
        <v>25</v>
      </c>
      <c r="H134" s="153">
        <v>1</v>
      </c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176" t="s">
        <v>24</v>
      </c>
      <c r="H135" s="48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3</v>
      </c>
      <c r="Q135" s="30">
        <v>5532.03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229" t="s">
        <v>25</v>
      </c>
      <c r="H136" s="112">
        <v>5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 t="s">
        <v>39</v>
      </c>
      <c r="D137" s="374" t="s">
        <v>238</v>
      </c>
      <c r="E137" s="377" t="s">
        <v>136</v>
      </c>
      <c r="F137" s="232" t="s">
        <v>239</v>
      </c>
      <c r="G137" s="23" t="s">
        <v>24</v>
      </c>
      <c r="H137" s="61">
        <v>4</v>
      </c>
      <c r="I137" s="62">
        <v>1</v>
      </c>
      <c r="J137" s="62">
        <v>1</v>
      </c>
      <c r="K137" s="30">
        <v>1210.23</v>
      </c>
      <c r="L137" s="27"/>
      <c r="M137" s="26">
        <f t="shared" si="0"/>
        <v>0</v>
      </c>
      <c r="N137" s="26"/>
      <c r="O137" s="31"/>
      <c r="P137" s="53">
        <v>9</v>
      </c>
      <c r="Q137" s="30">
        <v>26912.93</v>
      </c>
      <c r="R137" s="205">
        <v>1</v>
      </c>
      <c r="S137" s="26">
        <f t="shared" si="1"/>
        <v>8445.0499999999993</v>
      </c>
      <c r="T137" s="30">
        <v>2697.08</v>
      </c>
      <c r="U137" s="225">
        <v>5747.97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237" t="s">
        <v>240</v>
      </c>
      <c r="G138" s="154" t="s">
        <v>28</v>
      </c>
      <c r="H138" s="112">
        <v>7</v>
      </c>
      <c r="I138" s="271">
        <v>1</v>
      </c>
      <c r="J138" s="271">
        <v>1</v>
      </c>
      <c r="K138" s="239">
        <v>1728.9</v>
      </c>
      <c r="L138" s="128"/>
      <c r="M138" s="129">
        <f t="shared" si="0"/>
        <v>0</v>
      </c>
      <c r="N138" s="129"/>
      <c r="O138" s="45"/>
      <c r="P138" s="238">
        <v>5</v>
      </c>
      <c r="Q138" s="239">
        <v>7357.43</v>
      </c>
      <c r="R138" s="128"/>
      <c r="S138" s="129">
        <f t="shared" si="1"/>
        <v>288.14999999999998</v>
      </c>
      <c r="T138" s="129"/>
      <c r="U138" s="45">
        <f>288.15</f>
        <v>288.14999999999998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81" t="s">
        <v>23</v>
      </c>
      <c r="F140" s="22"/>
      <c r="G140" s="23" t="s">
        <v>24</v>
      </c>
      <c r="H140" s="61">
        <v>5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2"/>
      <c r="B142" s="374" t="s">
        <v>134</v>
      </c>
      <c r="C142" s="374" t="s">
        <v>39</v>
      </c>
      <c r="D142" s="374" t="s">
        <v>280</v>
      </c>
      <c r="E142" s="374" t="s">
        <v>136</v>
      </c>
      <c r="F142" s="204" t="s">
        <v>282</v>
      </c>
      <c r="G142" s="176" t="s">
        <v>24</v>
      </c>
      <c r="H142" s="48">
        <v>4</v>
      </c>
      <c r="I142" s="203">
        <v>1</v>
      </c>
      <c r="J142" s="203">
        <v>1</v>
      </c>
      <c r="K142" s="65">
        <v>2904.55</v>
      </c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224">
        <v>2</v>
      </c>
      <c r="S142" s="50">
        <f t="shared" si="1"/>
        <v>3694.33</v>
      </c>
      <c r="T142" s="65">
        <v>3694.33</v>
      </c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235" t="s">
        <v>321</v>
      </c>
      <c r="G143" s="252" t="s">
        <v>28</v>
      </c>
      <c r="H143" s="151">
        <v>4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6224.04</v>
      </c>
      <c r="T143" s="142"/>
      <c r="U143" s="45">
        <f>6224.04</f>
        <v>6224.04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34"/>
      <c r="G144" s="229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7" t="s">
        <v>39</v>
      </c>
      <c r="D145" s="374" t="s">
        <v>322</v>
      </c>
      <c r="E145" s="377" t="s">
        <v>27</v>
      </c>
      <c r="F145" s="232" t="s">
        <v>323</v>
      </c>
      <c r="G145" s="23" t="s">
        <v>24</v>
      </c>
      <c r="H145" s="24">
        <v>3</v>
      </c>
      <c r="I145" s="62">
        <v>1</v>
      </c>
      <c r="J145" s="62">
        <v>1</v>
      </c>
      <c r="K145" s="30">
        <v>947.05</v>
      </c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576.29999999999995</v>
      </c>
      <c r="T145" s="26"/>
      <c r="U145" s="225">
        <v>576.29999999999995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80"/>
      <c r="F146" s="220" t="s">
        <v>241</v>
      </c>
      <c r="G146" s="35" t="s">
        <v>28</v>
      </c>
      <c r="H146" s="66">
        <v>4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2</v>
      </c>
      <c r="Q146" s="68">
        <v>3265.7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138</v>
      </c>
      <c r="C147" s="374" t="s">
        <v>22</v>
      </c>
      <c r="D147" s="374"/>
      <c r="E147" s="374" t="s">
        <v>27</v>
      </c>
      <c r="F147" s="204" t="s">
        <v>324</v>
      </c>
      <c r="G147" s="176" t="s">
        <v>24</v>
      </c>
      <c r="H147" s="151">
        <v>2</v>
      </c>
      <c r="I147" s="203">
        <v>1</v>
      </c>
      <c r="J147" s="203">
        <v>1</v>
      </c>
      <c r="K147" s="65">
        <v>576.29999999999995</v>
      </c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11686.89</v>
      </c>
      <c r="T147" s="50"/>
      <c r="U147" s="225">
        <v>11686.89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 t="s">
        <v>242</v>
      </c>
      <c r="G148" s="229" t="s">
        <v>28</v>
      </c>
      <c r="H148" s="133">
        <v>6</v>
      </c>
      <c r="I148" s="130">
        <v>1</v>
      </c>
      <c r="J148" s="130">
        <v>1</v>
      </c>
      <c r="K148" s="114">
        <v>1344.7</v>
      </c>
      <c r="L148" s="44"/>
      <c r="M148" s="43">
        <f t="shared" si="0"/>
        <v>0</v>
      </c>
      <c r="N148" s="43"/>
      <c r="O148" s="41"/>
      <c r="P148" s="113">
        <v>3</v>
      </c>
      <c r="Q148" s="114">
        <v>7203.75</v>
      </c>
      <c r="R148" s="44"/>
      <c r="S148" s="43">
        <f t="shared" si="1"/>
        <v>4802.5</v>
      </c>
      <c r="T148" s="43"/>
      <c r="U148" s="41">
        <f>4802.5</f>
        <v>4802.5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32" t="s">
        <v>325</v>
      </c>
      <c r="G149" s="23" t="s">
        <v>24</v>
      </c>
      <c r="H149" s="151">
        <v>4</v>
      </c>
      <c r="I149" s="62">
        <v>3</v>
      </c>
      <c r="J149" s="62">
        <v>3</v>
      </c>
      <c r="K149" s="30">
        <v>6365.22</v>
      </c>
      <c r="L149" s="27"/>
      <c r="M149" s="26">
        <f t="shared" si="0"/>
        <v>0</v>
      </c>
      <c r="N149" s="26"/>
      <c r="O149" s="31"/>
      <c r="P149" s="53">
        <v>9</v>
      </c>
      <c r="Q149" s="30">
        <v>20468.02</v>
      </c>
      <c r="R149" s="27"/>
      <c r="S149" s="26">
        <f t="shared" si="1"/>
        <v>5290.28</v>
      </c>
      <c r="T149" s="26"/>
      <c r="U149" s="225">
        <v>5290.28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21" t="s">
        <v>326</v>
      </c>
      <c r="G150" s="55" t="s">
        <v>28</v>
      </c>
      <c r="H150" s="112">
        <v>3</v>
      </c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2</v>
      </c>
      <c r="Q150" s="114">
        <v>3976.1</v>
      </c>
      <c r="R150" s="44"/>
      <c r="S150" s="43">
        <f t="shared" si="1"/>
        <v>6269.7</v>
      </c>
      <c r="T150" s="43"/>
      <c r="U150" s="45">
        <f>6269.7</f>
        <v>6269.7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24">
        <v>1</v>
      </c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20168.78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243</v>
      </c>
      <c r="G152" s="35" t="s">
        <v>28</v>
      </c>
      <c r="H152" s="66">
        <v>4</v>
      </c>
      <c r="I152" s="37">
        <v>1</v>
      </c>
      <c r="J152" s="37">
        <v>1</v>
      </c>
      <c r="K152" s="68">
        <v>1728</v>
      </c>
      <c r="L152" s="40"/>
      <c r="M152" s="39">
        <f t="shared" si="0"/>
        <v>0</v>
      </c>
      <c r="N152" s="39"/>
      <c r="O152" s="58"/>
      <c r="P152" s="115">
        <v>2</v>
      </c>
      <c r="Q152" s="68">
        <v>2420.46</v>
      </c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151">
        <v>2</v>
      </c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2</v>
      </c>
      <c r="I155" s="62">
        <v>2</v>
      </c>
      <c r="J155" s="62">
        <v>2</v>
      </c>
      <c r="K155" s="30">
        <v>524.91</v>
      </c>
      <c r="L155" s="27"/>
      <c r="M155" s="26">
        <f t="shared" si="0"/>
        <v>0</v>
      </c>
      <c r="N155" s="26"/>
      <c r="O155" s="28"/>
      <c r="P155" s="53">
        <v>1</v>
      </c>
      <c r="Q155" s="30">
        <v>412.05</v>
      </c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327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10</v>
      </c>
      <c r="Q157" s="65">
        <v>34619.06</v>
      </c>
      <c r="R157" s="224">
        <v>4</v>
      </c>
      <c r="S157" s="50">
        <f t="shared" si="1"/>
        <v>16502.04</v>
      </c>
      <c r="T157" s="65">
        <v>14714.18</v>
      </c>
      <c r="U157" s="225">
        <v>1787.86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233" t="s">
        <v>244</v>
      </c>
      <c r="G158" s="227" t="s">
        <v>28</v>
      </c>
      <c r="H158" s="133">
        <v>5</v>
      </c>
      <c r="I158" s="57"/>
      <c r="J158" s="57"/>
      <c r="K158" s="43"/>
      <c r="L158" s="128"/>
      <c r="M158" s="50">
        <f t="shared" si="0"/>
        <v>0</v>
      </c>
      <c r="N158" s="43"/>
      <c r="O158" s="41"/>
      <c r="P158" s="113">
        <v>1</v>
      </c>
      <c r="Q158" s="114">
        <v>5426.7</v>
      </c>
      <c r="R158" s="44"/>
      <c r="S158" s="43">
        <f t="shared" si="1"/>
        <v>576.29999999999995</v>
      </c>
      <c r="T158" s="43"/>
      <c r="U158" s="41">
        <f>576.3</f>
        <v>576.29999999999995</v>
      </c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328</v>
      </c>
      <c r="E159" s="374" t="s">
        <v>27</v>
      </c>
      <c r="F159" s="204" t="s">
        <v>329</v>
      </c>
      <c r="G159" s="176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8</v>
      </c>
      <c r="Q159" s="30">
        <v>17730.189999999999</v>
      </c>
      <c r="R159" s="27"/>
      <c r="S159" s="26">
        <f t="shared" si="1"/>
        <v>1267.8599999999999</v>
      </c>
      <c r="T159" s="26"/>
      <c r="U159" s="225">
        <v>1267.8599999999999</v>
      </c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220" t="s">
        <v>330</v>
      </c>
      <c r="G160" s="229" t="s">
        <v>28</v>
      </c>
      <c r="H160" s="153">
        <v>1</v>
      </c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3</v>
      </c>
      <c r="Q160" s="68">
        <v>16520.599999999999</v>
      </c>
      <c r="R160" s="40"/>
      <c r="S160" s="39">
        <f t="shared" si="1"/>
        <v>576.29999999999995</v>
      </c>
      <c r="T160" s="39"/>
      <c r="U160" s="41">
        <f>576.3</f>
        <v>576.29999999999995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32" t="s">
        <v>218</v>
      </c>
      <c r="G161" s="23" t="s">
        <v>24</v>
      </c>
      <c r="H161" s="48">
        <v>10</v>
      </c>
      <c r="I161" s="62">
        <v>4</v>
      </c>
      <c r="J161" s="204">
        <v>5</v>
      </c>
      <c r="K161" s="30">
        <v>5615.47</v>
      </c>
      <c r="L161" s="27"/>
      <c r="M161" s="26">
        <f t="shared" si="0"/>
        <v>0</v>
      </c>
      <c r="N161" s="26"/>
      <c r="O161" s="31"/>
      <c r="P161" s="108">
        <v>17</v>
      </c>
      <c r="Q161" s="65">
        <v>50138.87</v>
      </c>
      <c r="R161" s="224">
        <v>5</v>
      </c>
      <c r="S161" s="50">
        <f t="shared" si="1"/>
        <v>17249.09</v>
      </c>
      <c r="T161" s="65">
        <v>17249.09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56">
        <v>1</v>
      </c>
      <c r="I162" s="57"/>
      <c r="J162" s="57"/>
      <c r="K162" s="43"/>
      <c r="L162" s="44"/>
      <c r="M162" s="43">
        <f t="shared" si="0"/>
        <v>0</v>
      </c>
      <c r="N162" s="43"/>
      <c r="O162" s="45"/>
      <c r="P162" s="113">
        <v>1</v>
      </c>
      <c r="Q162" s="114">
        <v>576.29999999999995</v>
      </c>
      <c r="R162" s="44"/>
      <c r="S162" s="43">
        <f t="shared" si="1"/>
        <v>1921</v>
      </c>
      <c r="T162" s="43"/>
      <c r="U162" s="45">
        <f>1921</f>
        <v>1921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220" t="s">
        <v>331</v>
      </c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7">
        <v>3</v>
      </c>
      <c r="Q164" s="68">
        <v>10841.33</v>
      </c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74" t="s">
        <v>39</v>
      </c>
      <c r="D165" s="381" t="s">
        <v>332</v>
      </c>
      <c r="E165" s="381" t="s">
        <v>27</v>
      </c>
      <c r="F165" s="223" t="s">
        <v>333</v>
      </c>
      <c r="G165" s="47" t="s">
        <v>24</v>
      </c>
      <c r="H165" s="48">
        <v>3</v>
      </c>
      <c r="I165" s="203">
        <v>3</v>
      </c>
      <c r="J165" s="203">
        <v>3</v>
      </c>
      <c r="K165" s="242">
        <v>5772.22</v>
      </c>
      <c r="L165" s="167"/>
      <c r="M165" s="166">
        <f t="shared" si="0"/>
        <v>0</v>
      </c>
      <c r="N165" s="166"/>
      <c r="O165" s="31"/>
      <c r="P165" s="108">
        <v>5</v>
      </c>
      <c r="Q165" s="65">
        <v>16635.98</v>
      </c>
      <c r="R165" s="51"/>
      <c r="S165" s="50">
        <f t="shared" si="1"/>
        <v>15452.64</v>
      </c>
      <c r="T165" s="50"/>
      <c r="U165" s="225">
        <v>15452.64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75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1921</v>
      </c>
      <c r="T166" s="43"/>
      <c r="U166" s="41">
        <f>1921</f>
        <v>1921</v>
      </c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223" t="s">
        <v>245</v>
      </c>
      <c r="G167" s="23" t="s">
        <v>24</v>
      </c>
      <c r="H167" s="48">
        <v>3</v>
      </c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4</v>
      </c>
      <c r="Q167" s="30">
        <v>10125.48</v>
      </c>
      <c r="R167" s="205">
        <v>1</v>
      </c>
      <c r="S167" s="26">
        <f t="shared" si="1"/>
        <v>3759.09</v>
      </c>
      <c r="T167" s="30">
        <v>3759.09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158</v>
      </c>
      <c r="C173" s="374" t="s">
        <v>39</v>
      </c>
      <c r="D173" s="374" t="s">
        <v>288</v>
      </c>
      <c r="E173" s="374" t="s">
        <v>27</v>
      </c>
      <c r="F173" s="204" t="s">
        <v>289</v>
      </c>
      <c r="G173" s="176" t="s">
        <v>24</v>
      </c>
      <c r="H173" s="48">
        <v>6</v>
      </c>
      <c r="I173" s="203">
        <v>5</v>
      </c>
      <c r="J173" s="203">
        <v>5</v>
      </c>
      <c r="K173" s="65">
        <v>7557.22</v>
      </c>
      <c r="L173" s="51"/>
      <c r="M173" s="50">
        <f t="shared" si="0"/>
        <v>0</v>
      </c>
      <c r="N173" s="50"/>
      <c r="O173" s="31"/>
      <c r="P173" s="108">
        <v>5</v>
      </c>
      <c r="Q173" s="65">
        <v>8066.29</v>
      </c>
      <c r="R173" s="51"/>
      <c r="S173" s="50">
        <f t="shared" si="1"/>
        <v>2627.93</v>
      </c>
      <c r="T173" s="50"/>
      <c r="U173" s="225">
        <v>2627.93</v>
      </c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 t="s">
        <v>334</v>
      </c>
      <c r="G174" s="229" t="s">
        <v>28</v>
      </c>
      <c r="H174" s="117">
        <v>1</v>
      </c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1152.5999999999999</v>
      </c>
      <c r="T174" s="39"/>
      <c r="U174" s="41">
        <f>1152.6</f>
        <v>1152.5999999999999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159</v>
      </c>
      <c r="C175" s="377" t="s">
        <v>22</v>
      </c>
      <c r="D175" s="377"/>
      <c r="E175" s="377" t="s">
        <v>160</v>
      </c>
      <c r="F175" s="232" t="s">
        <v>246</v>
      </c>
      <c r="G175" s="95" t="s">
        <v>24</v>
      </c>
      <c r="H175" s="48">
        <v>3</v>
      </c>
      <c r="I175" s="203">
        <v>2</v>
      </c>
      <c r="J175" s="203">
        <v>2</v>
      </c>
      <c r="K175" s="65">
        <v>2313.84</v>
      </c>
      <c r="L175" s="51"/>
      <c r="M175" s="50">
        <f t="shared" si="0"/>
        <v>0</v>
      </c>
      <c r="N175" s="50"/>
      <c r="O175" s="31"/>
      <c r="P175" s="108">
        <v>20</v>
      </c>
      <c r="Q175" s="65">
        <v>30855.19</v>
      </c>
      <c r="R175" s="224">
        <v>9</v>
      </c>
      <c r="S175" s="50">
        <f t="shared" si="1"/>
        <v>12661.42</v>
      </c>
      <c r="T175" s="65">
        <v>12661.42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12">
        <v>2</v>
      </c>
      <c r="I176" s="130">
        <v>1</v>
      </c>
      <c r="J176" s="130">
        <v>1</v>
      </c>
      <c r="K176" s="114">
        <v>1056.55</v>
      </c>
      <c r="L176" s="128"/>
      <c r="M176" s="50">
        <f t="shared" si="0"/>
        <v>0</v>
      </c>
      <c r="N176" s="43"/>
      <c r="O176" s="41"/>
      <c r="P176" s="113">
        <v>3</v>
      </c>
      <c r="Q176" s="114">
        <v>5551.69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24">
        <v>3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4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4602.5</v>
      </c>
      <c r="T181" s="43"/>
      <c r="U181" s="234">
        <f>4602.5</f>
        <v>4602.5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221" t="s">
        <v>335</v>
      </c>
      <c r="G183" s="55" t="s">
        <v>28</v>
      </c>
      <c r="H183" s="56">
        <v>2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3</v>
      </c>
      <c r="Q183" s="114">
        <v>4898.55</v>
      </c>
      <c r="R183" s="44"/>
      <c r="S183" s="43">
        <f t="shared" si="1"/>
        <v>4034.1</v>
      </c>
      <c r="T183" s="43"/>
      <c r="U183" s="41">
        <f>4034.1</f>
        <v>4034.1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08">
        <v>2</v>
      </c>
      <c r="Q186" s="65">
        <v>2541.1999999999998</v>
      </c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24">
        <v>1</v>
      </c>
      <c r="I188" s="62">
        <v>1</v>
      </c>
      <c r="J188" s="62">
        <v>1</v>
      </c>
      <c r="K188" s="30">
        <v>576.29999999999995</v>
      </c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240" t="s">
        <v>247</v>
      </c>
      <c r="G189" s="35" t="s">
        <v>28</v>
      </c>
      <c r="H189" s="66">
        <v>3</v>
      </c>
      <c r="I189" s="37"/>
      <c r="J189" s="37"/>
      <c r="K189" s="39"/>
      <c r="L189" s="40"/>
      <c r="M189" s="39">
        <f t="shared" si="0"/>
        <v>0</v>
      </c>
      <c r="N189" s="39"/>
      <c r="O189" s="58"/>
      <c r="P189" s="244">
        <v>2</v>
      </c>
      <c r="Q189" s="245">
        <v>5186.7</v>
      </c>
      <c r="R189" s="40"/>
      <c r="S189" s="39">
        <f t="shared" si="1"/>
        <v>4034.1</v>
      </c>
      <c r="T189" s="39"/>
      <c r="U189" s="41">
        <f>4034.1</f>
        <v>4034.1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169</v>
      </c>
      <c r="C190" s="374" t="s">
        <v>22</v>
      </c>
      <c r="D190" s="374"/>
      <c r="E190" s="374" t="s">
        <v>27</v>
      </c>
      <c r="F190" s="22"/>
      <c r="G190" s="176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220" t="s">
        <v>336</v>
      </c>
      <c r="G191" s="229" t="s">
        <v>28</v>
      </c>
      <c r="H191" s="153">
        <v>1</v>
      </c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32" t="s">
        <v>248</v>
      </c>
      <c r="G192" s="23" t="s">
        <v>24</v>
      </c>
      <c r="H192" s="48">
        <v>3</v>
      </c>
      <c r="I192" s="62">
        <v>3</v>
      </c>
      <c r="J192" s="62">
        <v>4</v>
      </c>
      <c r="K192" s="30">
        <v>5413.52</v>
      </c>
      <c r="L192" s="27"/>
      <c r="M192" s="26">
        <f t="shared" si="0"/>
        <v>0</v>
      </c>
      <c r="N192" s="26"/>
      <c r="O192" s="31"/>
      <c r="P192" s="53">
        <v>13</v>
      </c>
      <c r="Q192" s="30">
        <v>34299.050000000003</v>
      </c>
      <c r="R192" s="205">
        <v>2</v>
      </c>
      <c r="S192" s="26">
        <f t="shared" si="1"/>
        <v>5534.4</v>
      </c>
      <c r="T192" s="30">
        <v>5534.4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171</v>
      </c>
      <c r="C194" s="374" t="s">
        <v>22</v>
      </c>
      <c r="D194" s="374"/>
      <c r="E194" s="374" t="s">
        <v>27</v>
      </c>
      <c r="F194" s="22"/>
      <c r="G194" s="176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220" t="s">
        <v>337</v>
      </c>
      <c r="G195" s="229" t="s">
        <v>28</v>
      </c>
      <c r="H195" s="133">
        <v>2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7" t="s">
        <v>39</v>
      </c>
      <c r="D196" s="374" t="s">
        <v>303</v>
      </c>
      <c r="E196" s="374" t="s">
        <v>121</v>
      </c>
      <c r="F196" s="232" t="s">
        <v>304</v>
      </c>
      <c r="G196" s="23" t="s">
        <v>24</v>
      </c>
      <c r="H196" s="48">
        <v>4</v>
      </c>
      <c r="I196" s="62">
        <v>2</v>
      </c>
      <c r="J196" s="62">
        <v>2</v>
      </c>
      <c r="K196" s="30">
        <v>806.82</v>
      </c>
      <c r="L196" s="27"/>
      <c r="M196" s="26">
        <f t="shared" si="0"/>
        <v>0</v>
      </c>
      <c r="N196" s="26"/>
      <c r="O196" s="31"/>
      <c r="P196" s="53">
        <v>25</v>
      </c>
      <c r="Q196" s="30">
        <v>34901.07</v>
      </c>
      <c r="R196" s="27"/>
      <c r="S196" s="26">
        <f t="shared" si="1"/>
        <v>6109.65</v>
      </c>
      <c r="T196" s="30"/>
      <c r="U196" s="30">
        <v>6109.65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80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13">
        <v>1</v>
      </c>
      <c r="Q197" s="114">
        <v>1728.9</v>
      </c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 t="s">
        <v>338</v>
      </c>
      <c r="E198" s="374"/>
      <c r="F198" s="22"/>
      <c r="G198" s="23" t="s">
        <v>24</v>
      </c>
      <c r="H198" s="61">
        <v>11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0" t="s">
        <v>339</v>
      </c>
      <c r="G199" s="35" t="s">
        <v>25</v>
      </c>
      <c r="H199" s="117">
        <v>4</v>
      </c>
      <c r="I199" s="37">
        <v>1</v>
      </c>
      <c r="J199" s="37">
        <v>1</v>
      </c>
      <c r="K199" s="68">
        <v>1152.5999999999999</v>
      </c>
      <c r="L199" s="40"/>
      <c r="M199" s="39">
        <f t="shared" si="0"/>
        <v>0</v>
      </c>
      <c r="N199" s="39"/>
      <c r="O199" s="41"/>
      <c r="P199" s="115">
        <v>2</v>
      </c>
      <c r="Q199" s="68">
        <v>4942.5</v>
      </c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174</v>
      </c>
      <c r="C200" s="374" t="s">
        <v>39</v>
      </c>
      <c r="D200" s="374" t="s">
        <v>175</v>
      </c>
      <c r="E200" s="374" t="s">
        <v>176</v>
      </c>
      <c r="F200" s="22"/>
      <c r="G200" s="176" t="s">
        <v>24</v>
      </c>
      <c r="H200" s="48">
        <v>6</v>
      </c>
      <c r="I200" s="203">
        <v>2</v>
      </c>
      <c r="J200" s="203">
        <v>2</v>
      </c>
      <c r="K200" s="65">
        <v>2579.9</v>
      </c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340</v>
      </c>
      <c r="G201" s="229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3</v>
      </c>
      <c r="Q201" s="114">
        <v>19142.64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77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48">
        <v>1</v>
      </c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14</v>
      </c>
      <c r="Q202" s="30">
        <v>45509.18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6</v>
      </c>
      <c r="I208" s="203">
        <v>3</v>
      </c>
      <c r="J208" s="203">
        <v>3</v>
      </c>
      <c r="K208" s="65">
        <v>1527.2</v>
      </c>
      <c r="L208" s="51"/>
      <c r="M208" s="50">
        <f t="shared" si="0"/>
        <v>0</v>
      </c>
      <c r="N208" s="50"/>
      <c r="O208" s="31"/>
      <c r="P208" s="108">
        <v>10</v>
      </c>
      <c r="Q208" s="65">
        <v>31753.040000000001</v>
      </c>
      <c r="R208" s="224">
        <v>8</v>
      </c>
      <c r="S208" s="50">
        <f t="shared" si="1"/>
        <v>31034.59</v>
      </c>
      <c r="T208" s="65">
        <v>28968.84</v>
      </c>
      <c r="U208" s="225">
        <v>2065.75</v>
      </c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2209.1999999999998</v>
      </c>
      <c r="T209" s="43"/>
      <c r="U209" s="45">
        <f>2209.2</f>
        <v>2209.1999999999998</v>
      </c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8</v>
      </c>
      <c r="I210" s="62">
        <v>7</v>
      </c>
      <c r="J210" s="62">
        <v>8</v>
      </c>
      <c r="K210" s="30">
        <v>12866.49</v>
      </c>
      <c r="L210" s="27"/>
      <c r="M210" s="26">
        <f t="shared" si="0"/>
        <v>0</v>
      </c>
      <c r="N210" s="26"/>
      <c r="O210" s="31"/>
      <c r="P210" s="53">
        <v>6</v>
      </c>
      <c r="Q210" s="30">
        <v>31478.57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48">
        <v>2</v>
      </c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7</v>
      </c>
      <c r="Q212" s="65">
        <v>8094.01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221" t="s">
        <v>252</v>
      </c>
      <c r="G213" s="55" t="s">
        <v>28</v>
      </c>
      <c r="H213" s="133">
        <v>5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13">
        <v>1</v>
      </c>
      <c r="Q213" s="114">
        <v>4034.1</v>
      </c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233" t="s">
        <v>253</v>
      </c>
      <c r="G215" s="227" t="s">
        <v>28</v>
      </c>
      <c r="H215" s="153">
        <v>2</v>
      </c>
      <c r="I215" s="57"/>
      <c r="J215" s="57"/>
      <c r="K215" s="43"/>
      <c r="L215" s="44"/>
      <c r="M215" s="43">
        <f t="shared" si="0"/>
        <v>0</v>
      </c>
      <c r="N215" s="43"/>
      <c r="O215" s="41"/>
      <c r="P215" s="113">
        <v>2</v>
      </c>
      <c r="Q215" s="114">
        <v>2958.34</v>
      </c>
      <c r="R215" s="44"/>
      <c r="S215" s="43">
        <f t="shared" si="1"/>
        <v>2958.34</v>
      </c>
      <c r="T215" s="43"/>
      <c r="U215" s="41">
        <f>2958.34</f>
        <v>2958.34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04" t="s">
        <v>341</v>
      </c>
      <c r="G216" s="176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2633.4</v>
      </c>
      <c r="R216" s="27"/>
      <c r="S216" s="26">
        <f t="shared" si="1"/>
        <v>1288.7</v>
      </c>
      <c r="T216" s="26"/>
      <c r="U216" s="225">
        <v>1288.7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342</v>
      </c>
      <c r="G217" s="229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2994.47</v>
      </c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232" t="s">
        <v>315</v>
      </c>
      <c r="G218" s="23" t="s">
        <v>24</v>
      </c>
      <c r="H218" s="48">
        <v>1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12</v>
      </c>
      <c r="Q218" s="30">
        <v>23364.69</v>
      </c>
      <c r="R218" s="205">
        <v>3</v>
      </c>
      <c r="S218" s="26">
        <f t="shared" si="1"/>
        <v>6447.76</v>
      </c>
      <c r="T218" s="30">
        <v>6447.76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254</v>
      </c>
      <c r="G219" s="35" t="s">
        <v>28</v>
      </c>
      <c r="H219" s="153">
        <v>5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223" t="s">
        <v>343</v>
      </c>
      <c r="G220" s="23" t="s">
        <v>24</v>
      </c>
      <c r="H220" s="48">
        <v>7</v>
      </c>
      <c r="I220" s="203">
        <v>3</v>
      </c>
      <c r="J220" s="203">
        <v>3</v>
      </c>
      <c r="K220" s="65">
        <v>3264.74</v>
      </c>
      <c r="L220" s="51"/>
      <c r="M220" s="50">
        <f t="shared" si="0"/>
        <v>0</v>
      </c>
      <c r="N220" s="50"/>
      <c r="O220" s="31"/>
      <c r="P220" s="108">
        <v>15</v>
      </c>
      <c r="Q220" s="65">
        <v>38060.720000000001</v>
      </c>
      <c r="R220" s="51"/>
      <c r="S220" s="50">
        <f t="shared" si="1"/>
        <v>1046.6300000000001</v>
      </c>
      <c r="T220" s="50"/>
      <c r="U220" s="225">
        <v>1046.6300000000001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1</v>
      </c>
      <c r="Q221" s="114">
        <v>2996.76</v>
      </c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221" t="s">
        <v>344</v>
      </c>
      <c r="G223" s="55" t="s">
        <v>28</v>
      </c>
      <c r="H223" s="56">
        <v>2</v>
      </c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4050.2</v>
      </c>
      <c r="T223" s="43"/>
      <c r="U223" s="222">
        <v>4050.2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24">
        <v>5</v>
      </c>
      <c r="I224" s="62">
        <v>3</v>
      </c>
      <c r="J224" s="62">
        <v>3</v>
      </c>
      <c r="K224" s="30">
        <v>5760.14</v>
      </c>
      <c r="L224" s="27"/>
      <c r="M224" s="26">
        <f t="shared" si="0"/>
        <v>0</v>
      </c>
      <c r="N224" s="26"/>
      <c r="O224" s="28"/>
      <c r="P224" s="29">
        <v>2</v>
      </c>
      <c r="Q224" s="30">
        <v>1870.81</v>
      </c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256</v>
      </c>
      <c r="G225" s="35" t="s">
        <v>28</v>
      </c>
      <c r="H225" s="66">
        <v>3</v>
      </c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345</v>
      </c>
      <c r="G227" s="35" t="s">
        <v>28</v>
      </c>
      <c r="H227" s="112">
        <v>2</v>
      </c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3818</v>
      </c>
      <c r="T227" s="39"/>
      <c r="U227" s="41">
        <f>3818</f>
        <v>3818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192</v>
      </c>
      <c r="C228" s="374" t="s">
        <v>22</v>
      </c>
      <c r="D228" s="374"/>
      <c r="E228" s="374" t="s">
        <v>193</v>
      </c>
      <c r="F228" s="204" t="s">
        <v>318</v>
      </c>
      <c r="G228" s="176" t="s">
        <v>24</v>
      </c>
      <c r="H228" s="61">
        <v>4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224">
        <v>9</v>
      </c>
      <c r="S228" s="50">
        <f t="shared" si="1"/>
        <v>15520.42</v>
      </c>
      <c r="T228" s="65">
        <v>15520.42</v>
      </c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 t="s">
        <v>346</v>
      </c>
      <c r="G229" s="229" t="s">
        <v>28</v>
      </c>
      <c r="H229" s="133">
        <v>1</v>
      </c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7" t="s">
        <v>39</v>
      </c>
      <c r="D230" s="377" t="s">
        <v>319</v>
      </c>
      <c r="E230" s="374" t="s">
        <v>160</v>
      </c>
      <c r="F230" s="232" t="s">
        <v>320</v>
      </c>
      <c r="G230" s="23" t="s">
        <v>24</v>
      </c>
      <c r="H230" s="48">
        <v>2</v>
      </c>
      <c r="I230" s="203">
        <v>2</v>
      </c>
      <c r="J230" s="203">
        <v>2</v>
      </c>
      <c r="K230" s="65">
        <v>1094.97</v>
      </c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2951.62</v>
      </c>
      <c r="T230" s="26"/>
      <c r="U230" s="225">
        <v>2951.62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 t="s">
        <v>347</v>
      </c>
      <c r="G231" s="35" t="s">
        <v>28</v>
      </c>
      <c r="H231" s="117">
        <v>1</v>
      </c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576.29999999999995</v>
      </c>
      <c r="T231" s="39"/>
      <c r="U231" s="41">
        <f>576.3</f>
        <v>576.29999999999995</v>
      </c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77" t="s">
        <v>39</v>
      </c>
      <c r="D232" s="377" t="s">
        <v>231</v>
      </c>
      <c r="E232" s="381" t="s">
        <v>27</v>
      </c>
      <c r="F232" s="204" t="s">
        <v>232</v>
      </c>
      <c r="G232" s="47" t="s">
        <v>24</v>
      </c>
      <c r="H232" s="61">
        <v>1</v>
      </c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7</v>
      </c>
      <c r="Q232" s="65">
        <v>46859.35</v>
      </c>
      <c r="R232" s="224">
        <v>3</v>
      </c>
      <c r="S232" s="50">
        <f t="shared" si="1"/>
        <v>38298.170000000006</v>
      </c>
      <c r="T232" s="65">
        <v>35948.410000000003</v>
      </c>
      <c r="U232" s="225">
        <v>2349.7600000000002</v>
      </c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1" t="s">
        <v>260</v>
      </c>
      <c r="G233" s="55" t="s">
        <v>28</v>
      </c>
      <c r="H233" s="178">
        <v>3</v>
      </c>
      <c r="I233" s="130">
        <v>1</v>
      </c>
      <c r="J233" s="130">
        <v>1</v>
      </c>
      <c r="K233" s="114">
        <v>1152.5999999999999</v>
      </c>
      <c r="L233" s="44"/>
      <c r="M233" s="43">
        <f t="shared" si="0"/>
        <v>0</v>
      </c>
      <c r="N233" s="43"/>
      <c r="O233" s="45"/>
      <c r="P233" s="130">
        <v>3</v>
      </c>
      <c r="Q233" s="130">
        <v>8188.85</v>
      </c>
      <c r="R233" s="44"/>
      <c r="S233" s="43">
        <f t="shared" si="1"/>
        <v>4994.6000000000004</v>
      </c>
      <c r="T233" s="43"/>
      <c r="U233" s="222">
        <v>4994.6000000000004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220" t="s">
        <v>348</v>
      </c>
      <c r="G235" s="35" t="s">
        <v>28</v>
      </c>
      <c r="H235" s="66">
        <v>3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748.24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221" t="s">
        <v>349</v>
      </c>
      <c r="G237" s="55" t="s">
        <v>28</v>
      </c>
      <c r="H237" s="153">
        <v>3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1440.75</v>
      </c>
      <c r="T237" s="43"/>
      <c r="U237" s="41">
        <f>1440.75</f>
        <v>1440.75</v>
      </c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5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7</v>
      </c>
      <c r="Q238" s="30">
        <v>27470.31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350</v>
      </c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1" t="s">
        <v>351</v>
      </c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1921</v>
      </c>
      <c r="T243" s="43"/>
      <c r="U243" s="45">
        <f>1921</f>
        <v>1921</v>
      </c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6</v>
      </c>
      <c r="I244" s="62">
        <v>1</v>
      </c>
      <c r="J244" s="62">
        <v>2</v>
      </c>
      <c r="K244" s="30">
        <v>2011.09</v>
      </c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48">
        <v>1</v>
      </c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1" t="s">
        <v>262</v>
      </c>
      <c r="G247" s="55" t="s">
        <v>28</v>
      </c>
      <c r="H247" s="112">
        <v>1</v>
      </c>
      <c r="I247" s="57"/>
      <c r="J247" s="57"/>
      <c r="K247" s="43"/>
      <c r="L247" s="128"/>
      <c r="M247" s="129">
        <f t="shared" si="0"/>
        <v>0</v>
      </c>
      <c r="N247" s="43"/>
      <c r="O247" s="45"/>
      <c r="P247" s="113">
        <v>1</v>
      </c>
      <c r="Q247" s="114">
        <v>1344.7</v>
      </c>
      <c r="R247" s="128"/>
      <c r="S247" s="129">
        <f t="shared" si="1"/>
        <v>3649.9</v>
      </c>
      <c r="T247" s="43"/>
      <c r="U247" s="45">
        <f>3649.9</f>
        <v>3649.9</v>
      </c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6</v>
      </c>
      <c r="I250" s="203">
        <v>1</v>
      </c>
      <c r="J250" s="203">
        <v>1</v>
      </c>
      <c r="K250" s="65">
        <v>384.2</v>
      </c>
      <c r="L250" s="51"/>
      <c r="M250" s="50">
        <f t="shared" si="0"/>
        <v>0</v>
      </c>
      <c r="N250" s="50"/>
      <c r="O250" s="31"/>
      <c r="P250" s="108">
        <v>4</v>
      </c>
      <c r="Q250" s="65">
        <v>3363.11</v>
      </c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479</v>
      </c>
      <c r="I252" s="183">
        <f t="shared" si="2"/>
        <v>131</v>
      </c>
      <c r="J252" s="183">
        <f t="shared" si="2"/>
        <v>147</v>
      </c>
      <c r="K252" s="184">
        <f t="shared" si="2"/>
        <v>210360.17999999996</v>
      </c>
      <c r="L252" s="185">
        <f t="shared" si="2"/>
        <v>0</v>
      </c>
      <c r="M252" s="184">
        <f t="shared" si="2"/>
        <v>1344.7</v>
      </c>
      <c r="N252" s="184">
        <f t="shared" si="2"/>
        <v>0</v>
      </c>
      <c r="O252" s="186">
        <f t="shared" si="2"/>
        <v>1344.7</v>
      </c>
      <c r="P252" s="187">
        <f t="shared" si="2"/>
        <v>791</v>
      </c>
      <c r="Q252" s="188">
        <f t="shared" si="2"/>
        <v>2294889.9999999995</v>
      </c>
      <c r="R252" s="185">
        <f t="shared" si="2"/>
        <v>98</v>
      </c>
      <c r="S252" s="188">
        <f t="shared" si="2"/>
        <v>745995.41</v>
      </c>
      <c r="T252" s="188">
        <f t="shared" si="2"/>
        <v>296287.53000000003</v>
      </c>
      <c r="U252" s="189">
        <f t="shared" si="2"/>
        <v>449707.88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305</v>
      </c>
      <c r="H258" s="193">
        <f t="shared" si="3"/>
        <v>108</v>
      </c>
      <c r="I258" s="193">
        <f t="shared" si="3"/>
        <v>124</v>
      </c>
      <c r="J258" s="194">
        <f t="shared" ref="J258:J260" si="4">SUMIF($G$9:$G$251,F258,$K$9:$K$251)</f>
        <v>179539.08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687</v>
      </c>
      <c r="P258" s="194">
        <f t="shared" ref="P258:P260" si="8">SUMIF($G$9:$G$251,F258,$Q$9:$Q$251)</f>
        <v>2021936.54</v>
      </c>
      <c r="Q258" s="195">
        <f t="shared" ref="Q258:Q260" si="9">SUMIF($G$9:$G$251,F258,$R$9:$R$251)</f>
        <v>98</v>
      </c>
      <c r="R258" s="194">
        <f t="shared" ref="R258:R260" si="10">SUMIF($G$9:$G$251,F258,$S$9:$S$251)</f>
        <v>630507.25000000012</v>
      </c>
      <c r="S258" s="194">
        <f t="shared" ref="S258:T258" si="11">SUMIF($G$9:$G$251,$F$258,T9:T251)</f>
        <v>296287.53000000003</v>
      </c>
      <c r="T258" s="194">
        <f t="shared" si="11"/>
        <v>334219.72000000003</v>
      </c>
      <c r="U258" s="194">
        <f t="shared" ref="U258:U260" si="12">S258+M258</f>
        <v>296287.53000000003</v>
      </c>
      <c r="V258" s="196">
        <f t="shared" ref="V258:V260" si="13">J258-M258+P258-S258</f>
        <v>1905188.09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140</v>
      </c>
      <c r="H259" s="193">
        <f t="shared" si="14"/>
        <v>15</v>
      </c>
      <c r="I259" s="193">
        <f t="shared" si="14"/>
        <v>15</v>
      </c>
      <c r="J259" s="194">
        <f t="shared" si="4"/>
        <v>19967.449999999997</v>
      </c>
      <c r="K259" s="195">
        <f t="shared" si="5"/>
        <v>0</v>
      </c>
      <c r="L259" s="194">
        <f t="shared" si="6"/>
        <v>1344.7</v>
      </c>
      <c r="M259" s="194">
        <f t="shared" ref="M259:O259" si="15">SUMIF($G$9:$G$251,$F$259,N9:N251)</f>
        <v>0</v>
      </c>
      <c r="N259" s="194">
        <f t="shared" si="15"/>
        <v>1344.7</v>
      </c>
      <c r="O259" s="193">
        <f t="shared" si="15"/>
        <v>79</v>
      </c>
      <c r="P259" s="194">
        <f t="shared" si="8"/>
        <v>196635.47000000003</v>
      </c>
      <c r="Q259" s="195">
        <f t="shared" si="9"/>
        <v>0</v>
      </c>
      <c r="R259" s="194">
        <f t="shared" si="10"/>
        <v>115488.16000000002</v>
      </c>
      <c r="S259" s="194">
        <f t="shared" ref="S259:T259" si="16">SUMIF($G$9:$G$251,$F$259,T9:T251)</f>
        <v>0</v>
      </c>
      <c r="T259" s="194">
        <f t="shared" si="16"/>
        <v>115488.16000000002</v>
      </c>
      <c r="U259" s="194">
        <f t="shared" si="12"/>
        <v>0</v>
      </c>
      <c r="V259" s="196">
        <f t="shared" si="13"/>
        <v>216602.92000000004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34</v>
      </c>
      <c r="H260" s="193">
        <f t="shared" si="17"/>
        <v>8</v>
      </c>
      <c r="I260" s="193">
        <f t="shared" si="17"/>
        <v>8</v>
      </c>
      <c r="J260" s="194">
        <f t="shared" si="4"/>
        <v>10853.650000000001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25</v>
      </c>
      <c r="P260" s="194">
        <f t="shared" si="8"/>
        <v>76317.990000000005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87171.640000000014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479</v>
      </c>
      <c r="H261" s="197">
        <f t="shared" si="20"/>
        <v>131</v>
      </c>
      <c r="I261" s="197">
        <f t="shared" si="20"/>
        <v>147</v>
      </c>
      <c r="J261" s="198">
        <f t="shared" si="20"/>
        <v>210360.18</v>
      </c>
      <c r="K261" s="199">
        <f t="shared" si="20"/>
        <v>0</v>
      </c>
      <c r="L261" s="198">
        <f t="shared" si="20"/>
        <v>1344.7</v>
      </c>
      <c r="M261" s="198">
        <f t="shared" si="20"/>
        <v>0</v>
      </c>
      <c r="N261" s="198">
        <f t="shared" si="20"/>
        <v>1344.7</v>
      </c>
      <c r="O261" s="197">
        <f t="shared" si="20"/>
        <v>791</v>
      </c>
      <c r="P261" s="198">
        <f t="shared" si="20"/>
        <v>2294890</v>
      </c>
      <c r="Q261" s="200">
        <f t="shared" si="20"/>
        <v>98</v>
      </c>
      <c r="R261" s="198">
        <f t="shared" si="20"/>
        <v>745995.41000000015</v>
      </c>
      <c r="S261" s="198">
        <f t="shared" si="20"/>
        <v>296287.53000000003</v>
      </c>
      <c r="T261" s="198">
        <f t="shared" si="20"/>
        <v>449707.88000000006</v>
      </c>
      <c r="U261" s="198">
        <f t="shared" si="20"/>
        <v>296287.53000000003</v>
      </c>
      <c r="V261" s="198">
        <f t="shared" si="20"/>
        <v>2208962.6500000004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3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02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6</v>
      </c>
      <c r="I9" s="25"/>
      <c r="J9" s="25"/>
      <c r="K9" s="26"/>
      <c r="L9" s="27"/>
      <c r="M9" s="26">
        <f t="shared" ref="M9:M263" si="0">N9+O9</f>
        <v>0</v>
      </c>
      <c r="N9" s="26"/>
      <c r="O9" s="28"/>
      <c r="P9" s="29">
        <v>7</v>
      </c>
      <c r="Q9" s="30">
        <v>18177.259999999998</v>
      </c>
      <c r="R9" s="205">
        <v>4</v>
      </c>
      <c r="S9" s="26">
        <f t="shared" ref="S9:S31" si="1">T9+U9</f>
        <v>7969.55</v>
      </c>
      <c r="T9" s="30">
        <v>7969.55</v>
      </c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6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2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6</v>
      </c>
      <c r="I13" s="62">
        <v>4</v>
      </c>
      <c r="J13" s="62">
        <v>6</v>
      </c>
      <c r="K13" s="30">
        <v>11503.8</v>
      </c>
      <c r="L13" s="27"/>
      <c r="M13" s="26">
        <f t="shared" si="0"/>
        <v>0</v>
      </c>
      <c r="N13" s="26"/>
      <c r="O13" s="63"/>
      <c r="P13" s="64">
        <v>13</v>
      </c>
      <c r="Q13" s="65">
        <v>52910.82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68">
        <v>15752.2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22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2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2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1</v>
      </c>
      <c r="J19" s="266">
        <v>1</v>
      </c>
      <c r="K19" s="79">
        <v>633.92999999999995</v>
      </c>
      <c r="L19" s="80"/>
      <c r="M19" s="81">
        <f t="shared" si="0"/>
        <v>0</v>
      </c>
      <c r="N19" s="81"/>
      <c r="O19" s="219"/>
      <c r="P19" s="267">
        <v>5</v>
      </c>
      <c r="Q19" s="79">
        <v>7296.52</v>
      </c>
      <c r="R19" s="268">
        <v>1</v>
      </c>
      <c r="S19" s="81">
        <f t="shared" si="1"/>
        <v>1045.98</v>
      </c>
      <c r="T19" s="79">
        <v>1045.98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0</v>
      </c>
      <c r="T20" s="39"/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40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4</v>
      </c>
      <c r="J21" s="203">
        <v>4</v>
      </c>
      <c r="K21" s="65">
        <v>4057.17</v>
      </c>
      <c r="L21" s="51"/>
      <c r="M21" s="50">
        <f t="shared" si="0"/>
        <v>0</v>
      </c>
      <c r="N21" s="50"/>
      <c r="O21" s="31"/>
      <c r="P21" s="53">
        <v>14</v>
      </c>
      <c r="Q21" s="30">
        <v>22822.54</v>
      </c>
      <c r="R21" s="205">
        <v>2</v>
      </c>
      <c r="S21" s="26">
        <f t="shared" si="1"/>
        <v>3564.82</v>
      </c>
      <c r="T21" s="30">
        <v>3564.82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5</v>
      </c>
      <c r="I23" s="62">
        <v>3</v>
      </c>
      <c r="J23" s="62">
        <v>3</v>
      </c>
      <c r="K23" s="62">
        <v>2554.9299999999998</v>
      </c>
      <c r="L23" s="27"/>
      <c r="M23" s="26">
        <f t="shared" si="0"/>
        <v>0</v>
      </c>
      <c r="N23" s="26"/>
      <c r="O23" s="31"/>
      <c r="P23" s="53">
        <v>3</v>
      </c>
      <c r="Q23" s="30">
        <v>4222.78</v>
      </c>
      <c r="R23" s="205">
        <v>1</v>
      </c>
      <c r="S23" s="26">
        <f t="shared" si="1"/>
        <v>1979.72</v>
      </c>
      <c r="T23" s="30">
        <v>1979.72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1</v>
      </c>
      <c r="Q24" s="68">
        <v>1921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6"/>
      <c r="B25" s="377" t="s">
        <v>44</v>
      </c>
      <c r="C25" s="377" t="s">
        <v>39</v>
      </c>
      <c r="D25" s="377" t="s">
        <v>258</v>
      </c>
      <c r="E25" s="377" t="s">
        <v>27</v>
      </c>
      <c r="F25" s="232" t="s">
        <v>259</v>
      </c>
      <c r="G25" s="95" t="s">
        <v>24</v>
      </c>
      <c r="H25" s="48">
        <v>9</v>
      </c>
      <c r="I25" s="203">
        <v>8</v>
      </c>
      <c r="J25" s="203">
        <v>11</v>
      </c>
      <c r="K25" s="65">
        <v>14144.25</v>
      </c>
      <c r="L25" s="51"/>
      <c r="M25" s="50">
        <f t="shared" si="0"/>
        <v>0</v>
      </c>
      <c r="N25" s="50"/>
      <c r="O25" s="31"/>
      <c r="P25" s="53">
        <v>11</v>
      </c>
      <c r="Q25" s="30">
        <v>15248.7</v>
      </c>
      <c r="R25" s="205">
        <v>4</v>
      </c>
      <c r="S25" s="26">
        <f t="shared" si="1"/>
        <v>6437.97</v>
      </c>
      <c r="T25" s="30">
        <v>6437.97</v>
      </c>
      <c r="U25" s="100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9"/>
      <c r="B26" s="380"/>
      <c r="C26" s="380"/>
      <c r="D26" s="380"/>
      <c r="E26" s="380"/>
      <c r="F26" s="221" t="s">
        <v>216</v>
      </c>
      <c r="G26" s="55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4302</v>
      </c>
      <c r="T26" s="68">
        <v>4302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23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7"/>
      <c r="S27" s="26">
        <f t="shared" si="1"/>
        <v>2497.3000000000002</v>
      </c>
      <c r="T27" s="26"/>
      <c r="U27" s="243">
        <v>2497.3000000000002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14247.38</v>
      </c>
      <c r="T28" s="114">
        <v>14247.38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/>
      <c r="D29" s="374"/>
      <c r="E29" s="374"/>
      <c r="F29" s="22"/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0</v>
      </c>
      <c r="T29" s="26"/>
      <c r="U29" s="2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4</v>
      </c>
      <c r="I31" s="203">
        <v>2</v>
      </c>
      <c r="J31" s="203">
        <v>2</v>
      </c>
      <c r="K31" s="65">
        <v>2091.96</v>
      </c>
      <c r="L31" s="51"/>
      <c r="M31" s="50">
        <f t="shared" si="0"/>
        <v>0</v>
      </c>
      <c r="N31" s="50"/>
      <c r="O31" s="31"/>
      <c r="P31" s="108">
        <v>9</v>
      </c>
      <c r="Q31" s="65">
        <v>26163.18</v>
      </c>
      <c r="R31" s="224">
        <v>7</v>
      </c>
      <c r="S31" s="50">
        <f t="shared" si="1"/>
        <v>19258.7</v>
      </c>
      <c r="T31" s="65">
        <v>19258.7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2</v>
      </c>
      <c r="J32" s="130">
        <v>2</v>
      </c>
      <c r="K32" s="114">
        <v>4802.5</v>
      </c>
      <c r="L32" s="44"/>
      <c r="M32" s="43">
        <f t="shared" si="0"/>
        <v>0</v>
      </c>
      <c r="N32" s="43"/>
      <c r="O32" s="45"/>
      <c r="P32" s="113">
        <v>2</v>
      </c>
      <c r="Q32" s="114">
        <v>2593.35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87" si="2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1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1</v>
      </c>
      <c r="S35" s="50">
        <f t="shared" si="2"/>
        <v>3647.94</v>
      </c>
      <c r="T35" s="65">
        <v>1893.47</v>
      </c>
      <c r="U35" s="225">
        <v>1754.47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20" t="s">
        <v>221</v>
      </c>
      <c r="G36" s="35" t="s">
        <v>28</v>
      </c>
      <c r="H36" s="66">
        <v>3</v>
      </c>
      <c r="I36" s="37">
        <v>1</v>
      </c>
      <c r="J36" s="37">
        <v>1</v>
      </c>
      <c r="K36" s="68">
        <v>1152.5999999999999</v>
      </c>
      <c r="L36" s="40"/>
      <c r="M36" s="39">
        <f t="shared" si="0"/>
        <v>0</v>
      </c>
      <c r="N36" s="68"/>
      <c r="O36" s="41"/>
      <c r="P36" s="67">
        <v>2</v>
      </c>
      <c r="Q36" s="68">
        <v>9182.3799999999992</v>
      </c>
      <c r="R36" s="40"/>
      <c r="S36" s="39">
        <f t="shared" si="2"/>
        <v>276.14999999999998</v>
      </c>
      <c r="T36" s="68">
        <v>276.14999999999998</v>
      </c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53</v>
      </c>
      <c r="C37" s="381" t="s">
        <v>46</v>
      </c>
      <c r="D37" s="381" t="s">
        <v>54</v>
      </c>
      <c r="E37" s="381" t="s">
        <v>55</v>
      </c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123"/>
      <c r="Q37" s="50"/>
      <c r="R37" s="51"/>
      <c r="S37" s="50">
        <f t="shared" si="2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6"/>
      <c r="G38" s="227" t="s">
        <v>25</v>
      </c>
      <c r="H38" s="272"/>
      <c r="I38" s="261"/>
      <c r="J38" s="261"/>
      <c r="K38" s="211"/>
      <c r="L38" s="210"/>
      <c r="M38" s="211">
        <f t="shared" si="0"/>
        <v>0</v>
      </c>
      <c r="N38" s="211"/>
      <c r="O38" s="212"/>
      <c r="P38" s="273"/>
      <c r="Q38" s="211"/>
      <c r="R38" s="210"/>
      <c r="S38" s="211">
        <f t="shared" si="2"/>
        <v>0</v>
      </c>
      <c r="T38" s="211"/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372"/>
      <c r="B39" s="374" t="s">
        <v>357</v>
      </c>
      <c r="C39" s="374"/>
      <c r="D39" s="374"/>
      <c r="E39" s="374"/>
      <c r="F39" s="204"/>
      <c r="G39" s="213" t="s">
        <v>24</v>
      </c>
      <c r="H39" s="104"/>
      <c r="I39" s="25"/>
      <c r="J39" s="25"/>
      <c r="K39" s="26"/>
      <c r="L39" s="27"/>
      <c r="M39" s="26">
        <f t="shared" si="0"/>
        <v>0</v>
      </c>
      <c r="N39" s="26"/>
      <c r="O39" s="28"/>
      <c r="P39" s="214"/>
      <c r="Q39" s="30"/>
      <c r="R39" s="27"/>
      <c r="S39" s="26">
        <f t="shared" si="2"/>
        <v>0</v>
      </c>
      <c r="T39" s="26"/>
      <c r="U39" s="241"/>
      <c r="V39" s="4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32" ht="15.75" customHeight="1">
      <c r="A40" s="373"/>
      <c r="B40" s="375"/>
      <c r="C40" s="375"/>
      <c r="D40" s="375"/>
      <c r="E40" s="375"/>
      <c r="F40" s="220"/>
      <c r="G40" s="215" t="s">
        <v>28</v>
      </c>
      <c r="H40" s="117">
        <v>2</v>
      </c>
      <c r="I40" s="38"/>
      <c r="J40" s="38"/>
      <c r="K40" s="39"/>
      <c r="L40" s="40"/>
      <c r="M40" s="39">
        <f t="shared" si="0"/>
        <v>0</v>
      </c>
      <c r="N40" s="39"/>
      <c r="O40" s="41"/>
      <c r="P40" s="217"/>
      <c r="Q40" s="68"/>
      <c r="R40" s="40"/>
      <c r="S40" s="39">
        <f t="shared" si="2"/>
        <v>0</v>
      </c>
      <c r="T40" s="39"/>
      <c r="U40" s="234"/>
      <c r="V40" s="4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</row>
    <row r="41" spans="1:32" ht="15.75" customHeight="1">
      <c r="A41" s="376"/>
      <c r="B41" s="377" t="s">
        <v>56</v>
      </c>
      <c r="C41" s="377" t="s">
        <v>39</v>
      </c>
      <c r="D41" s="377" t="s">
        <v>281</v>
      </c>
      <c r="E41" s="377" t="s">
        <v>58</v>
      </c>
      <c r="F41" s="232" t="s">
        <v>283</v>
      </c>
      <c r="G41" s="95" t="s">
        <v>24</v>
      </c>
      <c r="H41" s="74"/>
      <c r="I41" s="96"/>
      <c r="J41" s="96"/>
      <c r="K41" s="81"/>
      <c r="L41" s="80"/>
      <c r="M41" s="81">
        <f t="shared" si="0"/>
        <v>0</v>
      </c>
      <c r="N41" s="81"/>
      <c r="O41" s="219"/>
      <c r="P41" s="267">
        <v>3</v>
      </c>
      <c r="Q41" s="79">
        <v>4264.95</v>
      </c>
      <c r="R41" s="268">
        <v>2</v>
      </c>
      <c r="S41" s="81">
        <f t="shared" si="2"/>
        <v>2055.75</v>
      </c>
      <c r="T41" s="79">
        <v>2055.75</v>
      </c>
      <c r="U41" s="269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2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6</v>
      </c>
      <c r="I43" s="203">
        <v>5</v>
      </c>
      <c r="J43" s="203">
        <v>5</v>
      </c>
      <c r="K43" s="65">
        <v>5196.7</v>
      </c>
      <c r="L43" s="51"/>
      <c r="M43" s="50">
        <f t="shared" si="0"/>
        <v>0</v>
      </c>
      <c r="N43" s="50"/>
      <c r="O43" s="52"/>
      <c r="P43" s="53">
        <v>20</v>
      </c>
      <c r="Q43" s="30">
        <v>79577.89</v>
      </c>
      <c r="R43" s="205">
        <v>8</v>
      </c>
      <c r="S43" s="26">
        <f t="shared" si="2"/>
        <v>44991.43</v>
      </c>
      <c r="T43" s="30">
        <v>44991.43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226"/>
      <c r="G44" s="227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358</v>
      </c>
      <c r="C45" s="374"/>
      <c r="D45" s="374"/>
      <c r="E45" s="374"/>
      <c r="F45" s="60"/>
      <c r="G45" s="213" t="s">
        <v>24</v>
      </c>
      <c r="H45" s="104"/>
      <c r="I45" s="25"/>
      <c r="J45" s="25"/>
      <c r="K45" s="26"/>
      <c r="L45" s="27"/>
      <c r="M45" s="26">
        <f t="shared" si="0"/>
        <v>0</v>
      </c>
      <c r="N45" s="26"/>
      <c r="O45" s="28"/>
      <c r="P45" s="275"/>
      <c r="Q45" s="26"/>
      <c r="R45" s="27"/>
      <c r="S45" s="26">
        <f t="shared" si="2"/>
        <v>0</v>
      </c>
      <c r="T45" s="26"/>
      <c r="U45" s="2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34"/>
      <c r="G46" s="215" t="s">
        <v>28</v>
      </c>
      <c r="H46" s="117">
        <v>1</v>
      </c>
      <c r="I46" s="37">
        <v>1</v>
      </c>
      <c r="J46" s="37">
        <v>1</v>
      </c>
      <c r="K46" s="68">
        <v>576.29999999999995</v>
      </c>
      <c r="L46" s="40"/>
      <c r="M46" s="39">
        <f t="shared" si="0"/>
        <v>0</v>
      </c>
      <c r="N46" s="39"/>
      <c r="O46" s="41"/>
      <c r="P46" s="276"/>
      <c r="Q46" s="39"/>
      <c r="R46" s="40"/>
      <c r="S46" s="39">
        <f t="shared" si="2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60</v>
      </c>
      <c r="C47" s="374" t="s">
        <v>39</v>
      </c>
      <c r="D47" s="374" t="s">
        <v>61</v>
      </c>
      <c r="E47" s="383" t="s">
        <v>27</v>
      </c>
      <c r="F47" s="60"/>
      <c r="G47" s="176" t="s">
        <v>24</v>
      </c>
      <c r="H47" s="74"/>
      <c r="I47" s="96"/>
      <c r="J47" s="96"/>
      <c r="K47" s="81"/>
      <c r="L47" s="80"/>
      <c r="M47" s="81">
        <f t="shared" si="0"/>
        <v>0</v>
      </c>
      <c r="N47" s="81"/>
      <c r="O47" s="97"/>
      <c r="P47" s="277"/>
      <c r="Q47" s="81"/>
      <c r="R47" s="80"/>
      <c r="S47" s="81">
        <f t="shared" si="2"/>
        <v>0</v>
      </c>
      <c r="T47" s="81"/>
      <c r="U47" s="82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401"/>
      <c r="F48" s="34"/>
      <c r="G48" s="229" t="s">
        <v>28</v>
      </c>
      <c r="H48" s="102"/>
      <c r="I48" s="57"/>
      <c r="J48" s="57"/>
      <c r="K48" s="43"/>
      <c r="L48" s="44"/>
      <c r="M48" s="43">
        <f t="shared" si="0"/>
        <v>0</v>
      </c>
      <c r="N48" s="43"/>
      <c r="O48" s="58"/>
      <c r="P48" s="59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62</v>
      </c>
      <c r="C49" s="374" t="s">
        <v>39</v>
      </c>
      <c r="D49" s="374" t="s">
        <v>63</v>
      </c>
      <c r="E49" s="374" t="s">
        <v>27</v>
      </c>
      <c r="F49" s="232" t="s">
        <v>359</v>
      </c>
      <c r="G49" s="23" t="s">
        <v>24</v>
      </c>
      <c r="H49" s="24">
        <v>4</v>
      </c>
      <c r="I49" s="62">
        <v>2</v>
      </c>
      <c r="J49" s="62">
        <v>2</v>
      </c>
      <c r="K49" s="30">
        <v>1889.58</v>
      </c>
      <c r="L49" s="27"/>
      <c r="M49" s="26">
        <f t="shared" si="0"/>
        <v>0</v>
      </c>
      <c r="N49" s="26"/>
      <c r="O49" s="31"/>
      <c r="P49" s="108">
        <v>2</v>
      </c>
      <c r="Q49" s="65">
        <v>3734.91</v>
      </c>
      <c r="R49" s="224">
        <v>2</v>
      </c>
      <c r="S49" s="50">
        <f t="shared" si="2"/>
        <v>3734.91</v>
      </c>
      <c r="T49" s="65">
        <v>3734.91</v>
      </c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35" t="s">
        <v>28</v>
      </c>
      <c r="H50" s="66">
        <v>4</v>
      </c>
      <c r="I50" s="38"/>
      <c r="J50" s="38"/>
      <c r="K50" s="39"/>
      <c r="L50" s="40"/>
      <c r="M50" s="39">
        <f t="shared" si="0"/>
        <v>0</v>
      </c>
      <c r="N50" s="39"/>
      <c r="O50" s="41"/>
      <c r="P50" s="115">
        <v>5</v>
      </c>
      <c r="Q50" s="68">
        <v>7947.9</v>
      </c>
      <c r="R50" s="40"/>
      <c r="S50" s="39">
        <f t="shared" si="2"/>
        <v>2209.1999999999998</v>
      </c>
      <c r="T50" s="68">
        <v>2209.1999999999998</v>
      </c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3" t="s">
        <v>360</v>
      </c>
      <c r="G51" s="176" t="s">
        <v>24</v>
      </c>
      <c r="H51" s="278">
        <v>1</v>
      </c>
      <c r="I51" s="203">
        <v>1</v>
      </c>
      <c r="J51" s="203">
        <v>1</v>
      </c>
      <c r="K51" s="65">
        <v>1973.25</v>
      </c>
      <c r="L51" s="51"/>
      <c r="M51" s="50">
        <f t="shared" si="0"/>
        <v>0</v>
      </c>
      <c r="N51" s="50"/>
      <c r="O51" s="31"/>
      <c r="P51" s="53">
        <v>2</v>
      </c>
      <c r="Q51" s="30">
        <v>5899.35</v>
      </c>
      <c r="R51" s="27"/>
      <c r="S51" s="26">
        <f t="shared" si="2"/>
        <v>1854.88</v>
      </c>
      <c r="T51" s="26"/>
      <c r="U51" s="243">
        <v>1854.88</v>
      </c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6</v>
      </c>
      <c r="I53" s="62">
        <v>5</v>
      </c>
      <c r="J53" s="62">
        <v>6</v>
      </c>
      <c r="K53" s="30">
        <v>10625.63</v>
      </c>
      <c r="L53" s="27"/>
      <c r="M53" s="26">
        <f t="shared" si="0"/>
        <v>0</v>
      </c>
      <c r="N53" s="26"/>
      <c r="O53" s="31"/>
      <c r="P53" s="53">
        <v>6</v>
      </c>
      <c r="Q53" s="30">
        <v>45189.01</v>
      </c>
      <c r="R53" s="205">
        <v>1</v>
      </c>
      <c r="S53" s="26">
        <f t="shared" si="2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4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2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284</v>
      </c>
      <c r="E55" s="381" t="s">
        <v>55</v>
      </c>
      <c r="F55" s="223" t="s">
        <v>285</v>
      </c>
      <c r="G55" s="47" t="s">
        <v>24</v>
      </c>
      <c r="H55" s="48">
        <v>9</v>
      </c>
      <c r="I55" s="203">
        <v>3</v>
      </c>
      <c r="J55" s="203">
        <v>4</v>
      </c>
      <c r="K55" s="65">
        <v>3534.63</v>
      </c>
      <c r="L55" s="51"/>
      <c r="M55" s="50">
        <f t="shared" si="0"/>
        <v>0</v>
      </c>
      <c r="N55" s="50"/>
      <c r="O55" s="31"/>
      <c r="P55" s="53">
        <v>31</v>
      </c>
      <c r="Q55" s="30">
        <v>70755.789999999994</v>
      </c>
      <c r="R55" s="205">
        <v>12</v>
      </c>
      <c r="S55" s="26">
        <f t="shared" si="2"/>
        <v>26448.86</v>
      </c>
      <c r="T55" s="30">
        <v>26448.86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226"/>
      <c r="G56" s="227" t="s">
        <v>25</v>
      </c>
      <c r="H56" s="272"/>
      <c r="I56" s="261"/>
      <c r="J56" s="261"/>
      <c r="K56" s="211"/>
      <c r="L56" s="210"/>
      <c r="M56" s="211">
        <f t="shared" si="0"/>
        <v>0</v>
      </c>
      <c r="N56" s="211"/>
      <c r="O56" s="212"/>
      <c r="P56" s="273"/>
      <c r="Q56" s="211"/>
      <c r="R56" s="210"/>
      <c r="S56" s="211">
        <f t="shared" si="2"/>
        <v>0</v>
      </c>
      <c r="T56" s="211"/>
      <c r="U56" s="21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361</v>
      </c>
      <c r="C57" s="374"/>
      <c r="D57" s="374"/>
      <c r="E57" s="374"/>
      <c r="F57" s="60"/>
      <c r="G57" s="213" t="s">
        <v>24</v>
      </c>
      <c r="H57" s="24"/>
      <c r="I57" s="62"/>
      <c r="J57" s="62"/>
      <c r="K57" s="30"/>
      <c r="L57" s="27"/>
      <c r="M57" s="26">
        <f t="shared" si="0"/>
        <v>0</v>
      </c>
      <c r="N57" s="26"/>
      <c r="O57" s="28"/>
      <c r="P57" s="214"/>
      <c r="Q57" s="30"/>
      <c r="R57" s="27"/>
      <c r="S57" s="26">
        <f t="shared" si="2"/>
        <v>0</v>
      </c>
      <c r="T57" s="26"/>
      <c r="U57" s="2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247"/>
      <c r="G58" s="279" t="s">
        <v>28</v>
      </c>
      <c r="H58" s="207">
        <v>2</v>
      </c>
      <c r="I58" s="208"/>
      <c r="J58" s="208"/>
      <c r="K58" s="209"/>
      <c r="L58" s="210"/>
      <c r="M58" s="211">
        <f t="shared" si="0"/>
        <v>0</v>
      </c>
      <c r="N58" s="211"/>
      <c r="O58" s="212"/>
      <c r="P58" s="280"/>
      <c r="Q58" s="209"/>
      <c r="R58" s="210"/>
      <c r="S58" s="211">
        <f t="shared" si="2"/>
        <v>0</v>
      </c>
      <c r="T58" s="211"/>
      <c r="U58" s="212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362</v>
      </c>
      <c r="C59" s="374"/>
      <c r="D59" s="374"/>
      <c r="E59" s="374"/>
      <c r="F59" s="60"/>
      <c r="G59" s="176" t="s">
        <v>24</v>
      </c>
      <c r="H59" s="248"/>
      <c r="I59" s="62"/>
      <c r="J59" s="62"/>
      <c r="K59" s="30"/>
      <c r="L59" s="27"/>
      <c r="M59" s="26">
        <f t="shared" si="0"/>
        <v>0</v>
      </c>
      <c r="N59" s="26"/>
      <c r="O59" s="28"/>
      <c r="P59" s="214"/>
      <c r="Q59" s="30"/>
      <c r="R59" s="27"/>
      <c r="S59" s="26">
        <f t="shared" si="2"/>
        <v>0</v>
      </c>
      <c r="T59" s="26"/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4"/>
      <c r="G60" s="229" t="s">
        <v>28</v>
      </c>
      <c r="H60" s="258">
        <v>3</v>
      </c>
      <c r="I60" s="37"/>
      <c r="J60" s="37"/>
      <c r="K60" s="68"/>
      <c r="L60" s="40"/>
      <c r="M60" s="39">
        <f t="shared" si="0"/>
        <v>0</v>
      </c>
      <c r="N60" s="39"/>
      <c r="O60" s="41"/>
      <c r="P60" s="217"/>
      <c r="Q60" s="68"/>
      <c r="R60" s="40"/>
      <c r="S60" s="39">
        <f t="shared" si="2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72</v>
      </c>
      <c r="C61" s="377" t="s">
        <v>39</v>
      </c>
      <c r="D61" s="377" t="s">
        <v>363</v>
      </c>
      <c r="E61" s="377" t="s">
        <v>27</v>
      </c>
      <c r="F61" s="232" t="s">
        <v>364</v>
      </c>
      <c r="G61" s="95" t="s">
        <v>24</v>
      </c>
      <c r="H61" s="281">
        <v>3</v>
      </c>
      <c r="I61" s="266">
        <v>1</v>
      </c>
      <c r="J61" s="266">
        <v>1</v>
      </c>
      <c r="K61" s="79">
        <v>768.4</v>
      </c>
      <c r="L61" s="80"/>
      <c r="M61" s="81">
        <f t="shared" si="0"/>
        <v>0</v>
      </c>
      <c r="N61" s="81"/>
      <c r="O61" s="219"/>
      <c r="P61" s="267">
        <v>3</v>
      </c>
      <c r="Q61" s="79">
        <v>3362.45</v>
      </c>
      <c r="R61" s="80"/>
      <c r="S61" s="81">
        <f t="shared" si="2"/>
        <v>3104.71</v>
      </c>
      <c r="T61" s="81"/>
      <c r="U61" s="269">
        <v>3104.71</v>
      </c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9"/>
      <c r="B62" s="380"/>
      <c r="C62" s="380"/>
      <c r="D62" s="380"/>
      <c r="E62" s="380"/>
      <c r="F62" s="233" t="s">
        <v>223</v>
      </c>
      <c r="G62" s="227" t="s">
        <v>28</v>
      </c>
      <c r="H62" s="112">
        <v>3</v>
      </c>
      <c r="I62" s="130">
        <v>1</v>
      </c>
      <c r="J62" s="130">
        <v>1</v>
      </c>
      <c r="K62" s="114">
        <v>1344.7</v>
      </c>
      <c r="L62" s="128"/>
      <c r="M62" s="129">
        <f t="shared" si="0"/>
        <v>0</v>
      </c>
      <c r="N62" s="43"/>
      <c r="O62" s="45"/>
      <c r="P62" s="103"/>
      <c r="Q62" s="43"/>
      <c r="R62" s="128"/>
      <c r="S62" s="129">
        <f t="shared" si="2"/>
        <v>0</v>
      </c>
      <c r="T62" s="43"/>
      <c r="U62" s="4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73</v>
      </c>
      <c r="C63" s="374" t="s">
        <v>22</v>
      </c>
      <c r="D63" s="374"/>
      <c r="E63" s="374" t="s">
        <v>27</v>
      </c>
      <c r="F63" s="204" t="s">
        <v>209</v>
      </c>
      <c r="G63" s="176" t="s">
        <v>24</v>
      </c>
      <c r="H63" s="61">
        <v>3</v>
      </c>
      <c r="I63" s="62">
        <v>1</v>
      </c>
      <c r="J63" s="62">
        <v>1</v>
      </c>
      <c r="K63" s="30">
        <v>950.9</v>
      </c>
      <c r="L63" s="27"/>
      <c r="M63" s="26">
        <f t="shared" si="0"/>
        <v>0</v>
      </c>
      <c r="N63" s="26"/>
      <c r="O63" s="28"/>
      <c r="P63" s="29">
        <v>8</v>
      </c>
      <c r="Q63" s="30">
        <v>15651.3</v>
      </c>
      <c r="R63" s="205">
        <v>5</v>
      </c>
      <c r="S63" s="26">
        <f t="shared" si="2"/>
        <v>13580.02</v>
      </c>
      <c r="T63" s="30">
        <v>9062.41</v>
      </c>
      <c r="U63" s="241">
        <v>4517.6099999999997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105"/>
      <c r="G64" s="229" t="s">
        <v>28</v>
      </c>
      <c r="H64" s="106"/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2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74</v>
      </c>
      <c r="C65" s="377" t="s">
        <v>39</v>
      </c>
      <c r="D65" s="377" t="s">
        <v>264</v>
      </c>
      <c r="E65" s="377" t="s">
        <v>27</v>
      </c>
      <c r="F65" s="223" t="s">
        <v>265</v>
      </c>
      <c r="G65" s="95" t="s">
        <v>24</v>
      </c>
      <c r="H65" s="48">
        <v>2</v>
      </c>
      <c r="I65" s="49"/>
      <c r="J65" s="49"/>
      <c r="K65" s="50"/>
      <c r="L65" s="51"/>
      <c r="M65" s="50">
        <f t="shared" si="0"/>
        <v>0</v>
      </c>
      <c r="N65" s="50"/>
      <c r="O65" s="31"/>
      <c r="P65" s="108">
        <v>12</v>
      </c>
      <c r="Q65" s="65">
        <v>44651.57</v>
      </c>
      <c r="R65" s="224">
        <v>5</v>
      </c>
      <c r="S65" s="50">
        <f t="shared" si="2"/>
        <v>19918.689999999999</v>
      </c>
      <c r="T65" s="65">
        <v>19918.689999999999</v>
      </c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221" t="s">
        <v>286</v>
      </c>
      <c r="G66" s="55" t="s">
        <v>28</v>
      </c>
      <c r="H66" s="56">
        <v>1</v>
      </c>
      <c r="I66" s="130"/>
      <c r="J66" s="130"/>
      <c r="K66" s="43"/>
      <c r="L66" s="44"/>
      <c r="M66" s="43">
        <f t="shared" si="0"/>
        <v>0</v>
      </c>
      <c r="N66" s="43"/>
      <c r="O66" s="41"/>
      <c r="P66" s="113">
        <v>1</v>
      </c>
      <c r="Q66" s="114">
        <v>2881.5</v>
      </c>
      <c r="R66" s="44"/>
      <c r="S66" s="43">
        <f t="shared" si="2"/>
        <v>2881.5</v>
      </c>
      <c r="T66" s="114">
        <v>2881.5</v>
      </c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76</v>
      </c>
      <c r="C67" s="374" t="s">
        <v>22</v>
      </c>
      <c r="D67" s="374"/>
      <c r="E67" s="374" t="s">
        <v>77</v>
      </c>
      <c r="F67" s="22"/>
      <c r="G67" s="23" t="s">
        <v>24</v>
      </c>
      <c r="H67" s="61">
        <v>5</v>
      </c>
      <c r="I67" s="62">
        <v>2</v>
      </c>
      <c r="J67" s="62">
        <v>3</v>
      </c>
      <c r="K67" s="30">
        <v>6129.52</v>
      </c>
      <c r="L67" s="27"/>
      <c r="M67" s="26">
        <f t="shared" si="0"/>
        <v>0</v>
      </c>
      <c r="N67" s="26"/>
      <c r="O67" s="31"/>
      <c r="P67" s="29">
        <v>4</v>
      </c>
      <c r="Q67" s="30">
        <v>2984.28</v>
      </c>
      <c r="R67" s="27"/>
      <c r="S67" s="26">
        <f t="shared" si="2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220" t="s">
        <v>287</v>
      </c>
      <c r="G68" s="35" t="s">
        <v>28</v>
      </c>
      <c r="H68" s="117">
        <v>3</v>
      </c>
      <c r="I68" s="38"/>
      <c r="J68" s="38"/>
      <c r="K68" s="39"/>
      <c r="L68" s="40"/>
      <c r="M68" s="39">
        <f t="shared" si="0"/>
        <v>0</v>
      </c>
      <c r="N68" s="39"/>
      <c r="O68" s="41"/>
      <c r="P68" s="69"/>
      <c r="Q68" s="39"/>
      <c r="R68" s="40"/>
      <c r="S68" s="39">
        <f t="shared" si="2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78</v>
      </c>
      <c r="C69" s="381"/>
      <c r="D69" s="381"/>
      <c r="E69" s="381"/>
      <c r="F69" s="46"/>
      <c r="G69" s="47" t="s">
        <v>24</v>
      </c>
      <c r="H69" s="48">
        <v>1</v>
      </c>
      <c r="I69" s="203">
        <v>1</v>
      </c>
      <c r="J69" s="203">
        <v>1</v>
      </c>
      <c r="K69" s="65">
        <v>633.92999999999995</v>
      </c>
      <c r="L69" s="51"/>
      <c r="M69" s="50">
        <f t="shared" si="0"/>
        <v>0</v>
      </c>
      <c r="N69" s="50"/>
      <c r="O69" s="31"/>
      <c r="P69" s="123"/>
      <c r="Q69" s="50"/>
      <c r="R69" s="51"/>
      <c r="S69" s="50">
        <f t="shared" si="2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26"/>
      <c r="G70" s="55" t="s">
        <v>28</v>
      </c>
      <c r="H70" s="131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2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79</v>
      </c>
      <c r="C71" s="374" t="s">
        <v>22</v>
      </c>
      <c r="D71" s="374"/>
      <c r="E71" s="374" t="s">
        <v>50</v>
      </c>
      <c r="F71" s="22"/>
      <c r="G71" s="23" t="s">
        <v>24</v>
      </c>
      <c r="H71" s="61">
        <v>5</v>
      </c>
      <c r="I71" s="25"/>
      <c r="J71" s="25"/>
      <c r="K71" s="26"/>
      <c r="L71" s="27"/>
      <c r="M71" s="26">
        <f t="shared" si="0"/>
        <v>0</v>
      </c>
      <c r="N71" s="26"/>
      <c r="O71" s="31"/>
      <c r="P71" s="53">
        <v>1</v>
      </c>
      <c r="Q71" s="30">
        <v>1505.87</v>
      </c>
      <c r="R71" s="27"/>
      <c r="S71" s="26">
        <f t="shared" si="2"/>
        <v>0</v>
      </c>
      <c r="T71" s="26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25</v>
      </c>
      <c r="H72" s="117">
        <v>2</v>
      </c>
      <c r="I72" s="38"/>
      <c r="J72" s="38"/>
      <c r="K72" s="39"/>
      <c r="L72" s="40"/>
      <c r="M72" s="39">
        <f t="shared" si="0"/>
        <v>0</v>
      </c>
      <c r="N72" s="39"/>
      <c r="O72" s="41"/>
      <c r="P72" s="59"/>
      <c r="Q72" s="39"/>
      <c r="R72" s="40"/>
      <c r="S72" s="39">
        <f t="shared" si="2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80</v>
      </c>
      <c r="C73" s="381" t="s">
        <v>22</v>
      </c>
      <c r="D73" s="381"/>
      <c r="E73" s="381" t="s">
        <v>67</v>
      </c>
      <c r="F73" s="46"/>
      <c r="G73" s="47" t="s">
        <v>24</v>
      </c>
      <c r="H73" s="48">
        <v>7</v>
      </c>
      <c r="I73" s="203">
        <v>4</v>
      </c>
      <c r="J73" s="203">
        <v>4</v>
      </c>
      <c r="K73" s="65">
        <v>3878.5</v>
      </c>
      <c r="L73" s="51"/>
      <c r="M73" s="50">
        <f t="shared" si="0"/>
        <v>0</v>
      </c>
      <c r="N73" s="50"/>
      <c r="O73" s="31"/>
      <c r="P73" s="108">
        <v>6</v>
      </c>
      <c r="Q73" s="65">
        <v>19829.79</v>
      </c>
      <c r="R73" s="51"/>
      <c r="S73" s="50">
        <f t="shared" si="2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9"/>
      <c r="B74" s="380"/>
      <c r="C74" s="380"/>
      <c r="D74" s="380"/>
      <c r="E74" s="380"/>
      <c r="F74" s="226"/>
      <c r="G74" s="227" t="s">
        <v>28</v>
      </c>
      <c r="H74" s="118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2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81</v>
      </c>
      <c r="C75" s="374" t="s">
        <v>39</v>
      </c>
      <c r="D75" s="374" t="s">
        <v>224</v>
      </c>
      <c r="E75" s="374" t="s">
        <v>65</v>
      </c>
      <c r="F75" s="204" t="s">
        <v>225</v>
      </c>
      <c r="G75" s="176" t="s">
        <v>24</v>
      </c>
      <c r="H75" s="248">
        <v>15</v>
      </c>
      <c r="I75" s="62">
        <v>9</v>
      </c>
      <c r="J75" s="62">
        <v>12</v>
      </c>
      <c r="K75" s="30">
        <v>28236.43</v>
      </c>
      <c r="L75" s="27"/>
      <c r="M75" s="26">
        <f t="shared" si="0"/>
        <v>0</v>
      </c>
      <c r="N75" s="26"/>
      <c r="O75" s="31"/>
      <c r="P75" s="29">
        <v>21</v>
      </c>
      <c r="Q75" s="30">
        <v>62849.760000000002</v>
      </c>
      <c r="R75" s="205">
        <v>5</v>
      </c>
      <c r="S75" s="26">
        <f t="shared" si="2"/>
        <v>10367.34</v>
      </c>
      <c r="T75" s="30">
        <v>10367.34</v>
      </c>
      <c r="U75" s="225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247"/>
      <c r="G76" s="282" t="s">
        <v>28</v>
      </c>
      <c r="H76" s="283"/>
      <c r="I76" s="261"/>
      <c r="J76" s="261"/>
      <c r="K76" s="211"/>
      <c r="L76" s="210"/>
      <c r="M76" s="211">
        <f t="shared" si="0"/>
        <v>0</v>
      </c>
      <c r="N76" s="211"/>
      <c r="O76" s="212"/>
      <c r="P76" s="284"/>
      <c r="Q76" s="211"/>
      <c r="R76" s="210"/>
      <c r="S76" s="211">
        <f t="shared" si="2"/>
        <v>0</v>
      </c>
      <c r="T76" s="211"/>
      <c r="U76" s="212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365</v>
      </c>
      <c r="C77" s="374"/>
      <c r="D77" s="378"/>
      <c r="E77" s="374"/>
      <c r="F77" s="60"/>
      <c r="G77" s="213" t="s">
        <v>24</v>
      </c>
      <c r="H77" s="24"/>
      <c r="I77" s="62"/>
      <c r="J77" s="62"/>
      <c r="K77" s="30"/>
      <c r="L77" s="27"/>
      <c r="M77" s="26">
        <f t="shared" si="0"/>
        <v>0</v>
      </c>
      <c r="N77" s="26"/>
      <c r="O77" s="28"/>
      <c r="P77" s="214"/>
      <c r="Q77" s="30"/>
      <c r="R77" s="27"/>
      <c r="S77" s="26">
        <f t="shared" si="2"/>
        <v>0</v>
      </c>
      <c r="T77" s="26"/>
      <c r="U77" s="2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215" t="s">
        <v>28</v>
      </c>
      <c r="H78" s="66">
        <v>2</v>
      </c>
      <c r="I78" s="37"/>
      <c r="J78" s="37"/>
      <c r="K78" s="68"/>
      <c r="L78" s="40"/>
      <c r="M78" s="39">
        <f t="shared" si="0"/>
        <v>0</v>
      </c>
      <c r="N78" s="39"/>
      <c r="O78" s="41"/>
      <c r="P78" s="217"/>
      <c r="Q78" s="68"/>
      <c r="R78" s="40"/>
      <c r="S78" s="39">
        <f t="shared" si="2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6"/>
      <c r="B79" s="377" t="s">
        <v>82</v>
      </c>
      <c r="C79" s="377" t="s">
        <v>22</v>
      </c>
      <c r="D79" s="400"/>
      <c r="E79" s="377" t="s">
        <v>83</v>
      </c>
      <c r="F79" s="76"/>
      <c r="G79" s="95" t="s">
        <v>24</v>
      </c>
      <c r="H79" s="281">
        <v>6</v>
      </c>
      <c r="I79" s="266">
        <v>3</v>
      </c>
      <c r="J79" s="266">
        <v>4</v>
      </c>
      <c r="K79" s="79">
        <v>5917.36</v>
      </c>
      <c r="L79" s="80"/>
      <c r="M79" s="81">
        <f t="shared" si="0"/>
        <v>0</v>
      </c>
      <c r="N79" s="81"/>
      <c r="O79" s="219"/>
      <c r="P79" s="267">
        <v>9</v>
      </c>
      <c r="Q79" s="79">
        <v>14307.26</v>
      </c>
      <c r="R79" s="80"/>
      <c r="S79" s="81">
        <f t="shared" si="2"/>
        <v>0</v>
      </c>
      <c r="T79" s="81"/>
      <c r="U79" s="219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54"/>
      <c r="G80" s="55" t="s">
        <v>25</v>
      </c>
      <c r="H80" s="121">
        <v>1</v>
      </c>
      <c r="I80" s="130">
        <v>1</v>
      </c>
      <c r="J80" s="130">
        <v>1</v>
      </c>
      <c r="K80" s="114">
        <v>1344.7</v>
      </c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2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84</v>
      </c>
      <c r="C81" s="374"/>
      <c r="D81" s="378"/>
      <c r="E81" s="374"/>
      <c r="F81" s="60"/>
      <c r="G81" s="23" t="s">
        <v>24</v>
      </c>
      <c r="H81" s="119"/>
      <c r="I81" s="25"/>
      <c r="J81" s="25"/>
      <c r="K81" s="26"/>
      <c r="L81" s="27"/>
      <c r="M81" s="26">
        <f t="shared" si="0"/>
        <v>0</v>
      </c>
      <c r="N81" s="26"/>
      <c r="O81" s="31"/>
      <c r="P81" s="120"/>
      <c r="Q81" s="26"/>
      <c r="R81" s="27"/>
      <c r="S81" s="26">
        <f t="shared" si="2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132"/>
      <c r="G82" s="35" t="s">
        <v>28</v>
      </c>
      <c r="H82" s="36"/>
      <c r="I82" s="38"/>
      <c r="J82" s="38"/>
      <c r="K82" s="39"/>
      <c r="L82" s="40"/>
      <c r="M82" s="39">
        <f t="shared" si="0"/>
        <v>0</v>
      </c>
      <c r="N82" s="39"/>
      <c r="O82" s="41"/>
      <c r="P82" s="69"/>
      <c r="Q82" s="39"/>
      <c r="R82" s="40"/>
      <c r="S82" s="39">
        <f t="shared" si="2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85</v>
      </c>
      <c r="C83" s="381" t="s">
        <v>22</v>
      </c>
      <c r="D83" s="385"/>
      <c r="E83" s="381" t="s">
        <v>27</v>
      </c>
      <c r="F83" s="127"/>
      <c r="G83" s="47" t="s">
        <v>24</v>
      </c>
      <c r="H83" s="98"/>
      <c r="I83" s="49"/>
      <c r="J83" s="49"/>
      <c r="K83" s="50"/>
      <c r="L83" s="51"/>
      <c r="M83" s="50">
        <f t="shared" si="0"/>
        <v>0</v>
      </c>
      <c r="N83" s="50"/>
      <c r="O83" s="31"/>
      <c r="P83" s="108">
        <v>1</v>
      </c>
      <c r="Q83" s="65">
        <v>405.02</v>
      </c>
      <c r="R83" s="51"/>
      <c r="S83" s="50">
        <f t="shared" si="2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80"/>
      <c r="E84" s="380"/>
      <c r="F84" s="226"/>
      <c r="G84" s="227" t="s">
        <v>28</v>
      </c>
      <c r="H84" s="116"/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2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86</v>
      </c>
      <c r="C85" s="374" t="s">
        <v>39</v>
      </c>
      <c r="D85" s="374" t="s">
        <v>266</v>
      </c>
      <c r="E85" s="374" t="s">
        <v>23</v>
      </c>
      <c r="F85" s="204" t="s">
        <v>267</v>
      </c>
      <c r="G85" s="176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3</v>
      </c>
      <c r="Q85" s="30">
        <v>7652.33</v>
      </c>
      <c r="R85" s="205">
        <v>2</v>
      </c>
      <c r="S85" s="26">
        <f t="shared" si="2"/>
        <v>5673.46</v>
      </c>
      <c r="T85" s="30">
        <v>5673.46</v>
      </c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105"/>
      <c r="G86" s="229" t="s">
        <v>25</v>
      </c>
      <c r="H86" s="118"/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2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87</v>
      </c>
      <c r="C87" s="374" t="s">
        <v>39</v>
      </c>
      <c r="D87" s="374" t="s">
        <v>88</v>
      </c>
      <c r="E87" s="374" t="s">
        <v>89</v>
      </c>
      <c r="F87" s="232" t="s">
        <v>268</v>
      </c>
      <c r="G87" s="23" t="s">
        <v>24</v>
      </c>
      <c r="H87" s="61">
        <v>11</v>
      </c>
      <c r="I87" s="62">
        <v>2</v>
      </c>
      <c r="J87" s="62">
        <v>2</v>
      </c>
      <c r="K87" s="30">
        <v>4734.3</v>
      </c>
      <c r="L87" s="27"/>
      <c r="M87" s="26">
        <f t="shared" si="0"/>
        <v>0</v>
      </c>
      <c r="N87" s="26"/>
      <c r="O87" s="31"/>
      <c r="P87" s="53">
        <v>6</v>
      </c>
      <c r="Q87" s="30">
        <v>16855.12</v>
      </c>
      <c r="R87" s="205">
        <v>2</v>
      </c>
      <c r="S87" s="26">
        <f t="shared" si="2"/>
        <v>5094.8</v>
      </c>
      <c r="T87" s="30">
        <v>5094.8</v>
      </c>
      <c r="U87" s="225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220" t="s">
        <v>290</v>
      </c>
      <c r="G88" s="35" t="s">
        <v>25</v>
      </c>
      <c r="H88" s="117">
        <v>5</v>
      </c>
      <c r="I88" s="37">
        <v>2</v>
      </c>
      <c r="J88" s="37">
        <v>2</v>
      </c>
      <c r="K88" s="68">
        <v>2958.34</v>
      </c>
      <c r="L88" s="40"/>
      <c r="M88" s="39">
        <f t="shared" si="0"/>
        <v>0</v>
      </c>
      <c r="N88" s="39"/>
      <c r="O88" s="41"/>
      <c r="P88" s="115">
        <v>7</v>
      </c>
      <c r="Q88" s="68">
        <v>19517.36</v>
      </c>
      <c r="R88" s="285">
        <v>4</v>
      </c>
      <c r="S88" s="68">
        <v>10181.299999999999</v>
      </c>
      <c r="T88" s="68">
        <v>10181.299999999999</v>
      </c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90</v>
      </c>
      <c r="C89" s="374" t="s">
        <v>39</v>
      </c>
      <c r="D89" s="374" t="s">
        <v>91</v>
      </c>
      <c r="E89" s="374" t="s">
        <v>27</v>
      </c>
      <c r="F89" s="204" t="s">
        <v>291</v>
      </c>
      <c r="G89" s="176" t="s">
        <v>24</v>
      </c>
      <c r="H89" s="48">
        <v>2</v>
      </c>
      <c r="I89" s="203">
        <v>1</v>
      </c>
      <c r="J89" s="203">
        <v>1</v>
      </c>
      <c r="K89" s="65">
        <v>697.32</v>
      </c>
      <c r="L89" s="51"/>
      <c r="M89" s="50">
        <f t="shared" si="0"/>
        <v>0</v>
      </c>
      <c r="N89" s="50"/>
      <c r="O89" s="31"/>
      <c r="P89" s="108">
        <v>4</v>
      </c>
      <c r="Q89" s="65">
        <v>38740.769999999997</v>
      </c>
      <c r="R89" s="224">
        <v>1</v>
      </c>
      <c r="S89" s="50">
        <f t="shared" ref="S89:S173" si="3">T89+U89</f>
        <v>4050.2</v>
      </c>
      <c r="T89" s="65">
        <v>4050.2</v>
      </c>
      <c r="U89" s="225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220" t="s">
        <v>229</v>
      </c>
      <c r="G90" s="229" t="s">
        <v>28</v>
      </c>
      <c r="H90" s="133">
        <v>1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92</v>
      </c>
      <c r="C91" s="374" t="s">
        <v>22</v>
      </c>
      <c r="D91" s="374"/>
      <c r="E91" s="374" t="s">
        <v>27</v>
      </c>
      <c r="F91" s="232" t="s">
        <v>269</v>
      </c>
      <c r="G91" s="23" t="s">
        <v>24</v>
      </c>
      <c r="H91" s="98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6</v>
      </c>
      <c r="Q91" s="30">
        <v>31199.119999999999</v>
      </c>
      <c r="R91" s="205">
        <v>2</v>
      </c>
      <c r="S91" s="26">
        <f t="shared" si="3"/>
        <v>3751.96</v>
      </c>
      <c r="T91" s="30">
        <v>3751.96</v>
      </c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33" t="s">
        <v>230</v>
      </c>
      <c r="G92" s="227" t="s">
        <v>28</v>
      </c>
      <c r="H92" s="133">
        <v>1</v>
      </c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93</v>
      </c>
      <c r="C93" s="374" t="s">
        <v>22</v>
      </c>
      <c r="D93" s="374"/>
      <c r="E93" s="374" t="s">
        <v>27</v>
      </c>
      <c r="F93" s="22"/>
      <c r="G93" s="176" t="s">
        <v>24</v>
      </c>
      <c r="H93" s="151">
        <v>1</v>
      </c>
      <c r="I93" s="62">
        <v>1</v>
      </c>
      <c r="J93" s="62">
        <v>2</v>
      </c>
      <c r="K93" s="30">
        <v>4354.43</v>
      </c>
      <c r="L93" s="27"/>
      <c r="M93" s="26">
        <f t="shared" si="0"/>
        <v>0</v>
      </c>
      <c r="N93" s="26"/>
      <c r="O93" s="31"/>
      <c r="P93" s="53">
        <v>1</v>
      </c>
      <c r="Q93" s="30">
        <v>633.92999999999995</v>
      </c>
      <c r="R93" s="27"/>
      <c r="S93" s="26">
        <f t="shared" si="3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28</v>
      </c>
      <c r="H94" s="116"/>
      <c r="I94" s="57"/>
      <c r="J94" s="57"/>
      <c r="K94" s="43"/>
      <c r="L94" s="44"/>
      <c r="M94" s="43">
        <f t="shared" si="0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94</v>
      </c>
      <c r="C95" s="374" t="s">
        <v>39</v>
      </c>
      <c r="D95" s="374" t="s">
        <v>95</v>
      </c>
      <c r="E95" s="374" t="s">
        <v>96</v>
      </c>
      <c r="F95" s="232" t="s">
        <v>292</v>
      </c>
      <c r="G95" s="23" t="s">
        <v>24</v>
      </c>
      <c r="H95" s="48">
        <v>4</v>
      </c>
      <c r="I95" s="25"/>
      <c r="J95" s="25"/>
      <c r="K95" s="26"/>
      <c r="L95" s="27"/>
      <c r="M95" s="26">
        <f t="shared" si="0"/>
        <v>0</v>
      </c>
      <c r="N95" s="26"/>
      <c r="O95" s="31"/>
      <c r="P95" s="53">
        <v>16</v>
      </c>
      <c r="Q95" s="30">
        <v>34494.42</v>
      </c>
      <c r="R95" s="205">
        <v>4</v>
      </c>
      <c r="S95" s="26">
        <f t="shared" si="3"/>
        <v>9997.9500000000007</v>
      </c>
      <c r="T95" s="30">
        <v>9997.9500000000007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33" t="s">
        <v>293</v>
      </c>
      <c r="G96" s="250" t="s">
        <v>25</v>
      </c>
      <c r="H96" s="112">
        <v>4</v>
      </c>
      <c r="I96" s="130">
        <v>2</v>
      </c>
      <c r="J96" s="130">
        <v>2</v>
      </c>
      <c r="K96" s="114">
        <v>2305.1999999999998</v>
      </c>
      <c r="L96" s="44"/>
      <c r="M96" s="43">
        <f t="shared" si="0"/>
        <v>0</v>
      </c>
      <c r="N96" s="43"/>
      <c r="O96" s="41"/>
      <c r="P96" s="113">
        <v>3</v>
      </c>
      <c r="Q96" s="114">
        <v>7159.3</v>
      </c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97</v>
      </c>
      <c r="C97" s="374"/>
      <c r="D97" s="374"/>
      <c r="E97" s="374"/>
      <c r="F97" s="60"/>
      <c r="G97" s="176" t="s">
        <v>24</v>
      </c>
      <c r="H97" s="248">
        <v>3</v>
      </c>
      <c r="I97" s="62">
        <v>3</v>
      </c>
      <c r="J97" s="62">
        <v>3</v>
      </c>
      <c r="K97" s="30">
        <v>1118.98</v>
      </c>
      <c r="L97" s="27"/>
      <c r="M97" s="26">
        <f t="shared" si="0"/>
        <v>0</v>
      </c>
      <c r="N97" s="26"/>
      <c r="O97" s="31"/>
      <c r="P97" s="53">
        <v>7</v>
      </c>
      <c r="Q97" s="30">
        <v>12035.94</v>
      </c>
      <c r="R97" s="27"/>
      <c r="S97" s="26">
        <f t="shared" si="3"/>
        <v>0</v>
      </c>
      <c r="T97" s="26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294</v>
      </c>
      <c r="G98" s="229" t="s">
        <v>28</v>
      </c>
      <c r="H98" s="251">
        <v>4</v>
      </c>
      <c r="I98" s="208">
        <v>3</v>
      </c>
      <c r="J98" s="208">
        <v>3</v>
      </c>
      <c r="K98" s="209">
        <v>4610.3999999999996</v>
      </c>
      <c r="L98" s="210"/>
      <c r="M98" s="211">
        <f t="shared" si="0"/>
        <v>1344.7</v>
      </c>
      <c r="N98" s="209">
        <v>1344.7</v>
      </c>
      <c r="O98" s="212"/>
      <c r="P98" s="103"/>
      <c r="Q98" s="43"/>
      <c r="R98" s="44"/>
      <c r="S98" s="43">
        <f t="shared" si="3"/>
        <v>2209.15</v>
      </c>
      <c r="T98" s="114">
        <v>2209.15</v>
      </c>
      <c r="U98" s="23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6"/>
      <c r="B99" s="377" t="s">
        <v>98</v>
      </c>
      <c r="C99" s="377" t="s">
        <v>39</v>
      </c>
      <c r="D99" s="377" t="s">
        <v>270</v>
      </c>
      <c r="E99" s="377" t="s">
        <v>99</v>
      </c>
      <c r="F99" s="232" t="s">
        <v>271</v>
      </c>
      <c r="G99" s="73" t="s">
        <v>24</v>
      </c>
      <c r="H99" s="24">
        <v>6</v>
      </c>
      <c r="I99" s="62">
        <v>4</v>
      </c>
      <c r="J99" s="62">
        <v>4</v>
      </c>
      <c r="K99" s="30">
        <v>4316.49</v>
      </c>
      <c r="L99" s="27"/>
      <c r="M99" s="26">
        <f t="shared" si="0"/>
        <v>0</v>
      </c>
      <c r="N99" s="26"/>
      <c r="O99" s="28"/>
      <c r="P99" s="214">
        <v>11</v>
      </c>
      <c r="Q99" s="30">
        <v>48272.61</v>
      </c>
      <c r="R99" s="205">
        <v>2</v>
      </c>
      <c r="S99" s="26">
        <f t="shared" si="3"/>
        <v>1456.12</v>
      </c>
      <c r="T99" s="30">
        <v>1456.12</v>
      </c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20" t="s">
        <v>295</v>
      </c>
      <c r="G100" s="215" t="s">
        <v>28</v>
      </c>
      <c r="H100" s="66">
        <v>4</v>
      </c>
      <c r="I100" s="286">
        <v>1</v>
      </c>
      <c r="J100" s="286">
        <v>1</v>
      </c>
      <c r="K100" s="287">
        <v>1921</v>
      </c>
      <c r="L100" s="288"/>
      <c r="M100" s="39">
        <f t="shared" si="0"/>
        <v>0</v>
      </c>
      <c r="N100" s="39"/>
      <c r="O100" s="41"/>
      <c r="P100" s="217">
        <v>3</v>
      </c>
      <c r="Q100" s="37">
        <v>7587.95</v>
      </c>
      <c r="R100" s="40"/>
      <c r="S100" s="39">
        <f t="shared" si="3"/>
        <v>1056.55</v>
      </c>
      <c r="T100" s="68">
        <v>1056.55</v>
      </c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100</v>
      </c>
      <c r="C101" s="374" t="s">
        <v>39</v>
      </c>
      <c r="D101" s="381" t="s">
        <v>296</v>
      </c>
      <c r="E101" s="381" t="s">
        <v>27</v>
      </c>
      <c r="F101" s="223" t="s">
        <v>297</v>
      </c>
      <c r="G101" s="47" t="s">
        <v>24</v>
      </c>
      <c r="H101" s="218"/>
      <c r="I101" s="96"/>
      <c r="J101" s="96"/>
      <c r="K101" s="81"/>
      <c r="L101" s="80"/>
      <c r="M101" s="81">
        <f t="shared" si="0"/>
        <v>0</v>
      </c>
      <c r="N101" s="81"/>
      <c r="O101" s="219"/>
      <c r="P101" s="108">
        <v>2</v>
      </c>
      <c r="Q101" s="65">
        <v>22972.83</v>
      </c>
      <c r="R101" s="224">
        <v>1</v>
      </c>
      <c r="S101" s="50">
        <f t="shared" si="3"/>
        <v>7049.72</v>
      </c>
      <c r="T101" s="65">
        <v>7049.72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298</v>
      </c>
      <c r="G102" s="35" t="s">
        <v>28</v>
      </c>
      <c r="H102" s="133">
        <v>3</v>
      </c>
      <c r="I102" s="38"/>
      <c r="J102" s="38"/>
      <c r="K102" s="39"/>
      <c r="L102" s="40"/>
      <c r="M102" s="39">
        <f t="shared" si="0"/>
        <v>0</v>
      </c>
      <c r="N102" s="39"/>
      <c r="O102" s="41"/>
      <c r="P102" s="59"/>
      <c r="Q102" s="39"/>
      <c r="R102" s="40"/>
      <c r="S102" s="39">
        <f t="shared" si="3"/>
        <v>0</v>
      </c>
      <c r="T102" s="39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82"/>
      <c r="B103" s="381" t="s">
        <v>102</v>
      </c>
      <c r="C103" s="381" t="s">
        <v>22</v>
      </c>
      <c r="D103" s="381"/>
      <c r="E103" s="381" t="s">
        <v>67</v>
      </c>
      <c r="F103" s="223" t="s">
        <v>272</v>
      </c>
      <c r="G103" s="23" t="s">
        <v>24</v>
      </c>
      <c r="H103" s="48">
        <v>5</v>
      </c>
      <c r="I103" s="203">
        <v>2</v>
      </c>
      <c r="J103" s="203">
        <v>2</v>
      </c>
      <c r="K103" s="65">
        <v>1916.98</v>
      </c>
      <c r="L103" s="51"/>
      <c r="M103" s="50">
        <f t="shared" si="0"/>
        <v>0</v>
      </c>
      <c r="N103" s="50"/>
      <c r="O103" s="31"/>
      <c r="P103" s="108">
        <v>8</v>
      </c>
      <c r="Q103" s="65">
        <v>17533.16</v>
      </c>
      <c r="R103" s="224">
        <v>2</v>
      </c>
      <c r="S103" s="50">
        <f t="shared" si="3"/>
        <v>2175.5100000000002</v>
      </c>
      <c r="T103" s="65">
        <v>2175.5100000000002</v>
      </c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21" t="s">
        <v>299</v>
      </c>
      <c r="G104" s="55" t="s">
        <v>28</v>
      </c>
      <c r="H104" s="153">
        <v>7</v>
      </c>
      <c r="I104" s="130">
        <v>2</v>
      </c>
      <c r="J104" s="130">
        <v>2</v>
      </c>
      <c r="K104" s="114">
        <v>2443.1999999999998</v>
      </c>
      <c r="L104" s="128"/>
      <c r="M104" s="50">
        <f t="shared" si="0"/>
        <v>0</v>
      </c>
      <c r="N104" s="43"/>
      <c r="O104" s="41"/>
      <c r="P104" s="113">
        <v>2</v>
      </c>
      <c r="Q104" s="114">
        <v>8007.8</v>
      </c>
      <c r="R104" s="44"/>
      <c r="S104" s="43">
        <f t="shared" si="3"/>
        <v>4358.2</v>
      </c>
      <c r="T104" s="114">
        <v>4358.2</v>
      </c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103</v>
      </c>
      <c r="C105" s="374" t="s">
        <v>22</v>
      </c>
      <c r="D105" s="374"/>
      <c r="E105" s="374" t="s">
        <v>67</v>
      </c>
      <c r="F105" s="22"/>
      <c r="G105" s="23" t="s">
        <v>24</v>
      </c>
      <c r="H105" s="48">
        <v>2</v>
      </c>
      <c r="I105" s="62">
        <v>1</v>
      </c>
      <c r="J105" s="62">
        <v>1</v>
      </c>
      <c r="K105" s="30">
        <v>1133.98</v>
      </c>
      <c r="L105" s="27"/>
      <c r="M105" s="26">
        <f t="shared" si="0"/>
        <v>0</v>
      </c>
      <c r="N105" s="26"/>
      <c r="O105" s="31"/>
      <c r="P105" s="53">
        <v>5</v>
      </c>
      <c r="Q105" s="30">
        <v>7208.15</v>
      </c>
      <c r="R105" s="27"/>
      <c r="S105" s="26">
        <f t="shared" si="3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300</v>
      </c>
      <c r="G106" s="35" t="s">
        <v>28</v>
      </c>
      <c r="H106" s="133">
        <v>3</v>
      </c>
      <c r="I106" s="37">
        <v>2</v>
      </c>
      <c r="J106" s="37">
        <v>2</v>
      </c>
      <c r="K106" s="68">
        <v>2275.1</v>
      </c>
      <c r="L106" s="40"/>
      <c r="M106" s="39">
        <f t="shared" si="0"/>
        <v>0</v>
      </c>
      <c r="N106" s="39"/>
      <c r="O106" s="41"/>
      <c r="P106" s="115">
        <v>1</v>
      </c>
      <c r="Q106" s="68">
        <v>1377.7</v>
      </c>
      <c r="R106" s="40"/>
      <c r="S106" s="39">
        <f t="shared" si="3"/>
        <v>0</v>
      </c>
      <c r="T106" s="39"/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2"/>
      <c r="B107" s="374" t="s">
        <v>104</v>
      </c>
      <c r="C107" s="374" t="s">
        <v>39</v>
      </c>
      <c r="D107" s="374" t="s">
        <v>301</v>
      </c>
      <c r="E107" s="374" t="s">
        <v>27</v>
      </c>
      <c r="F107" s="204" t="s">
        <v>302</v>
      </c>
      <c r="G107" s="176" t="s">
        <v>24</v>
      </c>
      <c r="H107" s="48">
        <v>6</v>
      </c>
      <c r="I107" s="203">
        <v>3</v>
      </c>
      <c r="J107" s="203">
        <v>3</v>
      </c>
      <c r="K107" s="65">
        <v>5531.12</v>
      </c>
      <c r="L107" s="51"/>
      <c r="M107" s="50">
        <f t="shared" si="0"/>
        <v>0</v>
      </c>
      <c r="N107" s="50"/>
      <c r="O107" s="31"/>
      <c r="P107" s="108">
        <v>11</v>
      </c>
      <c r="Q107" s="65">
        <v>34339.61</v>
      </c>
      <c r="R107" s="224">
        <v>3</v>
      </c>
      <c r="S107" s="50">
        <f t="shared" si="3"/>
        <v>6809.92</v>
      </c>
      <c r="T107" s="65">
        <v>6809.92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34"/>
      <c r="G108" s="229" t="s">
        <v>28</v>
      </c>
      <c r="H108" s="116"/>
      <c r="I108" s="57"/>
      <c r="J108" s="57"/>
      <c r="K108" s="43"/>
      <c r="L108" s="44"/>
      <c r="M108" s="43">
        <f t="shared" si="0"/>
        <v>0</v>
      </c>
      <c r="N108" s="43"/>
      <c r="O108" s="41"/>
      <c r="P108" s="103"/>
      <c r="Q108" s="43"/>
      <c r="R108" s="44"/>
      <c r="S108" s="43">
        <f t="shared" si="3"/>
        <v>0</v>
      </c>
      <c r="T108" s="43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2"/>
      <c r="B109" s="374" t="s">
        <v>106</v>
      </c>
      <c r="C109" s="377" t="s">
        <v>39</v>
      </c>
      <c r="D109" s="374" t="s">
        <v>107</v>
      </c>
      <c r="E109" s="374" t="s">
        <v>27</v>
      </c>
      <c r="F109" s="232" t="s">
        <v>366</v>
      </c>
      <c r="G109" s="23" t="s">
        <v>24</v>
      </c>
      <c r="H109" s="48">
        <v>1</v>
      </c>
      <c r="I109" s="25"/>
      <c r="J109" s="25"/>
      <c r="K109" s="26"/>
      <c r="L109" s="27"/>
      <c r="M109" s="26">
        <f t="shared" si="0"/>
        <v>0</v>
      </c>
      <c r="N109" s="26"/>
      <c r="O109" s="31"/>
      <c r="P109" s="53">
        <v>6</v>
      </c>
      <c r="Q109" s="30">
        <v>20735.55</v>
      </c>
      <c r="R109" s="205">
        <v>5</v>
      </c>
      <c r="S109" s="26">
        <f t="shared" si="3"/>
        <v>20312.93</v>
      </c>
      <c r="T109" s="30">
        <v>20312.93</v>
      </c>
      <c r="U109" s="3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33" t="s">
        <v>233</v>
      </c>
      <c r="G110" s="227" t="s">
        <v>28</v>
      </c>
      <c r="H110" s="153">
        <v>2</v>
      </c>
      <c r="I110" s="57"/>
      <c r="J110" s="57"/>
      <c r="K110" s="43"/>
      <c r="L110" s="44"/>
      <c r="M110" s="43">
        <f t="shared" si="0"/>
        <v>0</v>
      </c>
      <c r="N110" s="43"/>
      <c r="O110" s="41"/>
      <c r="P110" s="103"/>
      <c r="Q110" s="43"/>
      <c r="R110" s="44"/>
      <c r="S110" s="43">
        <f t="shared" si="3"/>
        <v>0</v>
      </c>
      <c r="T110" s="57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108</v>
      </c>
      <c r="C111" s="374" t="s">
        <v>46</v>
      </c>
      <c r="D111" s="374" t="s">
        <v>109</v>
      </c>
      <c r="E111" s="374" t="s">
        <v>27</v>
      </c>
      <c r="F111" s="204" t="s">
        <v>273</v>
      </c>
      <c r="G111" s="176" t="s">
        <v>24</v>
      </c>
      <c r="H111" s="151">
        <v>1</v>
      </c>
      <c r="I111" s="25"/>
      <c r="J111" s="25"/>
      <c r="K111" s="26"/>
      <c r="L111" s="27"/>
      <c r="M111" s="26">
        <f t="shared" si="0"/>
        <v>0</v>
      </c>
      <c r="N111" s="26"/>
      <c r="O111" s="31"/>
      <c r="P111" s="53">
        <v>6</v>
      </c>
      <c r="Q111" s="30">
        <v>26300.45</v>
      </c>
      <c r="R111" s="205">
        <v>3</v>
      </c>
      <c r="S111" s="26">
        <f t="shared" si="3"/>
        <v>13277.84</v>
      </c>
      <c r="T111" s="30">
        <v>13277.84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7"/>
      <c r="B112" s="386"/>
      <c r="C112" s="386"/>
      <c r="D112" s="386"/>
      <c r="E112" s="386"/>
      <c r="F112" s="235" t="s">
        <v>234</v>
      </c>
      <c r="G112" s="252" t="s">
        <v>28</v>
      </c>
      <c r="H112" s="48">
        <v>3</v>
      </c>
      <c r="I112" s="246">
        <v>1</v>
      </c>
      <c r="J112" s="246">
        <v>1</v>
      </c>
      <c r="K112" s="158">
        <v>576.29999999999995</v>
      </c>
      <c r="L112" s="143"/>
      <c r="M112" s="142">
        <f t="shared" si="0"/>
        <v>0</v>
      </c>
      <c r="N112" s="142"/>
      <c r="O112" s="45"/>
      <c r="P112" s="157">
        <v>3</v>
      </c>
      <c r="Q112" s="158">
        <v>6513.21</v>
      </c>
      <c r="R112" s="143"/>
      <c r="S112" s="142">
        <f t="shared" si="3"/>
        <v>0</v>
      </c>
      <c r="T112" s="142"/>
      <c r="U112" s="4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145"/>
      <c r="G113" s="253" t="s">
        <v>25</v>
      </c>
      <c r="H113" s="147"/>
      <c r="I113" s="38"/>
      <c r="J113" s="38"/>
      <c r="K113" s="39"/>
      <c r="L113" s="40"/>
      <c r="M113" s="39">
        <f t="shared" si="0"/>
        <v>0</v>
      </c>
      <c r="N113" s="39"/>
      <c r="O113" s="41"/>
      <c r="P113" s="59"/>
      <c r="Q113" s="39"/>
      <c r="R113" s="40"/>
      <c r="S113" s="39">
        <f t="shared" si="3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6"/>
      <c r="B114" s="377" t="s">
        <v>110</v>
      </c>
      <c r="C114" s="377" t="s">
        <v>22</v>
      </c>
      <c r="D114" s="377"/>
      <c r="E114" s="377" t="s">
        <v>67</v>
      </c>
      <c r="F114" s="232" t="s">
        <v>274</v>
      </c>
      <c r="G114" s="23" t="s">
        <v>24</v>
      </c>
      <c r="H114" s="48">
        <v>2</v>
      </c>
      <c r="I114" s="49"/>
      <c r="J114" s="49"/>
      <c r="K114" s="50"/>
      <c r="L114" s="51"/>
      <c r="M114" s="50">
        <f t="shared" si="0"/>
        <v>0</v>
      </c>
      <c r="N114" s="50"/>
      <c r="O114" s="31"/>
      <c r="P114" s="108">
        <v>3</v>
      </c>
      <c r="Q114" s="65">
        <v>8558.75</v>
      </c>
      <c r="R114" s="224">
        <v>1</v>
      </c>
      <c r="S114" s="50">
        <f t="shared" si="3"/>
        <v>3034.34</v>
      </c>
      <c r="T114" s="65">
        <v>3034.34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54"/>
      <c r="G115" s="55" t="s">
        <v>28</v>
      </c>
      <c r="H115" s="116"/>
      <c r="I115" s="57"/>
      <c r="J115" s="57"/>
      <c r="K115" s="43"/>
      <c r="L115" s="44"/>
      <c r="M115" s="43">
        <f t="shared" si="0"/>
        <v>0</v>
      </c>
      <c r="N115" s="43"/>
      <c r="O115" s="41"/>
      <c r="P115" s="103"/>
      <c r="Q115" s="43"/>
      <c r="R115" s="44"/>
      <c r="S115" s="43">
        <f t="shared" si="3"/>
        <v>0</v>
      </c>
      <c r="T115" s="43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111</v>
      </c>
      <c r="C116" s="374" t="s">
        <v>22</v>
      </c>
      <c r="D116" s="374"/>
      <c r="E116" s="374" t="s">
        <v>112</v>
      </c>
      <c r="F116" s="22"/>
      <c r="G116" s="23" t="s">
        <v>24</v>
      </c>
      <c r="H116" s="48">
        <v>3</v>
      </c>
      <c r="I116" s="62">
        <v>2</v>
      </c>
      <c r="J116" s="62">
        <v>2</v>
      </c>
      <c r="K116" s="30">
        <v>1719.3</v>
      </c>
      <c r="L116" s="27"/>
      <c r="M116" s="26">
        <f t="shared" si="0"/>
        <v>0</v>
      </c>
      <c r="N116" s="26"/>
      <c r="O116" s="31"/>
      <c r="P116" s="53">
        <v>4</v>
      </c>
      <c r="Q116" s="30">
        <v>3732.5</v>
      </c>
      <c r="R116" s="27"/>
      <c r="S116" s="26">
        <f t="shared" si="3"/>
        <v>0</v>
      </c>
      <c r="T116" s="26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9"/>
      <c r="B117" s="380"/>
      <c r="C117" s="380"/>
      <c r="D117" s="380"/>
      <c r="E117" s="380"/>
      <c r="F117" s="233" t="s">
        <v>235</v>
      </c>
      <c r="G117" s="227" t="s">
        <v>28</v>
      </c>
      <c r="H117" s="133">
        <v>1</v>
      </c>
      <c r="I117" s="57"/>
      <c r="J117" s="57"/>
      <c r="K117" s="43"/>
      <c r="L117" s="44"/>
      <c r="M117" s="43">
        <f t="shared" si="0"/>
        <v>0</v>
      </c>
      <c r="N117" s="43"/>
      <c r="O117" s="41"/>
      <c r="P117" s="103"/>
      <c r="Q117" s="43"/>
      <c r="R117" s="44"/>
      <c r="S117" s="43">
        <f t="shared" si="3"/>
        <v>0</v>
      </c>
      <c r="T117" s="43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113</v>
      </c>
      <c r="C118" s="374" t="s">
        <v>39</v>
      </c>
      <c r="D118" s="374" t="s">
        <v>114</v>
      </c>
      <c r="E118" s="374" t="s">
        <v>27</v>
      </c>
      <c r="F118" s="204" t="s">
        <v>305</v>
      </c>
      <c r="G118" s="176" t="s">
        <v>24</v>
      </c>
      <c r="H118" s="48">
        <v>8</v>
      </c>
      <c r="I118" s="62">
        <v>3</v>
      </c>
      <c r="J118" s="62">
        <v>5</v>
      </c>
      <c r="K118" s="30">
        <v>6736.48</v>
      </c>
      <c r="L118" s="27"/>
      <c r="M118" s="26">
        <f t="shared" si="0"/>
        <v>0</v>
      </c>
      <c r="N118" s="26"/>
      <c r="O118" s="31"/>
      <c r="P118" s="53">
        <v>10</v>
      </c>
      <c r="Q118" s="30">
        <v>27295.01</v>
      </c>
      <c r="R118" s="205">
        <v>2</v>
      </c>
      <c r="S118" s="26">
        <f t="shared" si="3"/>
        <v>7729.47</v>
      </c>
      <c r="T118" s="30">
        <v>7729.47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220" t="s">
        <v>306</v>
      </c>
      <c r="G119" s="229" t="s">
        <v>28</v>
      </c>
      <c r="H119" s="56">
        <v>2</v>
      </c>
      <c r="I119" s="130">
        <v>1</v>
      </c>
      <c r="J119" s="130">
        <v>1</v>
      </c>
      <c r="K119" s="114">
        <v>1152.5999999999999</v>
      </c>
      <c r="L119" s="44"/>
      <c r="M119" s="43">
        <f t="shared" si="0"/>
        <v>0</v>
      </c>
      <c r="N119" s="43"/>
      <c r="O119" s="45"/>
      <c r="P119" s="113">
        <v>2</v>
      </c>
      <c r="Q119" s="114">
        <v>5186.7</v>
      </c>
      <c r="R119" s="44"/>
      <c r="S119" s="43">
        <f t="shared" si="3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115</v>
      </c>
      <c r="C120" s="374" t="s">
        <v>22</v>
      </c>
      <c r="D120" s="374"/>
      <c r="E120" s="374" t="s">
        <v>27</v>
      </c>
      <c r="F120" s="22"/>
      <c r="G120" s="23" t="s">
        <v>24</v>
      </c>
      <c r="H120" s="104"/>
      <c r="I120" s="25"/>
      <c r="J120" s="25"/>
      <c r="K120" s="26"/>
      <c r="L120" s="148"/>
      <c r="M120" s="149">
        <f t="shared" si="0"/>
        <v>0</v>
      </c>
      <c r="N120" s="26"/>
      <c r="O120" s="100"/>
      <c r="P120" s="120"/>
      <c r="Q120" s="26"/>
      <c r="R120" s="27"/>
      <c r="S120" s="26">
        <f t="shared" si="3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35" t="s">
        <v>28</v>
      </c>
      <c r="H121" s="106"/>
      <c r="I121" s="38"/>
      <c r="J121" s="38"/>
      <c r="K121" s="39"/>
      <c r="L121" s="40"/>
      <c r="M121" s="39">
        <f t="shared" si="0"/>
        <v>0</v>
      </c>
      <c r="N121" s="39"/>
      <c r="O121" s="41"/>
      <c r="P121" s="69"/>
      <c r="Q121" s="39"/>
      <c r="R121" s="40"/>
      <c r="S121" s="39">
        <f t="shared" si="3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82"/>
      <c r="B122" s="381" t="s">
        <v>116</v>
      </c>
      <c r="C122" s="381" t="s">
        <v>22</v>
      </c>
      <c r="D122" s="381"/>
      <c r="E122" s="381" t="s">
        <v>27</v>
      </c>
      <c r="F122" s="223" t="s">
        <v>307</v>
      </c>
      <c r="G122" s="47" t="s">
        <v>24</v>
      </c>
      <c r="H122" s="61">
        <v>3</v>
      </c>
      <c r="I122" s="62">
        <v>3</v>
      </c>
      <c r="J122" s="62">
        <v>3</v>
      </c>
      <c r="K122" s="30">
        <v>3189.98</v>
      </c>
      <c r="L122" s="27"/>
      <c r="M122" s="26">
        <f t="shared" si="0"/>
        <v>0</v>
      </c>
      <c r="N122" s="26"/>
      <c r="O122" s="100"/>
      <c r="P122" s="64">
        <v>2</v>
      </c>
      <c r="Q122" s="65">
        <v>3540.18</v>
      </c>
      <c r="R122" s="224">
        <v>1</v>
      </c>
      <c r="S122" s="50">
        <f t="shared" si="3"/>
        <v>2272.3200000000002</v>
      </c>
      <c r="T122" s="65">
        <v>2272.3200000000002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75"/>
      <c r="C123" s="375"/>
      <c r="D123" s="375"/>
      <c r="E123" s="375"/>
      <c r="F123" s="34"/>
      <c r="G123" s="35" t="s">
        <v>28</v>
      </c>
      <c r="H123" s="116"/>
      <c r="I123" s="38"/>
      <c r="J123" s="38"/>
      <c r="K123" s="39"/>
      <c r="L123" s="40"/>
      <c r="M123" s="39">
        <f t="shared" si="0"/>
        <v>0</v>
      </c>
      <c r="N123" s="39"/>
      <c r="O123" s="41"/>
      <c r="P123" s="69"/>
      <c r="Q123" s="39"/>
      <c r="R123" s="40"/>
      <c r="S123" s="39">
        <f t="shared" si="3"/>
        <v>0</v>
      </c>
      <c r="T123" s="39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82"/>
      <c r="B124" s="381" t="s">
        <v>117</v>
      </c>
      <c r="C124" s="381" t="s">
        <v>22</v>
      </c>
      <c r="D124" s="381"/>
      <c r="E124" s="381" t="s">
        <v>67</v>
      </c>
      <c r="F124" s="223" t="s">
        <v>308</v>
      </c>
      <c r="G124" s="23" t="s">
        <v>24</v>
      </c>
      <c r="H124" s="48">
        <v>8</v>
      </c>
      <c r="I124" s="203">
        <v>6</v>
      </c>
      <c r="J124" s="203">
        <v>7</v>
      </c>
      <c r="K124" s="65">
        <v>17376.97</v>
      </c>
      <c r="L124" s="51"/>
      <c r="M124" s="50">
        <f t="shared" si="0"/>
        <v>0</v>
      </c>
      <c r="N124" s="50"/>
      <c r="O124" s="31"/>
      <c r="P124" s="108">
        <v>21</v>
      </c>
      <c r="Q124" s="65">
        <v>63607.14</v>
      </c>
      <c r="R124" s="224">
        <v>3</v>
      </c>
      <c r="S124" s="50">
        <f t="shared" si="3"/>
        <v>10009.61</v>
      </c>
      <c r="T124" s="65">
        <v>10009.61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26"/>
      <c r="G125" s="227" t="s">
        <v>28</v>
      </c>
      <c r="H125" s="116"/>
      <c r="I125" s="57"/>
      <c r="J125" s="57"/>
      <c r="K125" s="43"/>
      <c r="L125" s="44"/>
      <c r="M125" s="43">
        <f t="shared" si="0"/>
        <v>0</v>
      </c>
      <c r="N125" s="43"/>
      <c r="O125" s="41"/>
      <c r="P125" s="103"/>
      <c r="Q125" s="43"/>
      <c r="R125" s="44"/>
      <c r="S125" s="43">
        <f t="shared" si="3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118</v>
      </c>
      <c r="C126" s="374" t="s">
        <v>39</v>
      </c>
      <c r="D126" s="374" t="s">
        <v>309</v>
      </c>
      <c r="E126" s="374" t="s">
        <v>27</v>
      </c>
      <c r="F126" s="204" t="s">
        <v>310</v>
      </c>
      <c r="G126" s="176" t="s">
        <v>24</v>
      </c>
      <c r="H126" s="151">
        <v>5</v>
      </c>
      <c r="I126" s="25"/>
      <c r="J126" s="25"/>
      <c r="K126" s="26"/>
      <c r="L126" s="27"/>
      <c r="M126" s="26">
        <f t="shared" si="0"/>
        <v>0</v>
      </c>
      <c r="N126" s="26"/>
      <c r="O126" s="31"/>
      <c r="P126" s="53">
        <v>13</v>
      </c>
      <c r="Q126" s="30">
        <v>46879.51</v>
      </c>
      <c r="R126" s="205">
        <v>6</v>
      </c>
      <c r="S126" s="26">
        <f t="shared" si="3"/>
        <v>21153.67</v>
      </c>
      <c r="T126" s="30">
        <v>21153.67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152"/>
      <c r="G127" s="229" t="s">
        <v>28</v>
      </c>
      <c r="H127" s="116"/>
      <c r="I127" s="38"/>
      <c r="J127" s="38"/>
      <c r="K127" s="39"/>
      <c r="L127" s="40"/>
      <c r="M127" s="39">
        <f t="shared" si="0"/>
        <v>0</v>
      </c>
      <c r="N127" s="39"/>
      <c r="O127" s="41"/>
      <c r="P127" s="5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119</v>
      </c>
      <c r="C128" s="374" t="s">
        <v>39</v>
      </c>
      <c r="D128" s="374" t="s">
        <v>311</v>
      </c>
      <c r="E128" s="374" t="s">
        <v>121</v>
      </c>
      <c r="F128" s="232" t="s">
        <v>312</v>
      </c>
      <c r="G128" s="23" t="s">
        <v>24</v>
      </c>
      <c r="H128" s="151">
        <v>5</v>
      </c>
      <c r="I128" s="62">
        <v>3</v>
      </c>
      <c r="J128" s="62">
        <v>3</v>
      </c>
      <c r="K128" s="30">
        <v>2221.61</v>
      </c>
      <c r="L128" s="205">
        <v>3</v>
      </c>
      <c r="M128" s="26">
        <f t="shared" si="0"/>
        <v>2221.61</v>
      </c>
      <c r="N128" s="30">
        <v>2221.61</v>
      </c>
      <c r="O128" s="31"/>
      <c r="P128" s="53">
        <v>21</v>
      </c>
      <c r="Q128" s="30">
        <v>32606.92</v>
      </c>
      <c r="R128" s="205">
        <v>19</v>
      </c>
      <c r="S128" s="26">
        <f t="shared" si="3"/>
        <v>30301.71</v>
      </c>
      <c r="T128" s="30">
        <v>30301.71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80"/>
      <c r="C129" s="380"/>
      <c r="D129" s="380"/>
      <c r="E129" s="380"/>
      <c r="F129" s="233" t="s">
        <v>313</v>
      </c>
      <c r="G129" s="227" t="s">
        <v>25</v>
      </c>
      <c r="H129" s="260">
        <v>2</v>
      </c>
      <c r="I129" s="208">
        <v>2</v>
      </c>
      <c r="J129" s="208">
        <v>2</v>
      </c>
      <c r="K129" s="209">
        <v>2401.25</v>
      </c>
      <c r="L129" s="210"/>
      <c r="M129" s="211">
        <f t="shared" si="0"/>
        <v>0</v>
      </c>
      <c r="N129" s="211"/>
      <c r="O129" s="212"/>
      <c r="P129" s="262">
        <v>3</v>
      </c>
      <c r="Q129" s="209">
        <v>7299.8</v>
      </c>
      <c r="R129" s="290">
        <v>1</v>
      </c>
      <c r="S129" s="209">
        <f t="shared" si="3"/>
        <v>4034.1</v>
      </c>
      <c r="T129" s="209">
        <v>4034.1</v>
      </c>
      <c r="U129" s="212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2"/>
      <c r="B130" s="374" t="s">
        <v>367</v>
      </c>
      <c r="C130" s="374"/>
      <c r="D130" s="374"/>
      <c r="E130" s="374"/>
      <c r="F130" s="204"/>
      <c r="G130" s="213" t="s">
        <v>24</v>
      </c>
      <c r="H130" s="61"/>
      <c r="I130" s="62"/>
      <c r="J130" s="62"/>
      <c r="K130" s="30"/>
      <c r="L130" s="27"/>
      <c r="M130" s="26">
        <f t="shared" si="0"/>
        <v>0</v>
      </c>
      <c r="N130" s="26"/>
      <c r="O130" s="28"/>
      <c r="P130" s="214"/>
      <c r="Q130" s="30"/>
      <c r="R130" s="205"/>
      <c r="S130" s="26">
        <f t="shared" si="3"/>
        <v>0</v>
      </c>
      <c r="T130" s="30"/>
      <c r="U130" s="2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220"/>
      <c r="G131" s="215" t="s">
        <v>28</v>
      </c>
      <c r="H131" s="117">
        <v>2</v>
      </c>
      <c r="I131" s="37"/>
      <c r="J131" s="37"/>
      <c r="K131" s="68"/>
      <c r="L131" s="40"/>
      <c r="M131" s="39">
        <f t="shared" si="0"/>
        <v>0</v>
      </c>
      <c r="N131" s="39"/>
      <c r="O131" s="41"/>
      <c r="P131" s="217"/>
      <c r="Q131" s="68"/>
      <c r="R131" s="285"/>
      <c r="S131" s="39">
        <f t="shared" si="3"/>
        <v>0</v>
      </c>
      <c r="T131" s="68"/>
      <c r="U131" s="23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6"/>
      <c r="B132" s="377" t="s">
        <v>122</v>
      </c>
      <c r="C132" s="377" t="s">
        <v>39</v>
      </c>
      <c r="D132" s="377" t="s">
        <v>123</v>
      </c>
      <c r="E132" s="377" t="s">
        <v>55</v>
      </c>
      <c r="F132" s="232" t="s">
        <v>236</v>
      </c>
      <c r="G132" s="291" t="s">
        <v>24</v>
      </c>
      <c r="H132" s="265">
        <v>6</v>
      </c>
      <c r="I132" s="266">
        <v>4</v>
      </c>
      <c r="J132" s="266">
        <v>5</v>
      </c>
      <c r="K132" s="79">
        <v>5859.73</v>
      </c>
      <c r="L132" s="80"/>
      <c r="M132" s="81">
        <f t="shared" si="0"/>
        <v>0</v>
      </c>
      <c r="N132" s="81"/>
      <c r="O132" s="219"/>
      <c r="P132" s="267">
        <v>14</v>
      </c>
      <c r="Q132" s="79">
        <v>68482.759999999995</v>
      </c>
      <c r="R132" s="268">
        <v>6</v>
      </c>
      <c r="S132" s="81">
        <f t="shared" si="3"/>
        <v>29991.43</v>
      </c>
      <c r="T132" s="79">
        <v>15352.72</v>
      </c>
      <c r="U132" s="269">
        <v>14638.71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34"/>
      <c r="G133" s="229" t="s">
        <v>25</v>
      </c>
      <c r="H133" s="116"/>
      <c r="I133" s="38"/>
      <c r="J133" s="38"/>
      <c r="K133" s="39"/>
      <c r="L133" s="40"/>
      <c r="M133" s="39">
        <f t="shared" si="0"/>
        <v>0</v>
      </c>
      <c r="N133" s="39"/>
      <c r="O133" s="41"/>
      <c r="P133" s="59"/>
      <c r="Q133" s="39"/>
      <c r="R133" s="40"/>
      <c r="S133" s="39">
        <f t="shared" si="3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6"/>
      <c r="B134" s="377" t="s">
        <v>124</v>
      </c>
      <c r="C134" s="377" t="s">
        <v>39</v>
      </c>
      <c r="D134" s="377" t="s">
        <v>314</v>
      </c>
      <c r="E134" s="377" t="s">
        <v>27</v>
      </c>
      <c r="F134" s="232" t="s">
        <v>237</v>
      </c>
      <c r="G134" s="23" t="s">
        <v>24</v>
      </c>
      <c r="H134" s="48">
        <v>9</v>
      </c>
      <c r="I134" s="203">
        <v>3</v>
      </c>
      <c r="J134" s="203">
        <v>4</v>
      </c>
      <c r="K134" s="65">
        <v>4638.25</v>
      </c>
      <c r="L134" s="51"/>
      <c r="M134" s="50">
        <f t="shared" si="0"/>
        <v>0</v>
      </c>
      <c r="N134" s="50"/>
      <c r="O134" s="31"/>
      <c r="P134" s="108">
        <v>37</v>
      </c>
      <c r="Q134" s="65">
        <v>215296.18</v>
      </c>
      <c r="R134" s="224">
        <v>7</v>
      </c>
      <c r="S134" s="50">
        <f t="shared" si="3"/>
        <v>74062.510000000009</v>
      </c>
      <c r="T134" s="65">
        <v>50185.66</v>
      </c>
      <c r="U134" s="225">
        <v>23876.85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7"/>
      <c r="B135" s="386"/>
      <c r="C135" s="386"/>
      <c r="D135" s="386"/>
      <c r="E135" s="386"/>
      <c r="F135" s="135"/>
      <c r="G135" s="154" t="s">
        <v>25</v>
      </c>
      <c r="H135" s="98"/>
      <c r="I135" s="155"/>
      <c r="J135" s="155"/>
      <c r="K135" s="239" t="s">
        <v>43</v>
      </c>
      <c r="L135" s="128"/>
      <c r="M135" s="129">
        <f t="shared" si="0"/>
        <v>0</v>
      </c>
      <c r="N135" s="129"/>
      <c r="O135" s="45"/>
      <c r="P135" s="156"/>
      <c r="Q135" s="129"/>
      <c r="R135" s="128"/>
      <c r="S135" s="129">
        <f t="shared" si="3"/>
        <v>0</v>
      </c>
      <c r="T135" s="129"/>
      <c r="U135" s="4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28</v>
      </c>
      <c r="H136" s="111"/>
      <c r="I136" s="57"/>
      <c r="J136" s="57"/>
      <c r="K136" s="43"/>
      <c r="L136" s="44"/>
      <c r="M136" s="43">
        <f t="shared" si="0"/>
        <v>0</v>
      </c>
      <c r="N136" s="43"/>
      <c r="O136" s="41"/>
      <c r="P136" s="113">
        <v>1</v>
      </c>
      <c r="Q136" s="43"/>
      <c r="R136" s="44"/>
      <c r="S136" s="43">
        <f t="shared" si="3"/>
        <v>2305.1999999999998</v>
      </c>
      <c r="T136" s="114">
        <v>2305.1999999999998</v>
      </c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126</v>
      </c>
      <c r="C137" s="374" t="s">
        <v>22</v>
      </c>
      <c r="D137" s="378"/>
      <c r="E137" s="374" t="s">
        <v>65</v>
      </c>
      <c r="F137" s="150"/>
      <c r="G137" s="23" t="s">
        <v>24</v>
      </c>
      <c r="H137" s="151">
        <v>1</v>
      </c>
      <c r="I137" s="62">
        <v>1</v>
      </c>
      <c r="J137" s="62">
        <v>1</v>
      </c>
      <c r="K137" s="30">
        <v>384.2</v>
      </c>
      <c r="L137" s="27"/>
      <c r="M137" s="26">
        <f t="shared" si="0"/>
        <v>0</v>
      </c>
      <c r="N137" s="26"/>
      <c r="O137" s="31"/>
      <c r="P137" s="53">
        <v>15</v>
      </c>
      <c r="Q137" s="30">
        <v>11948.95</v>
      </c>
      <c r="R137" s="27"/>
      <c r="S137" s="26">
        <f t="shared" si="3"/>
        <v>0</v>
      </c>
      <c r="T137" s="26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254" t="s">
        <v>316</v>
      </c>
      <c r="G138" s="35" t="s">
        <v>28</v>
      </c>
      <c r="H138" s="153">
        <v>3</v>
      </c>
      <c r="I138" s="37">
        <v>2</v>
      </c>
      <c r="J138" s="37">
        <v>2</v>
      </c>
      <c r="K138" s="68">
        <v>2305.1999999999998</v>
      </c>
      <c r="L138" s="40"/>
      <c r="M138" s="39">
        <f t="shared" si="0"/>
        <v>0</v>
      </c>
      <c r="N138" s="39"/>
      <c r="O138" s="41"/>
      <c r="P138" s="115">
        <v>1</v>
      </c>
      <c r="Q138" s="68">
        <v>700</v>
      </c>
      <c r="R138" s="40"/>
      <c r="S138" s="39">
        <f t="shared" si="3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82"/>
      <c r="B139" s="381" t="s">
        <v>127</v>
      </c>
      <c r="C139" s="381" t="s">
        <v>22</v>
      </c>
      <c r="D139" s="381"/>
      <c r="E139" s="381" t="s">
        <v>67</v>
      </c>
      <c r="F139" s="223" t="s">
        <v>368</v>
      </c>
      <c r="G139" s="47" t="s">
        <v>24</v>
      </c>
      <c r="H139" s="48">
        <v>6</v>
      </c>
      <c r="I139" s="203">
        <v>3</v>
      </c>
      <c r="J139" s="203">
        <v>3</v>
      </c>
      <c r="K139" s="65">
        <v>3609.92</v>
      </c>
      <c r="L139" s="51"/>
      <c r="M139" s="50">
        <f t="shared" si="0"/>
        <v>0</v>
      </c>
      <c r="N139" s="50"/>
      <c r="O139" s="31"/>
      <c r="P139" s="108">
        <v>8</v>
      </c>
      <c r="Q139" s="65">
        <v>29582.03</v>
      </c>
      <c r="R139" s="51"/>
      <c r="S139" s="50">
        <f t="shared" si="3"/>
        <v>8462.64</v>
      </c>
      <c r="T139" s="50"/>
      <c r="U139" s="225">
        <v>8462.64</v>
      </c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75"/>
      <c r="C140" s="375"/>
      <c r="D140" s="375"/>
      <c r="E140" s="375"/>
      <c r="F140" s="221" t="s">
        <v>317</v>
      </c>
      <c r="G140" s="55" t="s">
        <v>28</v>
      </c>
      <c r="H140" s="153">
        <v>7</v>
      </c>
      <c r="I140" s="37">
        <v>4</v>
      </c>
      <c r="J140" s="37">
        <v>4</v>
      </c>
      <c r="K140" s="68">
        <v>5174.6000000000004</v>
      </c>
      <c r="L140" s="40"/>
      <c r="M140" s="39">
        <f t="shared" si="0"/>
        <v>0</v>
      </c>
      <c r="N140" s="39"/>
      <c r="O140" s="41"/>
      <c r="P140" s="115">
        <v>2</v>
      </c>
      <c r="Q140" s="68">
        <v>15088</v>
      </c>
      <c r="R140" s="40"/>
      <c r="S140" s="39">
        <f t="shared" si="3"/>
        <v>0</v>
      </c>
      <c r="T140" s="39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2"/>
      <c r="B141" s="381" t="s">
        <v>128</v>
      </c>
      <c r="C141" s="381" t="s">
        <v>39</v>
      </c>
      <c r="D141" s="381" t="s">
        <v>129</v>
      </c>
      <c r="E141" s="381" t="s">
        <v>121</v>
      </c>
      <c r="F141" s="60"/>
      <c r="G141" s="23" t="s">
        <v>24</v>
      </c>
      <c r="H141" s="107"/>
      <c r="I141" s="49"/>
      <c r="J141" s="127"/>
      <c r="K141" s="50"/>
      <c r="L141" s="51"/>
      <c r="M141" s="50">
        <f t="shared" si="0"/>
        <v>0</v>
      </c>
      <c r="N141" s="50"/>
      <c r="O141" s="31"/>
      <c r="P141" s="108">
        <v>1</v>
      </c>
      <c r="Q141" s="65">
        <v>14638.71</v>
      </c>
      <c r="R141" s="51"/>
      <c r="S141" s="50">
        <f t="shared" si="3"/>
        <v>0</v>
      </c>
      <c r="T141" s="50"/>
      <c r="U141" s="3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247"/>
      <c r="G142" s="227" t="s">
        <v>25</v>
      </c>
      <c r="H142" s="153">
        <v>1</v>
      </c>
      <c r="I142" s="57"/>
      <c r="J142" s="57"/>
      <c r="K142" s="43"/>
      <c r="L142" s="44"/>
      <c r="M142" s="43">
        <f t="shared" si="0"/>
        <v>0</v>
      </c>
      <c r="N142" s="43"/>
      <c r="O142" s="41"/>
      <c r="P142" s="103"/>
      <c r="Q142" s="43"/>
      <c r="R142" s="44"/>
      <c r="S142" s="43">
        <f t="shared" si="3"/>
        <v>0</v>
      </c>
      <c r="T142" s="43"/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130</v>
      </c>
      <c r="C143" s="374" t="s">
        <v>22</v>
      </c>
      <c r="D143" s="374"/>
      <c r="E143" s="374" t="s">
        <v>131</v>
      </c>
      <c r="F143" s="22"/>
      <c r="G143" s="176" t="s">
        <v>24</v>
      </c>
      <c r="H143" s="48">
        <v>2</v>
      </c>
      <c r="I143" s="25"/>
      <c r="J143" s="25"/>
      <c r="K143" s="26"/>
      <c r="L143" s="27"/>
      <c r="M143" s="26">
        <f t="shared" si="0"/>
        <v>0</v>
      </c>
      <c r="N143" s="26"/>
      <c r="O143" s="31"/>
      <c r="P143" s="53">
        <v>3</v>
      </c>
      <c r="Q143" s="30">
        <v>5532.03</v>
      </c>
      <c r="R143" s="27"/>
      <c r="S143" s="26">
        <f t="shared" si="3"/>
        <v>0</v>
      </c>
      <c r="T143" s="26"/>
      <c r="U143" s="3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34"/>
      <c r="G144" s="229" t="s">
        <v>25</v>
      </c>
      <c r="H144" s="112">
        <v>5</v>
      </c>
      <c r="I144" s="130">
        <v>2</v>
      </c>
      <c r="J144" s="130">
        <v>2</v>
      </c>
      <c r="K144" s="114">
        <v>1728.9</v>
      </c>
      <c r="L144" s="44"/>
      <c r="M144" s="43">
        <f t="shared" si="0"/>
        <v>0</v>
      </c>
      <c r="N144" s="43"/>
      <c r="O144" s="41"/>
      <c r="P144" s="113">
        <v>1</v>
      </c>
      <c r="Q144" s="114">
        <v>3457.8</v>
      </c>
      <c r="R144" s="44"/>
      <c r="S144" s="43">
        <f t="shared" si="3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132</v>
      </c>
      <c r="C145" s="374" t="s">
        <v>39</v>
      </c>
      <c r="D145" s="374" t="s">
        <v>238</v>
      </c>
      <c r="E145" s="377" t="s">
        <v>136</v>
      </c>
      <c r="F145" s="232" t="s">
        <v>239</v>
      </c>
      <c r="G145" s="23" t="s">
        <v>24</v>
      </c>
      <c r="H145" s="61">
        <v>5</v>
      </c>
      <c r="I145" s="62">
        <v>3</v>
      </c>
      <c r="J145" s="62">
        <v>3</v>
      </c>
      <c r="K145" s="30">
        <v>2891.11</v>
      </c>
      <c r="L145" s="27"/>
      <c r="M145" s="26">
        <f t="shared" si="0"/>
        <v>0</v>
      </c>
      <c r="N145" s="26"/>
      <c r="O145" s="31"/>
      <c r="P145" s="53">
        <v>10</v>
      </c>
      <c r="Q145" s="30">
        <v>28200</v>
      </c>
      <c r="R145" s="205">
        <v>1</v>
      </c>
      <c r="S145" s="26">
        <f t="shared" si="3"/>
        <v>8445.0499999999993</v>
      </c>
      <c r="T145" s="30">
        <v>2697.08</v>
      </c>
      <c r="U145" s="225">
        <v>5747.97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87"/>
      <c r="B146" s="386"/>
      <c r="C146" s="386"/>
      <c r="D146" s="386"/>
      <c r="E146" s="386"/>
      <c r="F146" s="237" t="s">
        <v>240</v>
      </c>
      <c r="G146" s="154" t="s">
        <v>28</v>
      </c>
      <c r="H146" s="112">
        <v>8</v>
      </c>
      <c r="I146" s="271">
        <v>1</v>
      </c>
      <c r="J146" s="271">
        <v>1</v>
      </c>
      <c r="K146" s="239">
        <v>1728.9</v>
      </c>
      <c r="L146" s="128"/>
      <c r="M146" s="129">
        <f t="shared" si="0"/>
        <v>0</v>
      </c>
      <c r="N146" s="129"/>
      <c r="O146" s="45"/>
      <c r="P146" s="238">
        <v>7</v>
      </c>
      <c r="Q146" s="239">
        <v>11775.73</v>
      </c>
      <c r="R146" s="128"/>
      <c r="S146" s="129">
        <f t="shared" si="3"/>
        <v>288.14999999999998</v>
      </c>
      <c r="T146" s="239">
        <v>288.14999999999998</v>
      </c>
      <c r="U146" s="45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3"/>
      <c r="B147" s="375"/>
      <c r="C147" s="375"/>
      <c r="D147" s="375"/>
      <c r="E147" s="375"/>
      <c r="F147" s="126"/>
      <c r="G147" s="55" t="s">
        <v>25</v>
      </c>
      <c r="H147" s="131"/>
      <c r="I147" s="57"/>
      <c r="J147" s="57"/>
      <c r="K147" s="43"/>
      <c r="L147" s="44"/>
      <c r="M147" s="43">
        <f t="shared" si="0"/>
        <v>0</v>
      </c>
      <c r="N147" s="43"/>
      <c r="O147" s="41"/>
      <c r="P147" s="103"/>
      <c r="Q147" s="43"/>
      <c r="R147" s="44"/>
      <c r="S147" s="43">
        <f t="shared" si="3"/>
        <v>0</v>
      </c>
      <c r="T147" s="43"/>
      <c r="U147" s="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2"/>
      <c r="B148" s="374" t="s">
        <v>133</v>
      </c>
      <c r="C148" s="374"/>
      <c r="D148" s="374"/>
      <c r="E148" s="381" t="s">
        <v>23</v>
      </c>
      <c r="F148" s="22"/>
      <c r="G148" s="23" t="s">
        <v>24</v>
      </c>
      <c r="H148" s="61">
        <v>5</v>
      </c>
      <c r="I148" s="25"/>
      <c r="J148" s="25"/>
      <c r="K148" s="26"/>
      <c r="L148" s="27"/>
      <c r="M148" s="26">
        <f t="shared" si="0"/>
        <v>0</v>
      </c>
      <c r="N148" s="26"/>
      <c r="O148" s="31"/>
      <c r="P148" s="99"/>
      <c r="Q148" s="26"/>
      <c r="R148" s="27"/>
      <c r="S148" s="26">
        <f t="shared" si="3"/>
        <v>0</v>
      </c>
      <c r="T148" s="26"/>
      <c r="U148" s="3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3"/>
      <c r="B149" s="375"/>
      <c r="C149" s="375"/>
      <c r="D149" s="375"/>
      <c r="E149" s="375"/>
      <c r="F149" s="34"/>
      <c r="G149" s="35" t="s">
        <v>25</v>
      </c>
      <c r="H149" s="106"/>
      <c r="I149" s="38"/>
      <c r="J149" s="38"/>
      <c r="K149" s="39"/>
      <c r="L149" s="40"/>
      <c r="M149" s="39">
        <f t="shared" si="0"/>
        <v>0</v>
      </c>
      <c r="N149" s="39"/>
      <c r="O149" s="41"/>
      <c r="P149" s="59"/>
      <c r="Q149" s="39"/>
      <c r="R149" s="40"/>
      <c r="S149" s="39">
        <f t="shared" si="3"/>
        <v>0</v>
      </c>
      <c r="T149" s="39"/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134</v>
      </c>
      <c r="C150" s="374" t="s">
        <v>39</v>
      </c>
      <c r="D150" s="374" t="s">
        <v>280</v>
      </c>
      <c r="E150" s="374" t="s">
        <v>136</v>
      </c>
      <c r="F150" s="204" t="s">
        <v>282</v>
      </c>
      <c r="G150" s="176" t="s">
        <v>24</v>
      </c>
      <c r="H150" s="48">
        <v>4</v>
      </c>
      <c r="I150" s="203">
        <v>3</v>
      </c>
      <c r="J150" s="203">
        <v>3</v>
      </c>
      <c r="K150" s="65">
        <v>6564.06</v>
      </c>
      <c r="L150" s="51"/>
      <c r="M150" s="50">
        <f t="shared" si="0"/>
        <v>0</v>
      </c>
      <c r="N150" s="50"/>
      <c r="O150" s="31"/>
      <c r="P150" s="108">
        <v>4</v>
      </c>
      <c r="Q150" s="65">
        <v>22015.89</v>
      </c>
      <c r="R150" s="224">
        <v>2</v>
      </c>
      <c r="S150" s="50">
        <f t="shared" si="3"/>
        <v>3694.33</v>
      </c>
      <c r="T150" s="65">
        <v>3694.33</v>
      </c>
      <c r="U150" s="3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87"/>
      <c r="B151" s="386"/>
      <c r="C151" s="386"/>
      <c r="D151" s="386"/>
      <c r="E151" s="386"/>
      <c r="F151" s="235" t="s">
        <v>321</v>
      </c>
      <c r="G151" s="252" t="s">
        <v>28</v>
      </c>
      <c r="H151" s="151">
        <v>6</v>
      </c>
      <c r="I151" s="139"/>
      <c r="J151" s="139"/>
      <c r="K151" s="142"/>
      <c r="L151" s="143"/>
      <c r="M151" s="142">
        <f t="shared" si="0"/>
        <v>0</v>
      </c>
      <c r="N151" s="142"/>
      <c r="O151" s="45"/>
      <c r="P151" s="157">
        <v>4</v>
      </c>
      <c r="Q151" s="158">
        <v>8625.2900000000009</v>
      </c>
      <c r="R151" s="51"/>
      <c r="S151" s="50">
        <f t="shared" si="3"/>
        <v>6224.04</v>
      </c>
      <c r="T151" s="158">
        <v>6224.04</v>
      </c>
      <c r="U151" s="4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229" t="s">
        <v>25</v>
      </c>
      <c r="H152" s="118"/>
      <c r="I152" s="57"/>
      <c r="J152" s="57"/>
      <c r="K152" s="43"/>
      <c r="L152" s="44"/>
      <c r="M152" s="43">
        <f t="shared" si="0"/>
        <v>0</v>
      </c>
      <c r="N152" s="43"/>
      <c r="O152" s="41"/>
      <c r="P152" s="103"/>
      <c r="Q152" s="43"/>
      <c r="R152" s="44"/>
      <c r="S152" s="43">
        <f t="shared" si="3"/>
        <v>0</v>
      </c>
      <c r="T152" s="43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137</v>
      </c>
      <c r="C153" s="377" t="s">
        <v>39</v>
      </c>
      <c r="D153" s="374" t="s">
        <v>322</v>
      </c>
      <c r="E153" s="377" t="s">
        <v>27</v>
      </c>
      <c r="F153" s="232" t="s">
        <v>323</v>
      </c>
      <c r="G153" s="23" t="s">
        <v>24</v>
      </c>
      <c r="H153" s="24">
        <v>6</v>
      </c>
      <c r="I153" s="62">
        <v>1</v>
      </c>
      <c r="J153" s="62">
        <v>1</v>
      </c>
      <c r="K153" s="30">
        <v>947.05</v>
      </c>
      <c r="L153" s="27"/>
      <c r="M153" s="26">
        <f t="shared" si="0"/>
        <v>0</v>
      </c>
      <c r="N153" s="26"/>
      <c r="O153" s="31"/>
      <c r="P153" s="53">
        <v>1</v>
      </c>
      <c r="Q153" s="30">
        <v>576.29999999999995</v>
      </c>
      <c r="R153" s="205">
        <v>1</v>
      </c>
      <c r="S153" s="26">
        <f t="shared" si="3"/>
        <v>576.29999999999995</v>
      </c>
      <c r="T153" s="30">
        <v>576.29999999999995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80"/>
      <c r="F154" s="220" t="s">
        <v>241</v>
      </c>
      <c r="G154" s="35" t="s">
        <v>28</v>
      </c>
      <c r="H154" s="66">
        <v>5</v>
      </c>
      <c r="I154" s="38"/>
      <c r="J154" s="38"/>
      <c r="K154" s="39"/>
      <c r="L154" s="40"/>
      <c r="M154" s="39">
        <f t="shared" si="0"/>
        <v>0</v>
      </c>
      <c r="N154" s="39"/>
      <c r="O154" s="41"/>
      <c r="P154" s="115">
        <v>2</v>
      </c>
      <c r="Q154" s="68">
        <v>3265.7</v>
      </c>
      <c r="R154" s="40"/>
      <c r="S154" s="39">
        <f t="shared" si="3"/>
        <v>0</v>
      </c>
      <c r="T154" s="39"/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138</v>
      </c>
      <c r="C155" s="374" t="s">
        <v>22</v>
      </c>
      <c r="D155" s="374"/>
      <c r="E155" s="374" t="s">
        <v>27</v>
      </c>
      <c r="F155" s="204" t="s">
        <v>324</v>
      </c>
      <c r="G155" s="176" t="s">
        <v>24</v>
      </c>
      <c r="H155" s="151">
        <v>4</v>
      </c>
      <c r="I155" s="203">
        <v>1</v>
      </c>
      <c r="J155" s="203">
        <v>1</v>
      </c>
      <c r="K155" s="65">
        <v>576.29999999999995</v>
      </c>
      <c r="L155" s="51"/>
      <c r="M155" s="50">
        <f t="shared" si="0"/>
        <v>0</v>
      </c>
      <c r="N155" s="50"/>
      <c r="O155" s="31"/>
      <c r="P155" s="108">
        <v>8</v>
      </c>
      <c r="Q155" s="65">
        <v>16335.71</v>
      </c>
      <c r="R155" s="224">
        <v>7</v>
      </c>
      <c r="S155" s="50">
        <f t="shared" si="3"/>
        <v>11686.89</v>
      </c>
      <c r="T155" s="65">
        <v>11686.89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220" t="s">
        <v>242</v>
      </c>
      <c r="G156" s="229" t="s">
        <v>28</v>
      </c>
      <c r="H156" s="133">
        <v>6</v>
      </c>
      <c r="I156" s="130">
        <v>2</v>
      </c>
      <c r="J156" s="130">
        <v>2</v>
      </c>
      <c r="K156" s="114">
        <v>3880.42</v>
      </c>
      <c r="L156" s="44"/>
      <c r="M156" s="43">
        <f t="shared" si="0"/>
        <v>0</v>
      </c>
      <c r="N156" s="43"/>
      <c r="O156" s="41"/>
      <c r="P156" s="113">
        <v>3</v>
      </c>
      <c r="Q156" s="114">
        <v>7203.75</v>
      </c>
      <c r="R156" s="44"/>
      <c r="S156" s="43">
        <f t="shared" si="3"/>
        <v>4802.5</v>
      </c>
      <c r="T156" s="114">
        <v>4802.5</v>
      </c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2"/>
      <c r="B157" s="374" t="s">
        <v>139</v>
      </c>
      <c r="C157" s="374" t="s">
        <v>22</v>
      </c>
      <c r="D157" s="374"/>
      <c r="E157" s="374" t="s">
        <v>67</v>
      </c>
      <c r="F157" s="232" t="s">
        <v>325</v>
      </c>
      <c r="G157" s="23" t="s">
        <v>24</v>
      </c>
      <c r="H157" s="151">
        <v>4</v>
      </c>
      <c r="I157" s="62">
        <v>3</v>
      </c>
      <c r="J157" s="62">
        <v>4</v>
      </c>
      <c r="K157" s="30">
        <v>11839.32</v>
      </c>
      <c r="L157" s="27"/>
      <c r="M157" s="26">
        <f t="shared" si="0"/>
        <v>0</v>
      </c>
      <c r="N157" s="26"/>
      <c r="O157" s="31"/>
      <c r="P157" s="53">
        <v>9</v>
      </c>
      <c r="Q157" s="30">
        <v>20468.02</v>
      </c>
      <c r="R157" s="205">
        <v>2</v>
      </c>
      <c r="S157" s="26">
        <f t="shared" si="3"/>
        <v>5290.28</v>
      </c>
      <c r="T157" s="30">
        <v>5290.28</v>
      </c>
      <c r="U157" s="22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233" t="s">
        <v>326</v>
      </c>
      <c r="G158" s="227" t="s">
        <v>28</v>
      </c>
      <c r="H158" s="112">
        <v>4</v>
      </c>
      <c r="I158" s="57"/>
      <c r="J158" s="57"/>
      <c r="K158" s="43"/>
      <c r="L158" s="44"/>
      <c r="M158" s="43">
        <f t="shared" si="0"/>
        <v>0</v>
      </c>
      <c r="N158" s="43"/>
      <c r="O158" s="45"/>
      <c r="P158" s="113">
        <v>2</v>
      </c>
      <c r="Q158" s="114">
        <v>3976.1</v>
      </c>
      <c r="R158" s="44"/>
      <c r="S158" s="43">
        <f t="shared" si="3"/>
        <v>6269.7</v>
      </c>
      <c r="T158" s="114">
        <v>6269.7</v>
      </c>
      <c r="U158" s="4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140</v>
      </c>
      <c r="C159" s="374" t="s">
        <v>39</v>
      </c>
      <c r="D159" s="374" t="s">
        <v>369</v>
      </c>
      <c r="E159" s="374" t="s">
        <v>27</v>
      </c>
      <c r="F159" s="204" t="s">
        <v>370</v>
      </c>
      <c r="G159" s="176" t="s">
        <v>24</v>
      </c>
      <c r="H159" s="24">
        <v>3</v>
      </c>
      <c r="I159" s="62">
        <v>1</v>
      </c>
      <c r="J159" s="62">
        <v>1</v>
      </c>
      <c r="K159" s="30">
        <v>1045.98</v>
      </c>
      <c r="L159" s="27"/>
      <c r="M159" s="26">
        <f t="shared" si="0"/>
        <v>0</v>
      </c>
      <c r="N159" s="26"/>
      <c r="O159" s="159"/>
      <c r="P159" s="53">
        <v>3</v>
      </c>
      <c r="Q159" s="30">
        <v>20168.78</v>
      </c>
      <c r="R159" s="27"/>
      <c r="S159" s="26">
        <f t="shared" si="3"/>
        <v>20168.78</v>
      </c>
      <c r="T159" s="30">
        <v>2014.19</v>
      </c>
      <c r="U159" s="241">
        <v>18154.59</v>
      </c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220" t="s">
        <v>243</v>
      </c>
      <c r="G160" s="229" t="s">
        <v>28</v>
      </c>
      <c r="H160" s="66">
        <v>4</v>
      </c>
      <c r="I160" s="37">
        <v>1</v>
      </c>
      <c r="J160" s="37">
        <v>1</v>
      </c>
      <c r="K160" s="68">
        <v>1728</v>
      </c>
      <c r="L160" s="40"/>
      <c r="M160" s="39">
        <f t="shared" si="0"/>
        <v>0</v>
      </c>
      <c r="N160" s="39"/>
      <c r="O160" s="58"/>
      <c r="P160" s="115">
        <v>2</v>
      </c>
      <c r="Q160" s="68">
        <v>2420.46</v>
      </c>
      <c r="R160" s="40"/>
      <c r="S160" s="39">
        <f t="shared" si="3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6"/>
      <c r="B161" s="377" t="s">
        <v>141</v>
      </c>
      <c r="C161" s="377" t="s">
        <v>39</v>
      </c>
      <c r="D161" s="377" t="s">
        <v>371</v>
      </c>
      <c r="E161" s="377" t="s">
        <v>27</v>
      </c>
      <c r="F161" s="232" t="s">
        <v>372</v>
      </c>
      <c r="G161" s="95" t="s">
        <v>24</v>
      </c>
      <c r="H161" s="151">
        <v>3</v>
      </c>
      <c r="I161" s="49"/>
      <c r="J161" s="49"/>
      <c r="K161" s="50"/>
      <c r="L161" s="51"/>
      <c r="M161" s="50">
        <f t="shared" si="0"/>
        <v>0</v>
      </c>
      <c r="N161" s="50"/>
      <c r="O161" s="31"/>
      <c r="P161" s="108">
        <v>1</v>
      </c>
      <c r="Q161" s="65">
        <v>2497.3000000000002</v>
      </c>
      <c r="R161" s="224">
        <v>1</v>
      </c>
      <c r="S161" s="50">
        <f t="shared" si="3"/>
        <v>2497.3000000000002</v>
      </c>
      <c r="T161" s="65">
        <v>2497.3000000000002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3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142</v>
      </c>
      <c r="C163" s="374"/>
      <c r="D163" s="374"/>
      <c r="E163" s="374" t="s">
        <v>27</v>
      </c>
      <c r="F163" s="22"/>
      <c r="G163" s="23" t="s">
        <v>24</v>
      </c>
      <c r="H163" s="24">
        <v>2</v>
      </c>
      <c r="I163" s="62">
        <v>2</v>
      </c>
      <c r="J163" s="62">
        <v>2</v>
      </c>
      <c r="K163" s="30">
        <v>524.91</v>
      </c>
      <c r="L163" s="27"/>
      <c r="M163" s="26">
        <f t="shared" si="0"/>
        <v>0</v>
      </c>
      <c r="N163" s="26"/>
      <c r="O163" s="28"/>
      <c r="P163" s="53">
        <v>1</v>
      </c>
      <c r="Q163" s="30">
        <v>412.05</v>
      </c>
      <c r="R163" s="27"/>
      <c r="S163" s="26">
        <f t="shared" si="3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105"/>
      <c r="G164" s="35" t="s">
        <v>28</v>
      </c>
      <c r="H164" s="36"/>
      <c r="I164" s="38"/>
      <c r="J164" s="38"/>
      <c r="K164" s="39"/>
      <c r="L164" s="40"/>
      <c r="M164" s="39">
        <f t="shared" si="0"/>
        <v>0</v>
      </c>
      <c r="N164" s="39"/>
      <c r="O164" s="41"/>
      <c r="P164" s="59"/>
      <c r="Q164" s="39"/>
      <c r="R164" s="40"/>
      <c r="S164" s="39">
        <f t="shared" si="3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143</v>
      </c>
      <c r="C165" s="381" t="s">
        <v>39</v>
      </c>
      <c r="D165" s="381" t="s">
        <v>327</v>
      </c>
      <c r="E165" s="381" t="s">
        <v>145</v>
      </c>
      <c r="F165" s="223" t="s">
        <v>215</v>
      </c>
      <c r="G165" s="47" t="s">
        <v>24</v>
      </c>
      <c r="H165" s="151">
        <v>3</v>
      </c>
      <c r="I165" s="49"/>
      <c r="J165" s="49"/>
      <c r="K165" s="50"/>
      <c r="L165" s="51"/>
      <c r="M165" s="50">
        <f t="shared" si="0"/>
        <v>0</v>
      </c>
      <c r="N165" s="50"/>
      <c r="O165" s="31"/>
      <c r="P165" s="108">
        <v>10</v>
      </c>
      <c r="Q165" s="65">
        <v>34619.06</v>
      </c>
      <c r="R165" s="224">
        <v>4</v>
      </c>
      <c r="S165" s="50">
        <f t="shared" si="3"/>
        <v>16502.04</v>
      </c>
      <c r="T165" s="65">
        <v>14714.18</v>
      </c>
      <c r="U165" s="225">
        <v>1787.86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233" t="s">
        <v>244</v>
      </c>
      <c r="G166" s="227" t="s">
        <v>28</v>
      </c>
      <c r="H166" s="133">
        <v>5</v>
      </c>
      <c r="I166" s="130">
        <v>1</v>
      </c>
      <c r="J166" s="130">
        <v>1</v>
      </c>
      <c r="K166" s="114">
        <v>2497.3000000000002</v>
      </c>
      <c r="L166" s="128"/>
      <c r="M166" s="50">
        <f t="shared" si="0"/>
        <v>0</v>
      </c>
      <c r="N166" s="43"/>
      <c r="O166" s="41"/>
      <c r="P166" s="113">
        <v>1</v>
      </c>
      <c r="Q166" s="114">
        <v>5426.7</v>
      </c>
      <c r="R166" s="44"/>
      <c r="S166" s="43">
        <f t="shared" si="3"/>
        <v>576.29999999999995</v>
      </c>
      <c r="T166" s="114">
        <v>576.29999999999995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146</v>
      </c>
      <c r="C167" s="374" t="s">
        <v>39</v>
      </c>
      <c r="D167" s="374" t="s">
        <v>328</v>
      </c>
      <c r="E167" s="374" t="s">
        <v>27</v>
      </c>
      <c r="F167" s="204" t="s">
        <v>329</v>
      </c>
      <c r="G167" s="176" t="s">
        <v>24</v>
      </c>
      <c r="H167" s="48">
        <v>4</v>
      </c>
      <c r="I167" s="62">
        <v>1</v>
      </c>
      <c r="J167" s="62">
        <v>1</v>
      </c>
      <c r="K167" s="30">
        <v>1477.25</v>
      </c>
      <c r="L167" s="27"/>
      <c r="M167" s="26">
        <f t="shared" si="0"/>
        <v>0</v>
      </c>
      <c r="N167" s="26"/>
      <c r="O167" s="31"/>
      <c r="P167" s="53">
        <v>8</v>
      </c>
      <c r="Q167" s="30">
        <v>17730.189999999999</v>
      </c>
      <c r="R167" s="205">
        <v>1</v>
      </c>
      <c r="S167" s="26">
        <f t="shared" si="3"/>
        <v>1267.8599999999999</v>
      </c>
      <c r="T167" s="30">
        <v>1267.8599999999999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 t="s">
        <v>330</v>
      </c>
      <c r="G168" s="229" t="s">
        <v>28</v>
      </c>
      <c r="H168" s="153">
        <v>1</v>
      </c>
      <c r="I168" s="57"/>
      <c r="J168" s="57"/>
      <c r="K168" s="43"/>
      <c r="L168" s="44"/>
      <c r="M168" s="43">
        <f t="shared" si="0"/>
        <v>0</v>
      </c>
      <c r="N168" s="43"/>
      <c r="O168" s="41"/>
      <c r="P168" s="115">
        <v>3</v>
      </c>
      <c r="Q168" s="68">
        <v>16520.599999999999</v>
      </c>
      <c r="R168" s="40"/>
      <c r="S168" s="39">
        <f t="shared" si="3"/>
        <v>576.29999999999995</v>
      </c>
      <c r="T168" s="68">
        <v>576.29999999999995</v>
      </c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148</v>
      </c>
      <c r="C169" s="374" t="s">
        <v>39</v>
      </c>
      <c r="D169" s="374" t="s">
        <v>149</v>
      </c>
      <c r="E169" s="374" t="s">
        <v>27</v>
      </c>
      <c r="F169" s="232" t="s">
        <v>218</v>
      </c>
      <c r="G169" s="23" t="s">
        <v>24</v>
      </c>
      <c r="H169" s="48">
        <v>12</v>
      </c>
      <c r="I169" s="62">
        <v>8</v>
      </c>
      <c r="J169" s="204">
        <v>9</v>
      </c>
      <c r="K169" s="30">
        <v>11351.58</v>
      </c>
      <c r="L169" s="27"/>
      <c r="M169" s="26">
        <f t="shared" si="0"/>
        <v>0</v>
      </c>
      <c r="N169" s="26"/>
      <c r="O169" s="31"/>
      <c r="P169" s="108">
        <v>19</v>
      </c>
      <c r="Q169" s="65">
        <v>55500.42</v>
      </c>
      <c r="R169" s="224">
        <v>5</v>
      </c>
      <c r="S169" s="50">
        <f t="shared" si="3"/>
        <v>17249.09</v>
      </c>
      <c r="T169" s="65">
        <v>17249.09</v>
      </c>
      <c r="U169" s="225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247"/>
      <c r="G170" s="227" t="s">
        <v>28</v>
      </c>
      <c r="H170" s="292">
        <v>1</v>
      </c>
      <c r="I170" s="261"/>
      <c r="J170" s="261"/>
      <c r="K170" s="211"/>
      <c r="L170" s="210"/>
      <c r="M170" s="211">
        <f t="shared" si="0"/>
        <v>0</v>
      </c>
      <c r="N170" s="211"/>
      <c r="O170" s="212"/>
      <c r="P170" s="262">
        <v>1</v>
      </c>
      <c r="Q170" s="209">
        <v>576.29999999999995</v>
      </c>
      <c r="R170" s="210"/>
      <c r="S170" s="211">
        <f t="shared" si="3"/>
        <v>1921</v>
      </c>
      <c r="T170" s="209">
        <v>1921</v>
      </c>
      <c r="U170" s="212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373</v>
      </c>
      <c r="C171" s="374"/>
      <c r="D171" s="374"/>
      <c r="E171" s="374"/>
      <c r="F171" s="22"/>
      <c r="G171" s="213" t="s">
        <v>24</v>
      </c>
      <c r="H171" s="104"/>
      <c r="I171" s="25"/>
      <c r="J171" s="25"/>
      <c r="K171" s="162"/>
      <c r="L171" s="163"/>
      <c r="M171" s="162">
        <f t="shared" si="0"/>
        <v>0</v>
      </c>
      <c r="N171" s="162"/>
      <c r="O171" s="28"/>
      <c r="P171" s="275"/>
      <c r="Q171" s="26"/>
      <c r="R171" s="27"/>
      <c r="S171" s="26">
        <f t="shared" si="3"/>
        <v>0</v>
      </c>
      <c r="T171" s="26"/>
      <c r="U171" s="2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105"/>
      <c r="G172" s="215" t="s">
        <v>28</v>
      </c>
      <c r="H172" s="117">
        <v>2</v>
      </c>
      <c r="I172" s="38"/>
      <c r="J172" s="38"/>
      <c r="K172" s="164"/>
      <c r="L172" s="165"/>
      <c r="M172" s="164">
        <f t="shared" si="0"/>
        <v>0</v>
      </c>
      <c r="N172" s="164"/>
      <c r="O172" s="41"/>
      <c r="P172" s="276"/>
      <c r="Q172" s="39"/>
      <c r="R172" s="40"/>
      <c r="S172" s="39">
        <f t="shared" si="3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6"/>
      <c r="B173" s="402" t="s">
        <v>150</v>
      </c>
      <c r="C173" s="377" t="s">
        <v>39</v>
      </c>
      <c r="D173" s="377" t="s">
        <v>151</v>
      </c>
      <c r="E173" s="377" t="s">
        <v>152</v>
      </c>
      <c r="F173" s="72"/>
      <c r="G173" s="95" t="s">
        <v>24</v>
      </c>
      <c r="H173" s="74"/>
      <c r="I173" s="96"/>
      <c r="J173" s="96"/>
      <c r="K173" s="293"/>
      <c r="L173" s="294"/>
      <c r="M173" s="293">
        <f t="shared" si="0"/>
        <v>0</v>
      </c>
      <c r="N173" s="293"/>
      <c r="O173" s="82"/>
      <c r="P173" s="295"/>
      <c r="Q173" s="81"/>
      <c r="R173" s="80"/>
      <c r="S173" s="81">
        <f t="shared" si="3"/>
        <v>0</v>
      </c>
      <c r="T173" s="81"/>
      <c r="U173" s="8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89"/>
      <c r="C174" s="375"/>
      <c r="D174" s="375"/>
      <c r="E174" s="375"/>
      <c r="F174" s="220" t="s">
        <v>331</v>
      </c>
      <c r="G174" s="35" t="s">
        <v>25</v>
      </c>
      <c r="H174" s="106"/>
      <c r="I174" s="38"/>
      <c r="J174" s="38"/>
      <c r="K174" s="164"/>
      <c r="L174" s="165"/>
      <c r="M174" s="164">
        <f t="shared" si="0"/>
        <v>0</v>
      </c>
      <c r="N174" s="164"/>
      <c r="O174" s="41"/>
      <c r="P174" s="67">
        <v>3</v>
      </c>
      <c r="Q174" s="68">
        <v>10841.33</v>
      </c>
      <c r="R174" s="285">
        <v>3</v>
      </c>
      <c r="S174" s="68">
        <v>10841.33</v>
      </c>
      <c r="T174" s="68">
        <v>10841.33</v>
      </c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153</v>
      </c>
      <c r="C175" s="374" t="s">
        <v>39</v>
      </c>
      <c r="D175" s="381" t="s">
        <v>332</v>
      </c>
      <c r="E175" s="381" t="s">
        <v>27</v>
      </c>
      <c r="F175" s="223" t="s">
        <v>333</v>
      </c>
      <c r="G175" s="47" t="s">
        <v>24</v>
      </c>
      <c r="H175" s="48">
        <v>7</v>
      </c>
      <c r="I175" s="203">
        <v>5</v>
      </c>
      <c r="J175" s="203">
        <v>6</v>
      </c>
      <c r="K175" s="242">
        <v>11388.76</v>
      </c>
      <c r="L175" s="167"/>
      <c r="M175" s="166">
        <f t="shared" si="0"/>
        <v>0</v>
      </c>
      <c r="N175" s="166"/>
      <c r="O175" s="31"/>
      <c r="P175" s="108">
        <v>5</v>
      </c>
      <c r="Q175" s="65">
        <v>16635.98</v>
      </c>
      <c r="R175" s="224">
        <v>4</v>
      </c>
      <c r="S175" s="50">
        <f t="shared" ref="S175:S194" si="4">T175+U175</f>
        <v>15452.64</v>
      </c>
      <c r="T175" s="65">
        <v>15452.64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75"/>
      <c r="D176" s="380"/>
      <c r="E176" s="380"/>
      <c r="F176" s="34"/>
      <c r="G176" s="35" t="s">
        <v>28</v>
      </c>
      <c r="H176" s="111"/>
      <c r="I176" s="57"/>
      <c r="J176" s="57"/>
      <c r="K176" s="43"/>
      <c r="L176" s="44"/>
      <c r="M176" s="43">
        <f t="shared" si="0"/>
        <v>0</v>
      </c>
      <c r="N176" s="43"/>
      <c r="O176" s="41"/>
      <c r="P176" s="103"/>
      <c r="Q176" s="43"/>
      <c r="R176" s="44"/>
      <c r="S176" s="43">
        <f t="shared" si="4"/>
        <v>1921</v>
      </c>
      <c r="T176" s="114">
        <v>1921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155</v>
      </c>
      <c r="C177" s="374" t="s">
        <v>22</v>
      </c>
      <c r="D177" s="374"/>
      <c r="E177" s="374" t="s">
        <v>37</v>
      </c>
      <c r="F177" s="223" t="s">
        <v>245</v>
      </c>
      <c r="G177" s="23" t="s">
        <v>24</v>
      </c>
      <c r="H177" s="48">
        <v>3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4</v>
      </c>
      <c r="Q177" s="30">
        <v>10125.48</v>
      </c>
      <c r="R177" s="205">
        <v>1</v>
      </c>
      <c r="S177" s="26">
        <f t="shared" si="4"/>
        <v>3759.09</v>
      </c>
      <c r="T177" s="30">
        <v>3759.09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105"/>
      <c r="G178" s="35" t="s">
        <v>28</v>
      </c>
      <c r="H178" s="116"/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4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156</v>
      </c>
      <c r="C179" s="381" t="s">
        <v>22</v>
      </c>
      <c r="D179" s="385"/>
      <c r="E179" s="381" t="s">
        <v>27</v>
      </c>
      <c r="F179" s="126"/>
      <c r="G179" s="23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08">
        <v>1</v>
      </c>
      <c r="Q179" s="65">
        <v>11832.5</v>
      </c>
      <c r="R179" s="51"/>
      <c r="S179" s="50">
        <f t="shared" si="4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9"/>
      <c r="B180" s="380"/>
      <c r="C180" s="380"/>
      <c r="D180" s="380"/>
      <c r="E180" s="380"/>
      <c r="F180" s="54"/>
      <c r="G180" s="55" t="s">
        <v>28</v>
      </c>
      <c r="H180" s="118"/>
      <c r="I180" s="57"/>
      <c r="J180" s="57"/>
      <c r="K180" s="43"/>
      <c r="L180" s="44"/>
      <c r="M180" s="43">
        <f t="shared" si="0"/>
        <v>0</v>
      </c>
      <c r="N180" s="43"/>
      <c r="O180" s="41"/>
      <c r="P180" s="103"/>
      <c r="Q180" s="43"/>
      <c r="R180" s="44"/>
      <c r="S180" s="43">
        <f t="shared" si="4"/>
        <v>0</v>
      </c>
      <c r="T180" s="43"/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157</v>
      </c>
      <c r="C181" s="390"/>
      <c r="D181" s="374"/>
      <c r="E181" s="374"/>
      <c r="F181" s="22"/>
      <c r="G181" s="23" t="s">
        <v>24</v>
      </c>
      <c r="H181" s="104"/>
      <c r="I181" s="25"/>
      <c r="J181" s="25"/>
      <c r="K181" s="26"/>
      <c r="L181" s="27"/>
      <c r="M181" s="26">
        <f t="shared" si="0"/>
        <v>0</v>
      </c>
      <c r="N181" s="26"/>
      <c r="O181" s="31"/>
      <c r="P181" s="120"/>
      <c r="Q181" s="26"/>
      <c r="R181" s="27"/>
      <c r="S181" s="26">
        <f t="shared" si="4"/>
        <v>0</v>
      </c>
      <c r="T181" s="26"/>
      <c r="U181" s="3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34"/>
      <c r="G182" s="35" t="s">
        <v>28</v>
      </c>
      <c r="H182" s="106"/>
      <c r="I182" s="38"/>
      <c r="J182" s="38"/>
      <c r="K182" s="39"/>
      <c r="L182" s="40"/>
      <c r="M182" s="39">
        <f t="shared" si="0"/>
        <v>0</v>
      </c>
      <c r="N182" s="39"/>
      <c r="O182" s="41"/>
      <c r="P182" s="69"/>
      <c r="Q182" s="39"/>
      <c r="R182" s="40"/>
      <c r="S182" s="39">
        <f t="shared" si="4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158</v>
      </c>
      <c r="C183" s="374" t="s">
        <v>39</v>
      </c>
      <c r="D183" s="374" t="s">
        <v>288</v>
      </c>
      <c r="E183" s="374" t="s">
        <v>27</v>
      </c>
      <c r="F183" s="204" t="s">
        <v>289</v>
      </c>
      <c r="G183" s="176" t="s">
        <v>24</v>
      </c>
      <c r="H183" s="48">
        <v>7</v>
      </c>
      <c r="I183" s="203">
        <v>6</v>
      </c>
      <c r="J183" s="203">
        <v>6</v>
      </c>
      <c r="K183" s="65">
        <v>11123.36</v>
      </c>
      <c r="L183" s="51"/>
      <c r="M183" s="50">
        <f t="shared" si="0"/>
        <v>0</v>
      </c>
      <c r="N183" s="50"/>
      <c r="O183" s="31"/>
      <c r="P183" s="108">
        <v>5</v>
      </c>
      <c r="Q183" s="65">
        <v>8066.29</v>
      </c>
      <c r="R183" s="224">
        <v>1</v>
      </c>
      <c r="S183" s="50">
        <f t="shared" si="4"/>
        <v>2627.93</v>
      </c>
      <c r="T183" s="65">
        <v>2627.93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220" t="s">
        <v>334</v>
      </c>
      <c r="G184" s="229" t="s">
        <v>28</v>
      </c>
      <c r="H184" s="117">
        <v>1</v>
      </c>
      <c r="I184" s="38"/>
      <c r="J184" s="38"/>
      <c r="K184" s="39"/>
      <c r="L184" s="40"/>
      <c r="M184" s="39">
        <f t="shared" si="0"/>
        <v>0</v>
      </c>
      <c r="N184" s="39"/>
      <c r="O184" s="41"/>
      <c r="P184" s="59"/>
      <c r="Q184" s="39"/>
      <c r="R184" s="40"/>
      <c r="S184" s="39">
        <f t="shared" si="4"/>
        <v>1152.5999999999999</v>
      </c>
      <c r="T184" s="68">
        <v>1152.5999999999999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6"/>
      <c r="B185" s="377" t="s">
        <v>159</v>
      </c>
      <c r="C185" s="377" t="s">
        <v>22</v>
      </c>
      <c r="D185" s="377"/>
      <c r="E185" s="377" t="s">
        <v>160</v>
      </c>
      <c r="F185" s="232" t="s">
        <v>246</v>
      </c>
      <c r="G185" s="95" t="s">
        <v>24</v>
      </c>
      <c r="H185" s="48">
        <v>5</v>
      </c>
      <c r="I185" s="203">
        <v>3</v>
      </c>
      <c r="J185" s="203">
        <v>4</v>
      </c>
      <c r="K185" s="65">
        <v>5908.22</v>
      </c>
      <c r="L185" s="51"/>
      <c r="M185" s="50">
        <f t="shared" si="0"/>
        <v>0</v>
      </c>
      <c r="N185" s="50"/>
      <c r="O185" s="31"/>
      <c r="P185" s="108">
        <v>21</v>
      </c>
      <c r="Q185" s="65">
        <v>33307.06</v>
      </c>
      <c r="R185" s="224">
        <v>9</v>
      </c>
      <c r="S185" s="50">
        <f t="shared" si="4"/>
        <v>12661.42</v>
      </c>
      <c r="T185" s="65">
        <v>12661.42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75"/>
      <c r="F186" s="54"/>
      <c r="G186" s="55" t="s">
        <v>28</v>
      </c>
      <c r="H186" s="112">
        <v>2</v>
      </c>
      <c r="I186" s="130">
        <v>1</v>
      </c>
      <c r="J186" s="130">
        <v>1</v>
      </c>
      <c r="K186" s="114">
        <v>1056.55</v>
      </c>
      <c r="L186" s="128"/>
      <c r="M186" s="50">
        <f t="shared" si="0"/>
        <v>0</v>
      </c>
      <c r="N186" s="43"/>
      <c r="O186" s="41"/>
      <c r="P186" s="113">
        <v>3</v>
      </c>
      <c r="Q186" s="114">
        <v>5551.69</v>
      </c>
      <c r="R186" s="44"/>
      <c r="S186" s="43">
        <f t="shared" si="4"/>
        <v>0</v>
      </c>
      <c r="T186" s="43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161</v>
      </c>
      <c r="C187" s="374"/>
      <c r="D187" s="374"/>
      <c r="E187" s="374"/>
      <c r="F187" s="60"/>
      <c r="G187" s="23" t="s">
        <v>24</v>
      </c>
      <c r="H187" s="24">
        <v>4</v>
      </c>
      <c r="I187" s="25"/>
      <c r="J187" s="25"/>
      <c r="K187" s="26"/>
      <c r="L187" s="27"/>
      <c r="M187" s="26">
        <f t="shared" si="0"/>
        <v>0</v>
      </c>
      <c r="N187" s="26"/>
      <c r="O187" s="31"/>
      <c r="P187" s="53">
        <v>3</v>
      </c>
      <c r="Q187" s="30">
        <v>8280.19</v>
      </c>
      <c r="R187" s="27"/>
      <c r="S187" s="26">
        <f t="shared" si="4"/>
        <v>0</v>
      </c>
      <c r="T187" s="26"/>
      <c r="U187" s="3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92"/>
      <c r="F188" s="34"/>
      <c r="G188" s="35" t="s">
        <v>28</v>
      </c>
      <c r="H188" s="66">
        <v>4</v>
      </c>
      <c r="I188" s="38"/>
      <c r="J188" s="38"/>
      <c r="K188" s="39"/>
      <c r="L188" s="40"/>
      <c r="M188" s="39">
        <f t="shared" si="0"/>
        <v>0</v>
      </c>
      <c r="N188" s="39"/>
      <c r="O188" s="41"/>
      <c r="P188" s="59"/>
      <c r="Q188" s="39"/>
      <c r="R188" s="40"/>
      <c r="S188" s="39">
        <f t="shared" si="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162</v>
      </c>
      <c r="C189" s="381" t="s">
        <v>39</v>
      </c>
      <c r="D189" s="381" t="s">
        <v>163</v>
      </c>
      <c r="E189" s="374" t="s">
        <v>27</v>
      </c>
      <c r="F189" s="135"/>
      <c r="G189" s="47" t="s">
        <v>24</v>
      </c>
      <c r="H189" s="98"/>
      <c r="I189" s="49"/>
      <c r="J189" s="49"/>
      <c r="K189" s="50"/>
      <c r="L189" s="51"/>
      <c r="M189" s="50">
        <f t="shared" si="0"/>
        <v>0</v>
      </c>
      <c r="N189" s="50"/>
      <c r="O189" s="31"/>
      <c r="P189" s="123"/>
      <c r="Q189" s="50"/>
      <c r="R189" s="51"/>
      <c r="S189" s="50">
        <f t="shared" si="4"/>
        <v>0</v>
      </c>
      <c r="T189" s="50"/>
      <c r="U189" s="3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7"/>
      <c r="B190" s="386"/>
      <c r="C190" s="386"/>
      <c r="D190" s="386"/>
      <c r="E190" s="386"/>
      <c r="F190" s="54"/>
      <c r="G190" s="47" t="s">
        <v>25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45"/>
      <c r="P190" s="123"/>
      <c r="Q190" s="50"/>
      <c r="R190" s="51"/>
      <c r="S190" s="50">
        <f t="shared" si="4"/>
        <v>0</v>
      </c>
      <c r="T190" s="50"/>
      <c r="U190" s="45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6"/>
      <c r="I191" s="57"/>
      <c r="J191" s="57"/>
      <c r="K191" s="43"/>
      <c r="L191" s="44"/>
      <c r="M191" s="43">
        <f t="shared" si="0"/>
        <v>0</v>
      </c>
      <c r="N191" s="43"/>
      <c r="O191" s="41"/>
      <c r="P191" s="113">
        <v>1</v>
      </c>
      <c r="Q191" s="114">
        <v>4602.5</v>
      </c>
      <c r="R191" s="44"/>
      <c r="S191" s="43">
        <f t="shared" si="4"/>
        <v>4602.5</v>
      </c>
      <c r="T191" s="114">
        <v>4602.5</v>
      </c>
      <c r="U191" s="23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164</v>
      </c>
      <c r="C192" s="374" t="s">
        <v>22</v>
      </c>
      <c r="D192" s="374"/>
      <c r="E192" s="374" t="s">
        <v>27</v>
      </c>
      <c r="F192" s="22"/>
      <c r="G192" s="23" t="s">
        <v>24</v>
      </c>
      <c r="H192" s="98"/>
      <c r="I192" s="25"/>
      <c r="J192" s="25"/>
      <c r="K192" s="26"/>
      <c r="L192" s="27"/>
      <c r="M192" s="26">
        <f t="shared" si="0"/>
        <v>0</v>
      </c>
      <c r="N192" s="26"/>
      <c r="O192" s="31"/>
      <c r="P192" s="99"/>
      <c r="Q192" s="26"/>
      <c r="R192" s="27"/>
      <c r="S192" s="26">
        <f t="shared" si="4"/>
        <v>0</v>
      </c>
      <c r="T192" s="26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221" t="s">
        <v>335</v>
      </c>
      <c r="G193" s="55" t="s">
        <v>28</v>
      </c>
      <c r="H193" s="56">
        <v>3</v>
      </c>
      <c r="I193" s="57"/>
      <c r="J193" s="57"/>
      <c r="K193" s="43"/>
      <c r="L193" s="44"/>
      <c r="M193" s="43">
        <f t="shared" si="0"/>
        <v>0</v>
      </c>
      <c r="N193" s="43"/>
      <c r="O193" s="41"/>
      <c r="P193" s="113">
        <v>3</v>
      </c>
      <c r="Q193" s="114">
        <v>4898.55</v>
      </c>
      <c r="R193" s="44"/>
      <c r="S193" s="43">
        <f t="shared" si="4"/>
        <v>4034.1</v>
      </c>
      <c r="T193" s="114">
        <v>4034.1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165</v>
      </c>
      <c r="C194" s="374"/>
      <c r="D194" s="374"/>
      <c r="E194" s="374"/>
      <c r="F194" s="22"/>
      <c r="G194" s="23" t="s">
        <v>24</v>
      </c>
      <c r="H194" s="119"/>
      <c r="I194" s="25"/>
      <c r="J194" s="25"/>
      <c r="K194" s="26"/>
      <c r="L194" s="27"/>
      <c r="M194" s="26">
        <f t="shared" si="0"/>
        <v>0</v>
      </c>
      <c r="N194" s="26"/>
      <c r="O194" s="31"/>
      <c r="P194" s="99"/>
      <c r="Q194" s="26"/>
      <c r="R194" s="27"/>
      <c r="S194" s="26">
        <f t="shared" si="4"/>
        <v>0</v>
      </c>
      <c r="T194" s="26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34"/>
      <c r="G195" s="35" t="s">
        <v>25</v>
      </c>
      <c r="H195" s="66">
        <v>1</v>
      </c>
      <c r="I195" s="38"/>
      <c r="J195" s="38"/>
      <c r="K195" s="39"/>
      <c r="L195" s="40"/>
      <c r="M195" s="39">
        <f t="shared" si="0"/>
        <v>0</v>
      </c>
      <c r="N195" s="39"/>
      <c r="O195" s="41"/>
      <c r="P195" s="115">
        <v>1</v>
      </c>
      <c r="Q195" s="68">
        <v>288.14999999999998</v>
      </c>
      <c r="R195" s="285">
        <v>1</v>
      </c>
      <c r="S195" s="68">
        <v>288.14999999999998</v>
      </c>
      <c r="T195" s="68">
        <v>288.14999999999998</v>
      </c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166</v>
      </c>
      <c r="C196" s="381" t="s">
        <v>22</v>
      </c>
      <c r="D196" s="381"/>
      <c r="E196" s="381" t="s">
        <v>27</v>
      </c>
      <c r="F196" s="46"/>
      <c r="G196" s="47" t="s">
        <v>24</v>
      </c>
      <c r="H196" s="98"/>
      <c r="I196" s="49"/>
      <c r="J196" s="49"/>
      <c r="K196" s="50"/>
      <c r="L196" s="51"/>
      <c r="M196" s="50">
        <f t="shared" si="0"/>
        <v>0</v>
      </c>
      <c r="N196" s="50"/>
      <c r="O196" s="31"/>
      <c r="P196" s="108">
        <v>3</v>
      </c>
      <c r="Q196" s="65">
        <v>12689.15</v>
      </c>
      <c r="R196" s="51"/>
      <c r="S196" s="50">
        <f t="shared" ref="S196:S210" si="5">T196+U196</f>
        <v>0</v>
      </c>
      <c r="T196" s="50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226"/>
      <c r="G197" s="227" t="s">
        <v>28</v>
      </c>
      <c r="H197" s="118"/>
      <c r="I197" s="57"/>
      <c r="J197" s="57"/>
      <c r="K197" s="43"/>
      <c r="L197" s="44"/>
      <c r="M197" s="43">
        <f t="shared" si="0"/>
        <v>0</v>
      </c>
      <c r="N197" s="43"/>
      <c r="O197" s="45"/>
      <c r="P197" s="103"/>
      <c r="Q197" s="43"/>
      <c r="R197" s="44"/>
      <c r="S197" s="43">
        <f t="shared" si="5"/>
        <v>0</v>
      </c>
      <c r="T197" s="43"/>
      <c r="U197" s="45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296"/>
      <c r="B198" s="374" t="s">
        <v>167</v>
      </c>
      <c r="C198" s="374"/>
      <c r="D198" s="374" t="s">
        <v>168</v>
      </c>
      <c r="E198" s="374"/>
      <c r="F198" s="22"/>
      <c r="G198" s="176" t="s">
        <v>24</v>
      </c>
      <c r="H198" s="248">
        <v>2</v>
      </c>
      <c r="I198" s="62">
        <v>1</v>
      </c>
      <c r="J198" s="62">
        <v>1</v>
      </c>
      <c r="K198" s="30">
        <v>576.29999999999995</v>
      </c>
      <c r="L198" s="27"/>
      <c r="M198" s="26">
        <f t="shared" si="0"/>
        <v>0</v>
      </c>
      <c r="N198" s="26"/>
      <c r="O198" s="159"/>
      <c r="P198" s="99"/>
      <c r="Q198" s="26"/>
      <c r="R198" s="27"/>
      <c r="S198" s="26">
        <f t="shared" si="5"/>
        <v>0</v>
      </c>
      <c r="T198" s="26"/>
      <c r="U198" s="28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297"/>
      <c r="B199" s="375"/>
      <c r="C199" s="375"/>
      <c r="D199" s="375"/>
      <c r="E199" s="375"/>
      <c r="F199" s="220" t="s">
        <v>247</v>
      </c>
      <c r="G199" s="229" t="s">
        <v>28</v>
      </c>
      <c r="H199" s="258">
        <v>3</v>
      </c>
      <c r="I199" s="37"/>
      <c r="J199" s="37"/>
      <c r="K199" s="39"/>
      <c r="L199" s="40"/>
      <c r="M199" s="39">
        <f t="shared" si="0"/>
        <v>0</v>
      </c>
      <c r="N199" s="39"/>
      <c r="O199" s="58"/>
      <c r="P199" s="244">
        <v>2</v>
      </c>
      <c r="Q199" s="245">
        <v>5186.7</v>
      </c>
      <c r="R199" s="40"/>
      <c r="S199" s="39">
        <f t="shared" si="5"/>
        <v>4034.1</v>
      </c>
      <c r="T199" s="68">
        <v>4034.1</v>
      </c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6"/>
      <c r="B200" s="377" t="s">
        <v>169</v>
      </c>
      <c r="C200" s="377" t="s">
        <v>22</v>
      </c>
      <c r="D200" s="377"/>
      <c r="E200" s="377" t="s">
        <v>27</v>
      </c>
      <c r="F200" s="72"/>
      <c r="G200" s="291" t="s">
        <v>24</v>
      </c>
      <c r="H200" s="98"/>
      <c r="I200" s="49"/>
      <c r="J200" s="49"/>
      <c r="K200" s="50"/>
      <c r="L200" s="51"/>
      <c r="M200" s="50">
        <f t="shared" si="0"/>
        <v>0</v>
      </c>
      <c r="N200" s="50"/>
      <c r="O200" s="31"/>
      <c r="P200" s="123"/>
      <c r="Q200" s="50"/>
      <c r="R200" s="51"/>
      <c r="S200" s="50">
        <f t="shared" si="5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336</v>
      </c>
      <c r="G201" s="229" t="s">
        <v>28</v>
      </c>
      <c r="H201" s="153">
        <v>1</v>
      </c>
      <c r="I201" s="57"/>
      <c r="J201" s="57"/>
      <c r="K201" s="43"/>
      <c r="L201" s="44"/>
      <c r="M201" s="43">
        <f t="shared" si="0"/>
        <v>0</v>
      </c>
      <c r="N201" s="43"/>
      <c r="O201" s="41"/>
      <c r="P201" s="103"/>
      <c r="Q201" s="43"/>
      <c r="R201" s="128"/>
      <c r="S201" s="50">
        <f t="shared" si="5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170</v>
      </c>
      <c r="C202" s="374" t="s">
        <v>22</v>
      </c>
      <c r="D202" s="374"/>
      <c r="E202" s="374" t="s">
        <v>160</v>
      </c>
      <c r="F202" s="232" t="s">
        <v>248</v>
      </c>
      <c r="G202" s="23" t="s">
        <v>24</v>
      </c>
      <c r="H202" s="48">
        <v>4</v>
      </c>
      <c r="I202" s="62">
        <v>3</v>
      </c>
      <c r="J202" s="62">
        <v>4</v>
      </c>
      <c r="K202" s="30">
        <v>5413.52</v>
      </c>
      <c r="L202" s="27"/>
      <c r="M202" s="26">
        <f t="shared" si="0"/>
        <v>0</v>
      </c>
      <c r="N202" s="26"/>
      <c r="O202" s="31"/>
      <c r="P202" s="53">
        <v>13</v>
      </c>
      <c r="Q202" s="30">
        <v>34299.050000000003</v>
      </c>
      <c r="R202" s="205">
        <v>2</v>
      </c>
      <c r="S202" s="26">
        <f t="shared" si="5"/>
        <v>5534.4</v>
      </c>
      <c r="T202" s="30">
        <v>5534.4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105"/>
      <c r="G203" s="35" t="s">
        <v>28</v>
      </c>
      <c r="H203" s="116"/>
      <c r="I203" s="38"/>
      <c r="J203" s="38"/>
      <c r="K203" s="39"/>
      <c r="L203" s="40"/>
      <c r="M203" s="39">
        <f t="shared" si="0"/>
        <v>0</v>
      </c>
      <c r="N203" s="39"/>
      <c r="O203" s="41"/>
      <c r="P203" s="59"/>
      <c r="Q203" s="39"/>
      <c r="R203" s="40"/>
      <c r="S203" s="39">
        <f t="shared" si="5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171</v>
      </c>
      <c r="C204" s="374" t="s">
        <v>39</v>
      </c>
      <c r="D204" s="374" t="s">
        <v>374</v>
      </c>
      <c r="E204" s="374" t="s">
        <v>27</v>
      </c>
      <c r="F204" s="223" t="s">
        <v>375</v>
      </c>
      <c r="G204" s="176" t="s">
        <v>24</v>
      </c>
      <c r="H204" s="48">
        <v>2</v>
      </c>
      <c r="I204" s="49"/>
      <c r="J204" s="49"/>
      <c r="K204" s="50"/>
      <c r="L204" s="51"/>
      <c r="M204" s="50">
        <f t="shared" si="0"/>
        <v>0</v>
      </c>
      <c r="N204" s="50"/>
      <c r="O204" s="31"/>
      <c r="P204" s="108">
        <v>5</v>
      </c>
      <c r="Q204" s="65">
        <v>16087.92</v>
      </c>
      <c r="R204" s="224">
        <v>5</v>
      </c>
      <c r="S204" s="50">
        <f t="shared" si="5"/>
        <v>16087.92</v>
      </c>
      <c r="T204" s="65">
        <v>16087.92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220" t="s">
        <v>337</v>
      </c>
      <c r="G205" s="229" t="s">
        <v>28</v>
      </c>
      <c r="H205" s="133">
        <v>3</v>
      </c>
      <c r="I205" s="57"/>
      <c r="J205" s="57"/>
      <c r="K205" s="43"/>
      <c r="L205" s="128"/>
      <c r="M205" s="50">
        <f t="shared" si="0"/>
        <v>0</v>
      </c>
      <c r="N205" s="43"/>
      <c r="O205" s="41"/>
      <c r="P205" s="103"/>
      <c r="Q205" s="43"/>
      <c r="R205" s="44"/>
      <c r="S205" s="43">
        <f t="shared" si="5"/>
        <v>0</v>
      </c>
      <c r="T205" s="43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172</v>
      </c>
      <c r="C206" s="377" t="s">
        <v>39</v>
      </c>
      <c r="D206" s="374" t="s">
        <v>303</v>
      </c>
      <c r="E206" s="374" t="s">
        <v>121</v>
      </c>
      <c r="F206" s="232" t="s">
        <v>304</v>
      </c>
      <c r="G206" s="23" t="s">
        <v>24</v>
      </c>
      <c r="H206" s="48">
        <v>5</v>
      </c>
      <c r="I206" s="62">
        <v>2</v>
      </c>
      <c r="J206" s="62">
        <v>2</v>
      </c>
      <c r="K206" s="30">
        <v>806.82</v>
      </c>
      <c r="L206" s="27"/>
      <c r="M206" s="26">
        <f t="shared" si="0"/>
        <v>0</v>
      </c>
      <c r="N206" s="26"/>
      <c r="O206" s="31"/>
      <c r="P206" s="53">
        <v>25</v>
      </c>
      <c r="Q206" s="30">
        <v>34901.07</v>
      </c>
      <c r="R206" s="205">
        <v>4</v>
      </c>
      <c r="S206" s="26">
        <f t="shared" si="5"/>
        <v>6109.65</v>
      </c>
      <c r="T206" s="30">
        <v>6109.65</v>
      </c>
      <c r="U206" s="30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80"/>
      <c r="D207" s="375"/>
      <c r="E207" s="375"/>
      <c r="F207" s="54"/>
      <c r="G207" s="55" t="s">
        <v>25</v>
      </c>
      <c r="H207" s="102"/>
      <c r="I207" s="57"/>
      <c r="J207" s="57"/>
      <c r="K207" s="43"/>
      <c r="L207" s="44"/>
      <c r="M207" s="43">
        <f t="shared" si="0"/>
        <v>0</v>
      </c>
      <c r="N207" s="43"/>
      <c r="O207" s="41"/>
      <c r="P207" s="113">
        <v>1</v>
      </c>
      <c r="Q207" s="114">
        <v>1728.9</v>
      </c>
      <c r="R207" s="44"/>
      <c r="S207" s="43">
        <f t="shared" si="5"/>
        <v>0</v>
      </c>
      <c r="T207" s="43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173</v>
      </c>
      <c r="C208" s="374" t="s">
        <v>39</v>
      </c>
      <c r="D208" s="374" t="s">
        <v>338</v>
      </c>
      <c r="E208" s="374" t="s">
        <v>121</v>
      </c>
      <c r="F208" s="223" t="s">
        <v>376</v>
      </c>
      <c r="G208" s="23" t="s">
        <v>24</v>
      </c>
      <c r="H208" s="61">
        <v>16</v>
      </c>
      <c r="I208" s="25"/>
      <c r="J208" s="25"/>
      <c r="K208" s="26"/>
      <c r="L208" s="27"/>
      <c r="M208" s="26">
        <f t="shared" si="0"/>
        <v>0</v>
      </c>
      <c r="N208" s="26"/>
      <c r="O208" s="31"/>
      <c r="P208" s="53">
        <v>6</v>
      </c>
      <c r="Q208" s="30">
        <v>5292.88</v>
      </c>
      <c r="R208" s="205">
        <v>5</v>
      </c>
      <c r="S208" s="26">
        <f t="shared" si="5"/>
        <v>4887.8599999999997</v>
      </c>
      <c r="T208" s="30">
        <v>4887.8599999999997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339</v>
      </c>
      <c r="G209" s="35" t="s">
        <v>25</v>
      </c>
      <c r="H209" s="117">
        <v>5</v>
      </c>
      <c r="I209" s="37">
        <v>1</v>
      </c>
      <c r="J209" s="37">
        <v>1</v>
      </c>
      <c r="K209" s="68">
        <v>1152.5999999999999</v>
      </c>
      <c r="L209" s="40"/>
      <c r="M209" s="39">
        <f t="shared" si="0"/>
        <v>0</v>
      </c>
      <c r="N209" s="39"/>
      <c r="O209" s="41"/>
      <c r="P209" s="115">
        <v>2</v>
      </c>
      <c r="Q209" s="68">
        <v>4942.5</v>
      </c>
      <c r="R209" s="40"/>
      <c r="S209" s="39">
        <f t="shared" si="5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174</v>
      </c>
      <c r="C210" s="374" t="s">
        <v>39</v>
      </c>
      <c r="D210" s="374" t="s">
        <v>175</v>
      </c>
      <c r="E210" s="374" t="s">
        <v>176</v>
      </c>
      <c r="F210" s="204" t="s">
        <v>377</v>
      </c>
      <c r="G210" s="176" t="s">
        <v>24</v>
      </c>
      <c r="H210" s="48">
        <v>7</v>
      </c>
      <c r="I210" s="203">
        <v>4</v>
      </c>
      <c r="J210" s="203">
        <v>5</v>
      </c>
      <c r="K210" s="65">
        <v>5845.61</v>
      </c>
      <c r="L210" s="51"/>
      <c r="M210" s="50">
        <f t="shared" si="0"/>
        <v>0</v>
      </c>
      <c r="N210" s="50"/>
      <c r="O210" s="31"/>
      <c r="P210" s="108">
        <v>15</v>
      </c>
      <c r="Q210" s="65">
        <v>48720.17</v>
      </c>
      <c r="R210" s="51"/>
      <c r="S210" s="50">
        <f t="shared" si="5"/>
        <v>24141.61</v>
      </c>
      <c r="T210" s="50"/>
      <c r="U210" s="225">
        <v>24141.61</v>
      </c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340</v>
      </c>
      <c r="G211" s="229" t="s">
        <v>25</v>
      </c>
      <c r="H211" s="153">
        <v>1</v>
      </c>
      <c r="I211" s="57"/>
      <c r="J211" s="57"/>
      <c r="K211" s="43"/>
      <c r="L211" s="44"/>
      <c r="M211" s="43">
        <f t="shared" si="0"/>
        <v>0</v>
      </c>
      <c r="N211" s="43"/>
      <c r="O211" s="41"/>
      <c r="P211" s="113">
        <v>5</v>
      </c>
      <c r="Q211" s="114">
        <v>24781.439999999999</v>
      </c>
      <c r="R211" s="270">
        <v>2</v>
      </c>
      <c r="S211" s="114">
        <v>13811.2</v>
      </c>
      <c r="T211" s="114">
        <v>13811.2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177</v>
      </c>
      <c r="C212" s="377" t="s">
        <v>39</v>
      </c>
      <c r="D212" s="374" t="s">
        <v>226</v>
      </c>
      <c r="E212" s="374" t="s">
        <v>27</v>
      </c>
      <c r="F212" s="204" t="s">
        <v>227</v>
      </c>
      <c r="G212" s="23" t="s">
        <v>24</v>
      </c>
      <c r="H212" s="48">
        <v>2</v>
      </c>
      <c r="I212" s="62">
        <v>1</v>
      </c>
      <c r="J212" s="62">
        <v>1</v>
      </c>
      <c r="K212" s="30">
        <v>609.15</v>
      </c>
      <c r="L212" s="27"/>
      <c r="M212" s="26">
        <f t="shared" si="0"/>
        <v>0</v>
      </c>
      <c r="N212" s="26"/>
      <c r="O212" s="31"/>
      <c r="P212" s="53">
        <v>14</v>
      </c>
      <c r="Q212" s="30">
        <v>45509.18</v>
      </c>
      <c r="R212" s="205">
        <v>3</v>
      </c>
      <c r="S212" s="26">
        <f t="shared" ref="S212:S256" si="6">T212+U212</f>
        <v>7081.87</v>
      </c>
      <c r="T212" s="30">
        <v>7081.87</v>
      </c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80"/>
      <c r="D213" s="375"/>
      <c r="E213" s="375"/>
      <c r="F213" s="126"/>
      <c r="G213" s="55" t="s">
        <v>28</v>
      </c>
      <c r="H213" s="118"/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6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178</v>
      </c>
      <c r="C214" s="374"/>
      <c r="D214" s="374"/>
      <c r="E214" s="374"/>
      <c r="F214" s="22"/>
      <c r="G214" s="176" t="s">
        <v>24</v>
      </c>
      <c r="H214" s="61">
        <v>1</v>
      </c>
      <c r="I214" s="25"/>
      <c r="J214" s="25"/>
      <c r="K214" s="26"/>
      <c r="L214" s="27"/>
      <c r="M214" s="26">
        <f t="shared" si="0"/>
        <v>0</v>
      </c>
      <c r="N214" s="26"/>
      <c r="O214" s="31"/>
      <c r="P214" s="120"/>
      <c r="Q214" s="26"/>
      <c r="R214" s="27"/>
      <c r="S214" s="26">
        <f t="shared" si="6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126"/>
      <c r="G215" s="177" t="s">
        <v>28</v>
      </c>
      <c r="H215" s="131"/>
      <c r="I215" s="57"/>
      <c r="J215" s="57"/>
      <c r="K215" s="43"/>
      <c r="L215" s="44"/>
      <c r="M215" s="43">
        <f t="shared" si="0"/>
        <v>0</v>
      </c>
      <c r="N215" s="43"/>
      <c r="O215" s="45"/>
      <c r="P215" s="42"/>
      <c r="Q215" s="43"/>
      <c r="R215" s="44"/>
      <c r="S215" s="43">
        <f t="shared" si="6"/>
        <v>0</v>
      </c>
      <c r="T215" s="43"/>
      <c r="U215" s="45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179</v>
      </c>
      <c r="C216" s="374"/>
      <c r="D216" s="374"/>
      <c r="E216" s="374" t="s">
        <v>27</v>
      </c>
      <c r="F216" s="22"/>
      <c r="G216" s="23" t="s">
        <v>24</v>
      </c>
      <c r="H216" s="61">
        <v>2</v>
      </c>
      <c r="I216" s="25"/>
      <c r="J216" s="25"/>
      <c r="K216" s="26"/>
      <c r="L216" s="27"/>
      <c r="M216" s="26">
        <f t="shared" si="0"/>
        <v>0</v>
      </c>
      <c r="N216" s="26"/>
      <c r="O216" s="28"/>
      <c r="P216" s="120"/>
      <c r="Q216" s="26"/>
      <c r="R216" s="27"/>
      <c r="S216" s="26">
        <f t="shared" si="6"/>
        <v>0</v>
      </c>
      <c r="T216" s="26"/>
      <c r="U216" s="28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6"/>
      <c r="G217" s="227" t="s">
        <v>28</v>
      </c>
      <c r="H217" s="298"/>
      <c r="I217" s="261"/>
      <c r="J217" s="261"/>
      <c r="K217" s="211"/>
      <c r="L217" s="210"/>
      <c r="M217" s="211">
        <f t="shared" si="0"/>
        <v>0</v>
      </c>
      <c r="N217" s="211"/>
      <c r="O217" s="212"/>
      <c r="P217" s="284"/>
      <c r="Q217" s="211"/>
      <c r="R217" s="210"/>
      <c r="S217" s="211">
        <f t="shared" si="6"/>
        <v>0</v>
      </c>
      <c r="T217" s="211"/>
      <c r="U217" s="21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378</v>
      </c>
      <c r="C218" s="374"/>
      <c r="D218" s="374"/>
      <c r="E218" s="374"/>
      <c r="F218" s="204"/>
      <c r="G218" s="213" t="s">
        <v>24</v>
      </c>
      <c r="H218" s="61"/>
      <c r="I218" s="62"/>
      <c r="J218" s="62"/>
      <c r="K218" s="30"/>
      <c r="L218" s="27"/>
      <c r="M218" s="26">
        <f t="shared" si="0"/>
        <v>0</v>
      </c>
      <c r="N218" s="26"/>
      <c r="O218" s="28"/>
      <c r="P218" s="214"/>
      <c r="Q218" s="30"/>
      <c r="R218" s="205"/>
      <c r="S218" s="26">
        <f t="shared" si="6"/>
        <v>0</v>
      </c>
      <c r="T218" s="30"/>
      <c r="U218" s="2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/>
      <c r="G219" s="215" t="s">
        <v>28</v>
      </c>
      <c r="H219" s="117">
        <v>2</v>
      </c>
      <c r="I219" s="37"/>
      <c r="J219" s="37"/>
      <c r="K219" s="68"/>
      <c r="L219" s="40"/>
      <c r="M219" s="39">
        <f t="shared" si="0"/>
        <v>0</v>
      </c>
      <c r="N219" s="39"/>
      <c r="O219" s="41"/>
      <c r="P219" s="217"/>
      <c r="Q219" s="68"/>
      <c r="R219" s="285"/>
      <c r="S219" s="39">
        <f t="shared" si="6"/>
        <v>0</v>
      </c>
      <c r="T219" s="68"/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6"/>
      <c r="B220" s="377" t="s">
        <v>180</v>
      </c>
      <c r="C220" s="377" t="s">
        <v>46</v>
      </c>
      <c r="D220" s="377" t="s">
        <v>181</v>
      </c>
      <c r="E220" s="377" t="s">
        <v>27</v>
      </c>
      <c r="F220" s="232" t="s">
        <v>228</v>
      </c>
      <c r="G220" s="95" t="s">
        <v>24</v>
      </c>
      <c r="H220" s="265">
        <v>9</v>
      </c>
      <c r="I220" s="266">
        <v>3</v>
      </c>
      <c r="J220" s="266">
        <v>3</v>
      </c>
      <c r="K220" s="79">
        <v>1527.2</v>
      </c>
      <c r="L220" s="80"/>
      <c r="M220" s="81">
        <f t="shared" si="0"/>
        <v>0</v>
      </c>
      <c r="N220" s="81"/>
      <c r="O220" s="219"/>
      <c r="P220" s="267">
        <v>10</v>
      </c>
      <c r="Q220" s="79">
        <v>31753.040000000001</v>
      </c>
      <c r="R220" s="268">
        <v>8</v>
      </c>
      <c r="S220" s="81">
        <f t="shared" si="6"/>
        <v>31034.59</v>
      </c>
      <c r="T220" s="79">
        <v>28968.84</v>
      </c>
      <c r="U220" s="269">
        <v>2065.75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28</v>
      </c>
      <c r="H221" s="116"/>
      <c r="I221" s="57"/>
      <c r="J221" s="57"/>
      <c r="K221" s="43"/>
      <c r="L221" s="128"/>
      <c r="M221" s="50">
        <f t="shared" si="0"/>
        <v>0</v>
      </c>
      <c r="N221" s="43"/>
      <c r="O221" s="41"/>
      <c r="P221" s="113">
        <v>2</v>
      </c>
      <c r="Q221" s="114">
        <v>14503.6</v>
      </c>
      <c r="R221" s="44"/>
      <c r="S221" s="43">
        <f t="shared" si="6"/>
        <v>2209.1999999999998</v>
      </c>
      <c r="T221" s="114">
        <v>2209.1999999999998</v>
      </c>
      <c r="U221" s="4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6.5" customHeight="1">
      <c r="A222" s="372"/>
      <c r="B222" s="374" t="s">
        <v>182</v>
      </c>
      <c r="C222" s="374" t="s">
        <v>46</v>
      </c>
      <c r="D222" s="374" t="s">
        <v>181</v>
      </c>
      <c r="E222" s="374" t="s">
        <v>27</v>
      </c>
      <c r="F222" s="204" t="s">
        <v>379</v>
      </c>
      <c r="G222" s="23" t="s">
        <v>24</v>
      </c>
      <c r="H222" s="48">
        <v>12</v>
      </c>
      <c r="I222" s="62">
        <v>9</v>
      </c>
      <c r="J222" s="62">
        <v>10</v>
      </c>
      <c r="K222" s="30">
        <v>14606.92</v>
      </c>
      <c r="L222" s="27"/>
      <c r="M222" s="26">
        <f t="shared" si="0"/>
        <v>0</v>
      </c>
      <c r="N222" s="26"/>
      <c r="O222" s="31"/>
      <c r="P222" s="53">
        <v>6</v>
      </c>
      <c r="Q222" s="30">
        <v>31478.57</v>
      </c>
      <c r="R222" s="205">
        <v>2</v>
      </c>
      <c r="S222" s="26">
        <f t="shared" si="6"/>
        <v>10615.44</v>
      </c>
      <c r="T222" s="30">
        <v>10615.44</v>
      </c>
      <c r="U222" s="100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6.5" customHeight="1">
      <c r="A223" s="373"/>
      <c r="B223" s="375"/>
      <c r="C223" s="375"/>
      <c r="D223" s="375"/>
      <c r="E223" s="375"/>
      <c r="F223" s="34"/>
      <c r="G223" s="35" t="s">
        <v>28</v>
      </c>
      <c r="H223" s="116"/>
      <c r="I223" s="38"/>
      <c r="J223" s="38"/>
      <c r="K223" s="39"/>
      <c r="L223" s="40"/>
      <c r="M223" s="39">
        <f t="shared" si="0"/>
        <v>0</v>
      </c>
      <c r="N223" s="39"/>
      <c r="O223" s="41"/>
      <c r="P223" s="59"/>
      <c r="Q223" s="39"/>
      <c r="R223" s="40"/>
      <c r="S223" s="39">
        <f t="shared" si="6"/>
        <v>0</v>
      </c>
      <c r="T223" s="39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6.5" customHeight="1">
      <c r="A224" s="382"/>
      <c r="B224" s="381" t="s">
        <v>183</v>
      </c>
      <c r="C224" s="381" t="s">
        <v>22</v>
      </c>
      <c r="D224" s="381"/>
      <c r="E224" s="381" t="s">
        <v>99</v>
      </c>
      <c r="F224" s="223" t="s">
        <v>380</v>
      </c>
      <c r="G224" s="23" t="s">
        <v>24</v>
      </c>
      <c r="H224" s="48">
        <v>2</v>
      </c>
      <c r="I224" s="49"/>
      <c r="J224" s="49"/>
      <c r="K224" s="50"/>
      <c r="L224" s="51"/>
      <c r="M224" s="50">
        <f t="shared" si="0"/>
        <v>0</v>
      </c>
      <c r="N224" s="50"/>
      <c r="O224" s="31"/>
      <c r="P224" s="108">
        <v>7</v>
      </c>
      <c r="Q224" s="65">
        <v>8094.01</v>
      </c>
      <c r="R224" s="51"/>
      <c r="S224" s="50">
        <f t="shared" si="6"/>
        <v>1319.81</v>
      </c>
      <c r="T224" s="50"/>
      <c r="U224" s="225">
        <v>1319.81</v>
      </c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6.5" customHeight="1">
      <c r="A225" s="379"/>
      <c r="B225" s="380"/>
      <c r="C225" s="380"/>
      <c r="D225" s="380"/>
      <c r="E225" s="380"/>
      <c r="F225" s="221" t="s">
        <v>252</v>
      </c>
      <c r="G225" s="55" t="s">
        <v>28</v>
      </c>
      <c r="H225" s="133">
        <v>5</v>
      </c>
      <c r="I225" s="57"/>
      <c r="J225" s="57"/>
      <c r="K225" s="43"/>
      <c r="L225" s="44"/>
      <c r="M225" s="43">
        <f t="shared" si="0"/>
        <v>0</v>
      </c>
      <c r="N225" s="43"/>
      <c r="O225" s="41"/>
      <c r="P225" s="113">
        <v>1</v>
      </c>
      <c r="Q225" s="114">
        <v>4034.1</v>
      </c>
      <c r="R225" s="44"/>
      <c r="S225" s="43">
        <f t="shared" si="6"/>
        <v>0</v>
      </c>
      <c r="T225" s="43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6.5" customHeight="1">
      <c r="A226" s="372"/>
      <c r="B226" s="374" t="s">
        <v>184</v>
      </c>
      <c r="C226" s="374" t="s">
        <v>22</v>
      </c>
      <c r="D226" s="374"/>
      <c r="E226" s="374" t="s">
        <v>27</v>
      </c>
      <c r="F226" s="60"/>
      <c r="G226" s="23" t="s">
        <v>24</v>
      </c>
      <c r="H226" s="107"/>
      <c r="I226" s="25"/>
      <c r="J226" s="25"/>
      <c r="K226" s="26"/>
      <c r="L226" s="27"/>
      <c r="M226" s="26">
        <f t="shared" si="0"/>
        <v>0</v>
      </c>
      <c r="N226" s="26"/>
      <c r="O226" s="31"/>
      <c r="P226" s="99"/>
      <c r="Q226" s="26"/>
      <c r="R226" s="27"/>
      <c r="S226" s="26">
        <f t="shared" si="6"/>
        <v>0</v>
      </c>
      <c r="T226" s="26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6.5" customHeight="1">
      <c r="A227" s="379"/>
      <c r="B227" s="380"/>
      <c r="C227" s="380"/>
      <c r="D227" s="380"/>
      <c r="E227" s="380"/>
      <c r="F227" s="233" t="s">
        <v>253</v>
      </c>
      <c r="G227" s="227" t="s">
        <v>28</v>
      </c>
      <c r="H227" s="153">
        <v>2</v>
      </c>
      <c r="I227" s="57"/>
      <c r="J227" s="57"/>
      <c r="K227" s="43"/>
      <c r="L227" s="44"/>
      <c r="M227" s="43">
        <f t="shared" si="0"/>
        <v>0</v>
      </c>
      <c r="N227" s="43"/>
      <c r="O227" s="41"/>
      <c r="P227" s="113">
        <v>2</v>
      </c>
      <c r="Q227" s="114">
        <v>2958.34</v>
      </c>
      <c r="R227" s="44"/>
      <c r="S227" s="43">
        <f t="shared" si="6"/>
        <v>2958.34</v>
      </c>
      <c r="T227" s="114">
        <v>2958.34</v>
      </c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6.5" customHeight="1">
      <c r="A228" s="372"/>
      <c r="B228" s="374" t="s">
        <v>185</v>
      </c>
      <c r="C228" s="374" t="s">
        <v>22</v>
      </c>
      <c r="D228" s="374"/>
      <c r="E228" s="374" t="s">
        <v>27</v>
      </c>
      <c r="F228" s="204" t="s">
        <v>341</v>
      </c>
      <c r="G228" s="176" t="s">
        <v>24</v>
      </c>
      <c r="H228" s="98"/>
      <c r="I228" s="25"/>
      <c r="J228" s="25"/>
      <c r="K228" s="26"/>
      <c r="L228" s="27"/>
      <c r="M228" s="26">
        <f t="shared" si="0"/>
        <v>0</v>
      </c>
      <c r="N228" s="26"/>
      <c r="O228" s="31"/>
      <c r="P228" s="53">
        <v>2</v>
      </c>
      <c r="Q228" s="30">
        <v>2633.4</v>
      </c>
      <c r="R228" s="205">
        <v>1</v>
      </c>
      <c r="S228" s="26">
        <f t="shared" si="6"/>
        <v>1288.7</v>
      </c>
      <c r="T228" s="30">
        <v>1288.7</v>
      </c>
      <c r="U228" s="225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 t="s">
        <v>342</v>
      </c>
      <c r="G229" s="229" t="s">
        <v>28</v>
      </c>
      <c r="H229" s="133">
        <v>2</v>
      </c>
      <c r="I229" s="57"/>
      <c r="J229" s="57"/>
      <c r="K229" s="43"/>
      <c r="L229" s="44"/>
      <c r="M229" s="43">
        <f t="shared" si="0"/>
        <v>0</v>
      </c>
      <c r="N229" s="43"/>
      <c r="O229" s="41"/>
      <c r="P229" s="113">
        <v>1</v>
      </c>
      <c r="Q229" s="114">
        <v>2994.47</v>
      </c>
      <c r="R229" s="44"/>
      <c r="S229" s="43">
        <f t="shared" si="6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186</v>
      </c>
      <c r="C230" s="374" t="s">
        <v>22</v>
      </c>
      <c r="D230" s="374"/>
      <c r="E230" s="374" t="s">
        <v>99</v>
      </c>
      <c r="F230" s="232" t="s">
        <v>315</v>
      </c>
      <c r="G230" s="23" t="s">
        <v>24</v>
      </c>
      <c r="H230" s="48">
        <v>2</v>
      </c>
      <c r="I230" s="62">
        <v>1</v>
      </c>
      <c r="J230" s="62">
        <v>1</v>
      </c>
      <c r="K230" s="30">
        <v>2294.19</v>
      </c>
      <c r="L230" s="27"/>
      <c r="M230" s="26">
        <f t="shared" si="0"/>
        <v>0</v>
      </c>
      <c r="N230" s="26"/>
      <c r="O230" s="31"/>
      <c r="P230" s="53">
        <v>12</v>
      </c>
      <c r="Q230" s="30">
        <v>23364.69</v>
      </c>
      <c r="R230" s="205">
        <v>3</v>
      </c>
      <c r="S230" s="26">
        <f t="shared" si="6"/>
        <v>6447.76</v>
      </c>
      <c r="T230" s="30">
        <v>6447.76</v>
      </c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 t="s">
        <v>254</v>
      </c>
      <c r="G231" s="35" t="s">
        <v>28</v>
      </c>
      <c r="H231" s="153">
        <v>5</v>
      </c>
      <c r="I231" s="38"/>
      <c r="J231" s="38"/>
      <c r="K231" s="39"/>
      <c r="L231" s="40"/>
      <c r="M231" s="39">
        <f t="shared" si="0"/>
        <v>0</v>
      </c>
      <c r="N231" s="39"/>
      <c r="O231" s="41"/>
      <c r="P231" s="59"/>
      <c r="Q231" s="39"/>
      <c r="R231" s="40"/>
      <c r="S231" s="39">
        <f t="shared" si="6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187</v>
      </c>
      <c r="C232" s="381" t="s">
        <v>22</v>
      </c>
      <c r="D232" s="381"/>
      <c r="E232" s="381" t="s">
        <v>131</v>
      </c>
      <c r="F232" s="223" t="s">
        <v>343</v>
      </c>
      <c r="G232" s="23" t="s">
        <v>24</v>
      </c>
      <c r="H232" s="48">
        <v>10</v>
      </c>
      <c r="I232" s="203">
        <v>7</v>
      </c>
      <c r="J232" s="203">
        <v>8</v>
      </c>
      <c r="K232" s="65">
        <v>9147.81</v>
      </c>
      <c r="L232" s="51"/>
      <c r="M232" s="50">
        <f t="shared" si="0"/>
        <v>0</v>
      </c>
      <c r="N232" s="50"/>
      <c r="O232" s="31"/>
      <c r="P232" s="108">
        <v>16</v>
      </c>
      <c r="Q232" s="65">
        <v>43025.45</v>
      </c>
      <c r="R232" s="224">
        <v>1</v>
      </c>
      <c r="S232" s="50">
        <f t="shared" si="6"/>
        <v>1046.6300000000001</v>
      </c>
      <c r="T232" s="65">
        <v>1046.6300000000001</v>
      </c>
      <c r="U232" s="225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9"/>
      <c r="B233" s="380"/>
      <c r="C233" s="380"/>
      <c r="D233" s="380"/>
      <c r="E233" s="380"/>
      <c r="F233" s="54"/>
      <c r="G233" s="55" t="s">
        <v>25</v>
      </c>
      <c r="H233" s="111"/>
      <c r="I233" s="57"/>
      <c r="J233" s="57"/>
      <c r="K233" s="43"/>
      <c r="L233" s="44"/>
      <c r="M233" s="43">
        <f t="shared" si="0"/>
        <v>0</v>
      </c>
      <c r="N233" s="43"/>
      <c r="O233" s="41"/>
      <c r="P233" s="113">
        <v>2</v>
      </c>
      <c r="Q233" s="114">
        <v>15252.74</v>
      </c>
      <c r="R233" s="44"/>
      <c r="S233" s="43">
        <f t="shared" si="6"/>
        <v>0</v>
      </c>
      <c r="T233" s="43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188</v>
      </c>
      <c r="C234" s="374" t="s">
        <v>22</v>
      </c>
      <c r="D234" s="374"/>
      <c r="E234" s="374" t="s">
        <v>27</v>
      </c>
      <c r="F234" s="22"/>
      <c r="G234" s="23" t="s">
        <v>24</v>
      </c>
      <c r="H234" s="98"/>
      <c r="I234" s="25"/>
      <c r="J234" s="25"/>
      <c r="K234" s="26"/>
      <c r="L234" s="27"/>
      <c r="M234" s="26">
        <f t="shared" si="0"/>
        <v>0</v>
      </c>
      <c r="N234" s="26"/>
      <c r="O234" s="31"/>
      <c r="P234" s="99"/>
      <c r="Q234" s="26"/>
      <c r="R234" s="27"/>
      <c r="S234" s="26">
        <f t="shared" si="6"/>
        <v>0</v>
      </c>
      <c r="T234" s="26"/>
      <c r="U234" s="3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20.25" customHeight="1">
      <c r="A235" s="373"/>
      <c r="B235" s="375"/>
      <c r="C235" s="375"/>
      <c r="D235" s="375"/>
      <c r="E235" s="375"/>
      <c r="F235" s="221" t="s">
        <v>344</v>
      </c>
      <c r="G235" s="55" t="s">
        <v>28</v>
      </c>
      <c r="H235" s="56">
        <v>2</v>
      </c>
      <c r="I235" s="57"/>
      <c r="J235" s="57"/>
      <c r="K235" s="43"/>
      <c r="L235" s="44"/>
      <c r="M235" s="43">
        <f t="shared" si="0"/>
        <v>0</v>
      </c>
      <c r="N235" s="43"/>
      <c r="O235" s="45"/>
      <c r="P235" s="113">
        <v>11</v>
      </c>
      <c r="Q235" s="114">
        <v>13054.9</v>
      </c>
      <c r="R235" s="44"/>
      <c r="S235" s="43">
        <f t="shared" si="6"/>
        <v>4050.2</v>
      </c>
      <c r="T235" s="114">
        <v>4050.2</v>
      </c>
      <c r="U235" s="22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189</v>
      </c>
      <c r="C236" s="374"/>
      <c r="D236" s="374"/>
      <c r="E236" s="374" t="s">
        <v>27</v>
      </c>
      <c r="F236" s="22"/>
      <c r="G236" s="23" t="s">
        <v>24</v>
      </c>
      <c r="H236" s="24">
        <v>8</v>
      </c>
      <c r="I236" s="62">
        <v>3</v>
      </c>
      <c r="J236" s="62">
        <v>3</v>
      </c>
      <c r="K236" s="30">
        <v>5760.14</v>
      </c>
      <c r="L236" s="27"/>
      <c r="M236" s="26">
        <f t="shared" si="0"/>
        <v>0</v>
      </c>
      <c r="N236" s="26"/>
      <c r="O236" s="28"/>
      <c r="P236" s="29">
        <v>2</v>
      </c>
      <c r="Q236" s="30">
        <v>1870.81</v>
      </c>
      <c r="R236" s="27"/>
      <c r="S236" s="26">
        <f t="shared" si="6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 t="s">
        <v>256</v>
      </c>
      <c r="G237" s="35" t="s">
        <v>28</v>
      </c>
      <c r="H237" s="66">
        <v>3</v>
      </c>
      <c r="I237" s="38"/>
      <c r="J237" s="38"/>
      <c r="K237" s="39"/>
      <c r="L237" s="40"/>
      <c r="M237" s="39">
        <f t="shared" si="0"/>
        <v>0</v>
      </c>
      <c r="N237" s="39"/>
      <c r="O237" s="41"/>
      <c r="P237" s="69"/>
      <c r="Q237" s="39"/>
      <c r="R237" s="40"/>
      <c r="S237" s="39">
        <f t="shared" si="6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82"/>
      <c r="B238" s="381" t="s">
        <v>190</v>
      </c>
      <c r="C238" s="381" t="s">
        <v>39</v>
      </c>
      <c r="D238" s="381" t="s">
        <v>191</v>
      </c>
      <c r="E238" s="381" t="s">
        <v>27</v>
      </c>
      <c r="F238" s="46"/>
      <c r="G238" s="47" t="s">
        <v>24</v>
      </c>
      <c r="H238" s="98"/>
      <c r="I238" s="49"/>
      <c r="J238" s="49"/>
      <c r="K238" s="50"/>
      <c r="L238" s="51"/>
      <c r="M238" s="50">
        <f t="shared" si="0"/>
        <v>0</v>
      </c>
      <c r="N238" s="50"/>
      <c r="O238" s="31"/>
      <c r="P238" s="123"/>
      <c r="Q238" s="50"/>
      <c r="R238" s="51"/>
      <c r="S238" s="50">
        <f t="shared" si="6"/>
        <v>0</v>
      </c>
      <c r="T238" s="50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345</v>
      </c>
      <c r="G239" s="35" t="s">
        <v>28</v>
      </c>
      <c r="H239" s="112">
        <v>2</v>
      </c>
      <c r="I239" s="57"/>
      <c r="J239" s="57"/>
      <c r="K239" s="43"/>
      <c r="L239" s="44"/>
      <c r="M239" s="43">
        <f t="shared" si="0"/>
        <v>0</v>
      </c>
      <c r="N239" s="43"/>
      <c r="O239" s="45"/>
      <c r="P239" s="115">
        <v>4</v>
      </c>
      <c r="Q239" s="68">
        <v>5106.7</v>
      </c>
      <c r="R239" s="40"/>
      <c r="S239" s="39">
        <f t="shared" si="6"/>
        <v>3818</v>
      </c>
      <c r="T239" s="68">
        <v>3818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2"/>
      <c r="B240" s="374" t="s">
        <v>192</v>
      </c>
      <c r="C240" s="374" t="s">
        <v>22</v>
      </c>
      <c r="D240" s="374"/>
      <c r="E240" s="374" t="s">
        <v>193</v>
      </c>
      <c r="F240" s="204" t="s">
        <v>318</v>
      </c>
      <c r="G240" s="176" t="s">
        <v>24</v>
      </c>
      <c r="H240" s="61">
        <v>5</v>
      </c>
      <c r="I240" s="62">
        <v>4</v>
      </c>
      <c r="J240" s="62">
        <v>4</v>
      </c>
      <c r="K240" s="30">
        <v>4934.76</v>
      </c>
      <c r="L240" s="27"/>
      <c r="M240" s="26">
        <f t="shared" si="0"/>
        <v>0</v>
      </c>
      <c r="N240" s="26"/>
      <c r="O240" s="100"/>
      <c r="P240" s="64">
        <v>17</v>
      </c>
      <c r="Q240" s="65">
        <v>46158.400000000001</v>
      </c>
      <c r="R240" s="224">
        <v>9</v>
      </c>
      <c r="S240" s="50">
        <f t="shared" si="6"/>
        <v>15520.42</v>
      </c>
      <c r="T240" s="65">
        <v>15520.42</v>
      </c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346</v>
      </c>
      <c r="G241" s="229" t="s">
        <v>28</v>
      </c>
      <c r="H241" s="133">
        <v>1</v>
      </c>
      <c r="I241" s="37">
        <v>1</v>
      </c>
      <c r="J241" s="37">
        <v>1</v>
      </c>
      <c r="K241" s="68">
        <v>1728.9</v>
      </c>
      <c r="L241" s="40"/>
      <c r="M241" s="39">
        <f t="shared" si="0"/>
        <v>0</v>
      </c>
      <c r="N241" s="39"/>
      <c r="O241" s="41"/>
      <c r="P241" s="42"/>
      <c r="Q241" s="43"/>
      <c r="R241" s="44"/>
      <c r="S241" s="43">
        <f t="shared" si="6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194</v>
      </c>
      <c r="C242" s="377" t="s">
        <v>39</v>
      </c>
      <c r="D242" s="377" t="s">
        <v>319</v>
      </c>
      <c r="E242" s="374" t="s">
        <v>160</v>
      </c>
      <c r="F242" s="232" t="s">
        <v>320</v>
      </c>
      <c r="G242" s="23" t="s">
        <v>24</v>
      </c>
      <c r="H242" s="48">
        <v>4</v>
      </c>
      <c r="I242" s="203">
        <v>3</v>
      </c>
      <c r="J242" s="203">
        <v>3</v>
      </c>
      <c r="K242" s="65">
        <v>2090.2399999999998</v>
      </c>
      <c r="L242" s="128"/>
      <c r="M242" s="129">
        <f t="shared" si="0"/>
        <v>0</v>
      </c>
      <c r="N242" s="50"/>
      <c r="O242" s="31"/>
      <c r="P242" s="29">
        <v>3</v>
      </c>
      <c r="Q242" s="30">
        <v>6107.21</v>
      </c>
      <c r="R242" s="205">
        <v>2</v>
      </c>
      <c r="S242" s="26">
        <f t="shared" si="6"/>
        <v>2951.62</v>
      </c>
      <c r="T242" s="30">
        <v>2951.62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347</v>
      </c>
      <c r="G243" s="35" t="s">
        <v>28</v>
      </c>
      <c r="H243" s="117">
        <v>1</v>
      </c>
      <c r="I243" s="37"/>
      <c r="J243" s="37"/>
      <c r="K243" s="39"/>
      <c r="L243" s="44"/>
      <c r="M243" s="43">
        <f t="shared" si="0"/>
        <v>0</v>
      </c>
      <c r="N243" s="39"/>
      <c r="O243" s="41"/>
      <c r="P243" s="37">
        <v>5</v>
      </c>
      <c r="Q243" s="37">
        <v>12038.63</v>
      </c>
      <c r="R243" s="40"/>
      <c r="S243" s="39">
        <f t="shared" si="6"/>
        <v>576.29999999999995</v>
      </c>
      <c r="T243" s="68">
        <v>576.29999999999995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195</v>
      </c>
      <c r="C244" s="377" t="s">
        <v>39</v>
      </c>
      <c r="D244" s="377" t="s">
        <v>231</v>
      </c>
      <c r="E244" s="381" t="s">
        <v>27</v>
      </c>
      <c r="F244" s="204" t="s">
        <v>232</v>
      </c>
      <c r="G244" s="47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31"/>
      <c r="P244" s="64">
        <v>7</v>
      </c>
      <c r="Q244" s="65">
        <v>46859.35</v>
      </c>
      <c r="R244" s="224">
        <v>3</v>
      </c>
      <c r="S244" s="50">
        <f t="shared" si="6"/>
        <v>38298.170000000006</v>
      </c>
      <c r="T244" s="65">
        <v>35948.410000000003</v>
      </c>
      <c r="U244" s="225">
        <v>2349.7600000000002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1" t="s">
        <v>260</v>
      </c>
      <c r="G245" s="55" t="s">
        <v>28</v>
      </c>
      <c r="H245" s="178">
        <v>3</v>
      </c>
      <c r="I245" s="130">
        <v>1</v>
      </c>
      <c r="J245" s="130">
        <v>1</v>
      </c>
      <c r="K245" s="114">
        <v>1152.5999999999999</v>
      </c>
      <c r="L245" s="44"/>
      <c r="M245" s="43">
        <f t="shared" si="0"/>
        <v>0</v>
      </c>
      <c r="N245" s="43"/>
      <c r="O245" s="45"/>
      <c r="P245" s="130">
        <v>4</v>
      </c>
      <c r="Q245" s="130">
        <v>15104.45</v>
      </c>
      <c r="R245" s="44"/>
      <c r="S245" s="43">
        <f t="shared" si="6"/>
        <v>4994.6000000000004</v>
      </c>
      <c r="T245" s="114">
        <v>4994.6000000000004</v>
      </c>
      <c r="U245" s="22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196</v>
      </c>
      <c r="C246" s="381" t="s">
        <v>22</v>
      </c>
      <c r="D246" s="374"/>
      <c r="E246" s="381" t="s">
        <v>27</v>
      </c>
      <c r="F246" s="22"/>
      <c r="G246" s="23" t="s">
        <v>24</v>
      </c>
      <c r="H246" s="119"/>
      <c r="I246" s="25"/>
      <c r="J246" s="25"/>
      <c r="K246" s="26"/>
      <c r="L246" s="27"/>
      <c r="M246" s="26">
        <f t="shared" si="0"/>
        <v>0</v>
      </c>
      <c r="N246" s="26"/>
      <c r="O246" s="28"/>
      <c r="P246" s="120"/>
      <c r="Q246" s="26"/>
      <c r="R246" s="27"/>
      <c r="S246" s="26">
        <f t="shared" si="6"/>
        <v>0</v>
      </c>
      <c r="T246" s="26"/>
      <c r="U246" s="28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348</v>
      </c>
      <c r="G247" s="35" t="s">
        <v>28</v>
      </c>
      <c r="H247" s="66">
        <v>4</v>
      </c>
      <c r="I247" s="38"/>
      <c r="J247" s="38"/>
      <c r="K247" s="39"/>
      <c r="L247" s="40"/>
      <c r="M247" s="39">
        <f t="shared" si="0"/>
        <v>0</v>
      </c>
      <c r="N247" s="39"/>
      <c r="O247" s="41"/>
      <c r="P247" s="67">
        <v>2</v>
      </c>
      <c r="Q247" s="68">
        <v>6723.5</v>
      </c>
      <c r="R247" s="40"/>
      <c r="S247" s="39">
        <f t="shared" si="6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197</v>
      </c>
      <c r="C248" s="381" t="s">
        <v>39</v>
      </c>
      <c r="D248" s="381" t="s">
        <v>381</v>
      </c>
      <c r="E248" s="381" t="s">
        <v>27</v>
      </c>
      <c r="F248" s="204" t="s">
        <v>382</v>
      </c>
      <c r="G248" s="47" t="s">
        <v>24</v>
      </c>
      <c r="H248" s="98"/>
      <c r="I248" s="49"/>
      <c r="J248" s="49"/>
      <c r="K248" s="50"/>
      <c r="L248" s="51"/>
      <c r="M248" s="50">
        <f t="shared" si="0"/>
        <v>0</v>
      </c>
      <c r="N248" s="50"/>
      <c r="O248" s="31"/>
      <c r="P248" s="108">
        <v>1</v>
      </c>
      <c r="Q248" s="65">
        <v>748.24</v>
      </c>
      <c r="R248" s="51"/>
      <c r="S248" s="50">
        <f t="shared" si="6"/>
        <v>748.24</v>
      </c>
      <c r="T248" s="50"/>
      <c r="U248" s="225">
        <v>748.24</v>
      </c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9"/>
      <c r="B249" s="380"/>
      <c r="C249" s="380"/>
      <c r="D249" s="380"/>
      <c r="E249" s="380"/>
      <c r="F249" s="221" t="s">
        <v>349</v>
      </c>
      <c r="G249" s="55" t="s">
        <v>28</v>
      </c>
      <c r="H249" s="153">
        <v>3</v>
      </c>
      <c r="I249" s="130">
        <v>1</v>
      </c>
      <c r="J249" s="130">
        <v>1</v>
      </c>
      <c r="K249" s="114">
        <v>1344.7</v>
      </c>
      <c r="L249" s="44"/>
      <c r="M249" s="43">
        <f t="shared" si="0"/>
        <v>0</v>
      </c>
      <c r="N249" s="43"/>
      <c r="O249" s="41"/>
      <c r="P249" s="103"/>
      <c r="Q249" s="43"/>
      <c r="R249" s="44"/>
      <c r="S249" s="43">
        <f t="shared" si="6"/>
        <v>1440.75</v>
      </c>
      <c r="T249" s="114">
        <v>1440.75</v>
      </c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198</v>
      </c>
      <c r="C250" s="374" t="s">
        <v>22</v>
      </c>
      <c r="D250" s="374"/>
      <c r="E250" s="374" t="s">
        <v>112</v>
      </c>
      <c r="F250" s="204" t="s">
        <v>383</v>
      </c>
      <c r="G250" s="23" t="s">
        <v>24</v>
      </c>
      <c r="H250" s="48">
        <v>5</v>
      </c>
      <c r="I250" s="25"/>
      <c r="J250" s="25"/>
      <c r="K250" s="26"/>
      <c r="L250" s="27"/>
      <c r="M250" s="26">
        <f t="shared" si="0"/>
        <v>0</v>
      </c>
      <c r="N250" s="26"/>
      <c r="O250" s="31"/>
      <c r="P250" s="53">
        <v>7</v>
      </c>
      <c r="Q250" s="30">
        <v>27470.31</v>
      </c>
      <c r="R250" s="27"/>
      <c r="S250" s="26">
        <f t="shared" si="6"/>
        <v>10703.11</v>
      </c>
      <c r="T250" s="26"/>
      <c r="U250" s="225">
        <v>10703.11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350</v>
      </c>
      <c r="G251" s="35" t="s">
        <v>28</v>
      </c>
      <c r="H251" s="153">
        <v>1</v>
      </c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6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199</v>
      </c>
      <c r="C252" s="381" t="s">
        <v>22</v>
      </c>
      <c r="D252" s="381"/>
      <c r="E252" s="381" t="s">
        <v>131</v>
      </c>
      <c r="F252" s="46"/>
      <c r="G252" s="23" t="s">
        <v>24</v>
      </c>
      <c r="H252" s="98"/>
      <c r="I252" s="49"/>
      <c r="J252" s="49"/>
      <c r="K252" s="50"/>
      <c r="L252" s="51"/>
      <c r="M252" s="50">
        <f t="shared" si="0"/>
        <v>0</v>
      </c>
      <c r="N252" s="50"/>
      <c r="O252" s="31"/>
      <c r="P252" s="123"/>
      <c r="Q252" s="50"/>
      <c r="R252" s="51"/>
      <c r="S252" s="50">
        <f t="shared" si="6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9"/>
      <c r="B253" s="380"/>
      <c r="C253" s="380"/>
      <c r="D253" s="380"/>
      <c r="E253" s="380"/>
      <c r="F253" s="126"/>
      <c r="G253" s="55" t="s">
        <v>25</v>
      </c>
      <c r="H253" s="118"/>
      <c r="I253" s="57"/>
      <c r="J253" s="57"/>
      <c r="K253" s="43"/>
      <c r="L253" s="44"/>
      <c r="M253" s="43">
        <f t="shared" si="0"/>
        <v>0</v>
      </c>
      <c r="N253" s="43"/>
      <c r="O253" s="41"/>
      <c r="P253" s="103"/>
      <c r="Q253" s="43"/>
      <c r="R253" s="44"/>
      <c r="S253" s="43">
        <f t="shared" si="6"/>
        <v>0</v>
      </c>
      <c r="T253" s="43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200</v>
      </c>
      <c r="C254" s="374" t="s">
        <v>22</v>
      </c>
      <c r="D254" s="374"/>
      <c r="E254" s="374" t="s">
        <v>27</v>
      </c>
      <c r="F254" s="204" t="s">
        <v>384</v>
      </c>
      <c r="G254" s="23" t="s">
        <v>24</v>
      </c>
      <c r="H254" s="61">
        <v>1</v>
      </c>
      <c r="I254" s="25"/>
      <c r="J254" s="25"/>
      <c r="K254" s="26"/>
      <c r="L254" s="27"/>
      <c r="M254" s="26">
        <f t="shared" si="0"/>
        <v>0</v>
      </c>
      <c r="N254" s="26"/>
      <c r="O254" s="31"/>
      <c r="P254" s="29">
        <v>5</v>
      </c>
      <c r="Q254" s="30">
        <v>20287.48</v>
      </c>
      <c r="R254" s="27"/>
      <c r="S254" s="26">
        <f t="shared" si="6"/>
        <v>1911.09</v>
      </c>
      <c r="T254" s="26"/>
      <c r="U254" s="225">
        <v>1911.09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1" t="s">
        <v>351</v>
      </c>
      <c r="G255" s="55" t="s">
        <v>28</v>
      </c>
      <c r="H255" s="121">
        <v>1</v>
      </c>
      <c r="I255" s="130">
        <v>1</v>
      </c>
      <c r="J255" s="130">
        <v>1</v>
      </c>
      <c r="K255" s="114">
        <v>1056.55</v>
      </c>
      <c r="L255" s="44"/>
      <c r="M255" s="43">
        <f t="shared" si="0"/>
        <v>0</v>
      </c>
      <c r="N255" s="43"/>
      <c r="O255" s="45"/>
      <c r="P255" s="42"/>
      <c r="Q255" s="43"/>
      <c r="R255" s="44"/>
      <c r="S255" s="43">
        <f t="shared" si="6"/>
        <v>1921</v>
      </c>
      <c r="T255" s="114">
        <v>1921</v>
      </c>
      <c r="U255" s="4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201</v>
      </c>
      <c r="C256" s="374" t="s">
        <v>39</v>
      </c>
      <c r="D256" s="374" t="s">
        <v>385</v>
      </c>
      <c r="E256" s="374" t="s">
        <v>386</v>
      </c>
      <c r="F256" s="204" t="s">
        <v>387</v>
      </c>
      <c r="G256" s="23" t="s">
        <v>24</v>
      </c>
      <c r="H256" s="61">
        <v>8</v>
      </c>
      <c r="I256" s="62">
        <v>5</v>
      </c>
      <c r="J256" s="62">
        <v>7</v>
      </c>
      <c r="K256" s="30">
        <v>8462.19</v>
      </c>
      <c r="L256" s="27"/>
      <c r="M256" s="26">
        <f t="shared" si="0"/>
        <v>0</v>
      </c>
      <c r="N256" s="26"/>
      <c r="O256" s="159"/>
      <c r="P256" s="53">
        <v>2</v>
      </c>
      <c r="Q256" s="30">
        <v>4356.83</v>
      </c>
      <c r="R256" s="205">
        <v>2</v>
      </c>
      <c r="S256" s="26">
        <f t="shared" si="6"/>
        <v>4356.83</v>
      </c>
      <c r="T256" s="30">
        <v>4356.83</v>
      </c>
      <c r="U256" s="28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105"/>
      <c r="G257" s="35" t="s">
        <v>25</v>
      </c>
      <c r="H257" s="106"/>
      <c r="I257" s="38"/>
      <c r="J257" s="38"/>
      <c r="K257" s="39"/>
      <c r="L257" s="40"/>
      <c r="M257" s="39">
        <f t="shared" si="0"/>
        <v>0</v>
      </c>
      <c r="N257" s="39"/>
      <c r="O257" s="58"/>
      <c r="P257" s="115">
        <v>1</v>
      </c>
      <c r="Q257" s="68">
        <v>3073.6</v>
      </c>
      <c r="R257" s="285">
        <v>1</v>
      </c>
      <c r="S257" s="68">
        <v>3073.6</v>
      </c>
      <c r="T257" s="68">
        <v>3073.6</v>
      </c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202</v>
      </c>
      <c r="C258" s="381" t="s">
        <v>22</v>
      </c>
      <c r="D258" s="377"/>
      <c r="E258" s="381" t="s">
        <v>27</v>
      </c>
      <c r="F258" s="110"/>
      <c r="G258" s="47" t="s">
        <v>24</v>
      </c>
      <c r="H258" s="48">
        <v>1</v>
      </c>
      <c r="I258" s="49"/>
      <c r="J258" s="49"/>
      <c r="K258" s="50"/>
      <c r="L258" s="51"/>
      <c r="M258" s="50">
        <f t="shared" si="0"/>
        <v>0</v>
      </c>
      <c r="N258" s="50"/>
      <c r="O258" s="31"/>
      <c r="P258" s="108">
        <v>1</v>
      </c>
      <c r="Q258" s="65">
        <v>1124.17</v>
      </c>
      <c r="R258" s="51"/>
      <c r="S258" s="50">
        <f t="shared" ref="S258:S263" si="7">T258+U258</f>
        <v>0</v>
      </c>
      <c r="T258" s="50"/>
      <c r="U258" s="3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262</v>
      </c>
      <c r="G259" s="55" t="s">
        <v>28</v>
      </c>
      <c r="H259" s="112">
        <v>1</v>
      </c>
      <c r="I259" s="57"/>
      <c r="J259" s="57"/>
      <c r="K259" s="43"/>
      <c r="L259" s="128"/>
      <c r="M259" s="129">
        <f t="shared" si="0"/>
        <v>0</v>
      </c>
      <c r="N259" s="43"/>
      <c r="O259" s="45"/>
      <c r="P259" s="113">
        <v>1</v>
      </c>
      <c r="Q259" s="114">
        <v>1344.7</v>
      </c>
      <c r="R259" s="128"/>
      <c r="S259" s="129">
        <f t="shared" si="7"/>
        <v>3649.9</v>
      </c>
      <c r="T259" s="114">
        <v>3649.9</v>
      </c>
      <c r="U259" s="4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203</v>
      </c>
      <c r="C260" s="374"/>
      <c r="D260" s="374"/>
      <c r="E260" s="374" t="s">
        <v>27</v>
      </c>
      <c r="F260" s="60"/>
      <c r="G260" s="23" t="s">
        <v>24</v>
      </c>
      <c r="H260" s="104"/>
      <c r="I260" s="25"/>
      <c r="J260" s="25"/>
      <c r="K260" s="26"/>
      <c r="L260" s="27"/>
      <c r="M260" s="26">
        <f t="shared" si="0"/>
        <v>0</v>
      </c>
      <c r="N260" s="26"/>
      <c r="O260" s="28"/>
      <c r="P260" s="120"/>
      <c r="Q260" s="26"/>
      <c r="R260" s="27"/>
      <c r="S260" s="26">
        <f t="shared" si="7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34"/>
      <c r="G261" s="35" t="s">
        <v>28</v>
      </c>
      <c r="H261" s="117"/>
      <c r="I261" s="38"/>
      <c r="J261" s="38"/>
      <c r="K261" s="39"/>
      <c r="L261" s="40"/>
      <c r="M261" s="39">
        <f t="shared" si="0"/>
        <v>0</v>
      </c>
      <c r="N261" s="39"/>
      <c r="O261" s="41"/>
      <c r="P261" s="69"/>
      <c r="Q261" s="39"/>
      <c r="R261" s="40"/>
      <c r="S261" s="39">
        <f t="shared" si="7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204</v>
      </c>
      <c r="C262" s="381" t="s">
        <v>22</v>
      </c>
      <c r="D262" s="381"/>
      <c r="E262" s="381" t="s">
        <v>23</v>
      </c>
      <c r="F262" s="127"/>
      <c r="G262" s="47" t="s">
        <v>24</v>
      </c>
      <c r="H262" s="48">
        <v>6</v>
      </c>
      <c r="I262" s="203">
        <v>1</v>
      </c>
      <c r="J262" s="203">
        <v>1</v>
      </c>
      <c r="K262" s="65">
        <v>384.2</v>
      </c>
      <c r="L262" s="51"/>
      <c r="M262" s="50">
        <f t="shared" si="0"/>
        <v>0</v>
      </c>
      <c r="N262" s="50"/>
      <c r="O262" s="31"/>
      <c r="P262" s="108">
        <v>4</v>
      </c>
      <c r="Q262" s="65">
        <v>3363.11</v>
      </c>
      <c r="R262" s="51"/>
      <c r="S262" s="50">
        <f t="shared" si="7"/>
        <v>0</v>
      </c>
      <c r="T262" s="50"/>
      <c r="U262" s="31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34"/>
      <c r="G263" s="35" t="s">
        <v>25</v>
      </c>
      <c r="H263" s="111"/>
      <c r="I263" s="38"/>
      <c r="J263" s="38"/>
      <c r="K263" s="39"/>
      <c r="L263" s="40"/>
      <c r="M263" s="39">
        <f t="shared" si="0"/>
        <v>0</v>
      </c>
      <c r="N263" s="39"/>
      <c r="O263" s="41"/>
      <c r="P263" s="59"/>
      <c r="Q263" s="39"/>
      <c r="R263" s="40"/>
      <c r="S263" s="39">
        <f t="shared" si="7"/>
        <v>0</v>
      </c>
      <c r="T263" s="39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179"/>
      <c r="B264" s="180" t="s">
        <v>205</v>
      </c>
      <c r="C264" s="180"/>
      <c r="D264" s="180"/>
      <c r="E264" s="180"/>
      <c r="F264" s="180"/>
      <c r="G264" s="181"/>
      <c r="H264" s="182">
        <f t="shared" ref="H264:U264" si="8">SUM(H9:H263)</f>
        <v>639</v>
      </c>
      <c r="I264" s="183">
        <f t="shared" si="8"/>
        <v>234</v>
      </c>
      <c r="J264" s="183">
        <f t="shared" si="8"/>
        <v>262</v>
      </c>
      <c r="K264" s="184">
        <f t="shared" si="8"/>
        <v>365596.03</v>
      </c>
      <c r="L264" s="185">
        <f t="shared" si="8"/>
        <v>3</v>
      </c>
      <c r="M264" s="184">
        <f t="shared" si="8"/>
        <v>3566.3100000000004</v>
      </c>
      <c r="N264" s="184">
        <f t="shared" si="8"/>
        <v>3566.3100000000004</v>
      </c>
      <c r="O264" s="186">
        <f t="shared" si="8"/>
        <v>0</v>
      </c>
      <c r="P264" s="187">
        <f t="shared" si="8"/>
        <v>895</v>
      </c>
      <c r="Q264" s="188">
        <f t="shared" si="8"/>
        <v>2682538.4299999997</v>
      </c>
      <c r="R264" s="185">
        <f t="shared" si="8"/>
        <v>249</v>
      </c>
      <c r="S264" s="188">
        <f t="shared" si="8"/>
        <v>976378.99000000011</v>
      </c>
      <c r="T264" s="188">
        <f t="shared" si="8"/>
        <v>846742.03</v>
      </c>
      <c r="U264" s="189">
        <f t="shared" si="8"/>
        <v>129636.95999999999</v>
      </c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I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4"/>
      <c r="G267" s="4"/>
      <c r="H267" s="4" t="s">
        <v>206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27.75" customHeight="1">
      <c r="A268" s="4"/>
      <c r="B268" s="4"/>
      <c r="C268" s="4"/>
      <c r="D268" s="4"/>
      <c r="E268" s="4"/>
      <c r="F268" s="394"/>
      <c r="G268" s="395" t="s">
        <v>5</v>
      </c>
      <c r="H268" s="396"/>
      <c r="I268" s="396"/>
      <c r="J268" s="396"/>
      <c r="K268" s="396"/>
      <c r="L268" s="396"/>
      <c r="M268" s="396"/>
      <c r="N268" s="397"/>
      <c r="O268" s="395" t="s">
        <v>6</v>
      </c>
      <c r="P268" s="396"/>
      <c r="Q268" s="396"/>
      <c r="R268" s="396"/>
      <c r="S268" s="396"/>
      <c r="T268" s="397"/>
      <c r="U268" s="393" t="s">
        <v>207</v>
      </c>
      <c r="V268" s="393" t="s">
        <v>208</v>
      </c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386"/>
      <c r="G269" s="190" t="s">
        <v>13</v>
      </c>
      <c r="H269" s="190" t="s">
        <v>14</v>
      </c>
      <c r="I269" s="190" t="s">
        <v>15</v>
      </c>
      <c r="J269" s="190" t="s">
        <v>16</v>
      </c>
      <c r="K269" s="191" t="s">
        <v>17</v>
      </c>
      <c r="L269" s="190" t="s">
        <v>18</v>
      </c>
      <c r="M269" s="190" t="s">
        <v>19</v>
      </c>
      <c r="N269" s="190" t="s">
        <v>20</v>
      </c>
      <c r="O269" s="190" t="s">
        <v>15</v>
      </c>
      <c r="P269" s="190" t="s">
        <v>16</v>
      </c>
      <c r="Q269" s="191" t="s">
        <v>17</v>
      </c>
      <c r="R269" s="190" t="s">
        <v>18</v>
      </c>
      <c r="S269" s="190" t="s">
        <v>19</v>
      </c>
      <c r="T269" s="190" t="s">
        <v>20</v>
      </c>
      <c r="U269" s="392"/>
      <c r="V269" s="392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192" t="s">
        <v>24</v>
      </c>
      <c r="G270" s="193">
        <f t="shared" ref="G270:I270" si="9">SUMIF($G$9:$G$263,$F$270,H9:H263)</f>
        <v>420</v>
      </c>
      <c r="H270" s="193">
        <f t="shared" si="9"/>
        <v>190</v>
      </c>
      <c r="I270" s="193">
        <f t="shared" si="9"/>
        <v>218</v>
      </c>
      <c r="J270" s="194">
        <f t="shared" ref="J270:J272" si="10">SUMIF($G$9:$G$263,F270,$K$9:$K$263)</f>
        <v>304394.12</v>
      </c>
      <c r="K270" s="195">
        <f t="shared" ref="K270:K272" si="11">SUMIF($G$9:$G$263,F270,$L$9:$L$263)</f>
        <v>3</v>
      </c>
      <c r="L270" s="194">
        <f t="shared" ref="L270:L272" si="12">SUMIF($G$9:$G$263,F270,$M$9:$M$263)</f>
        <v>2221.61</v>
      </c>
      <c r="M270" s="194">
        <f t="shared" ref="M270:O270" si="13">SUMIF($G$9:$G$263,$F$270,N9:N263)</f>
        <v>2221.61</v>
      </c>
      <c r="N270" s="194">
        <f t="shared" si="13"/>
        <v>0</v>
      </c>
      <c r="O270" s="193">
        <f t="shared" si="13"/>
        <v>758</v>
      </c>
      <c r="P270" s="194">
        <f t="shared" ref="P270:P272" si="14">SUMIF($G$9:$G$263,F270,$Q$9:$Q$263)</f>
        <v>2297514.8699999996</v>
      </c>
      <c r="Q270" s="195">
        <f t="shared" ref="Q270:Q272" si="15">SUMIF($G$9:$G$263,F270,$R$9:$R$263)</f>
        <v>235</v>
      </c>
      <c r="R270" s="194">
        <f t="shared" ref="R270:R272" si="16">SUMIF($G$9:$G$263,F270,$S$9:$S$263)</f>
        <v>812910.15</v>
      </c>
      <c r="S270" s="194">
        <f t="shared" ref="S270:T270" si="17">SUMIF($G$9:$G$263,$F$270,T9:T263)</f>
        <v>683273.19000000006</v>
      </c>
      <c r="T270" s="194">
        <f t="shared" si="17"/>
        <v>129636.95999999999</v>
      </c>
      <c r="U270" s="194">
        <f t="shared" ref="U270:U272" si="18">S270+M270</f>
        <v>685494.8</v>
      </c>
      <c r="V270" s="196">
        <f t="shared" ref="V270:V272" si="19">J270-M270+P270-S270</f>
        <v>1916414.19</v>
      </c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192" t="s">
        <v>28</v>
      </c>
      <c r="G271" s="236">
        <f t="shared" ref="G271:I271" si="20">SUMIF($G$9:$G$263,$F$271,H9:H263)</f>
        <v>180</v>
      </c>
      <c r="H271" s="193">
        <f t="shared" si="20"/>
        <v>31</v>
      </c>
      <c r="I271" s="193">
        <f t="shared" si="20"/>
        <v>31</v>
      </c>
      <c r="J271" s="194">
        <f t="shared" si="10"/>
        <v>43355.82</v>
      </c>
      <c r="K271" s="195">
        <f t="shared" si="11"/>
        <v>0</v>
      </c>
      <c r="L271" s="194">
        <f t="shared" si="12"/>
        <v>1344.7</v>
      </c>
      <c r="M271" s="194">
        <f t="shared" ref="M271:O271" si="21">SUMIF($G$9:$G$263,$F$271,N9:N263)</f>
        <v>1344.7</v>
      </c>
      <c r="N271" s="194">
        <f t="shared" si="21"/>
        <v>0</v>
      </c>
      <c r="O271" s="193">
        <f t="shared" si="21"/>
        <v>106</v>
      </c>
      <c r="P271" s="194">
        <f t="shared" si="14"/>
        <v>284087.29000000004</v>
      </c>
      <c r="Q271" s="195">
        <f t="shared" si="15"/>
        <v>0</v>
      </c>
      <c r="R271" s="194">
        <f t="shared" si="16"/>
        <v>118645.81000000001</v>
      </c>
      <c r="S271" s="194">
        <f t="shared" ref="S271:T271" si="22">SUMIF($G$9:$G$263,$F$271,T9:T263)</f>
        <v>118645.81000000001</v>
      </c>
      <c r="T271" s="194">
        <f t="shared" si="22"/>
        <v>0</v>
      </c>
      <c r="U271" s="194">
        <f t="shared" si="18"/>
        <v>119990.51000000001</v>
      </c>
      <c r="V271" s="196">
        <f t="shared" si="19"/>
        <v>207452.60000000003</v>
      </c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4"/>
      <c r="B272" s="4"/>
      <c r="C272" s="4"/>
      <c r="D272" s="4"/>
      <c r="E272" s="4"/>
      <c r="F272" s="192" t="s">
        <v>25</v>
      </c>
      <c r="G272" s="193">
        <f t="shared" ref="G272:I272" si="23">SUMIF($G$9:$G$263,$F$272,H9:H263)</f>
        <v>39</v>
      </c>
      <c r="H272" s="193">
        <f t="shared" si="23"/>
        <v>13</v>
      </c>
      <c r="I272" s="193">
        <f t="shared" si="23"/>
        <v>13</v>
      </c>
      <c r="J272" s="194">
        <f t="shared" si="10"/>
        <v>17846.09</v>
      </c>
      <c r="K272" s="195">
        <f t="shared" si="11"/>
        <v>0</v>
      </c>
      <c r="L272" s="194">
        <f t="shared" si="12"/>
        <v>0</v>
      </c>
      <c r="M272" s="194">
        <f t="shared" ref="M272:O272" si="24">SUMIF($G$9:$G$263,$F$272,N9:N263)</f>
        <v>0</v>
      </c>
      <c r="N272" s="194">
        <f t="shared" si="24"/>
        <v>0</v>
      </c>
      <c r="O272" s="193">
        <f t="shared" si="24"/>
        <v>31</v>
      </c>
      <c r="P272" s="194">
        <f t="shared" si="14"/>
        <v>100936.27000000002</v>
      </c>
      <c r="Q272" s="195">
        <f t="shared" si="15"/>
        <v>14</v>
      </c>
      <c r="R272" s="194">
        <f t="shared" si="16"/>
        <v>44823.030000000006</v>
      </c>
      <c r="S272" s="194">
        <f t="shared" ref="S272:T272" si="25">SUMIF($G$9:$G$263,$F$272,T9:T263)</f>
        <v>44823.030000000006</v>
      </c>
      <c r="T272" s="194">
        <f t="shared" si="25"/>
        <v>0</v>
      </c>
      <c r="U272" s="194">
        <f t="shared" si="18"/>
        <v>44823.030000000006</v>
      </c>
      <c r="V272" s="196">
        <f t="shared" si="19"/>
        <v>73959.330000000016</v>
      </c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197">
        <f t="shared" ref="G273:V273" si="26">G272+G271+G270</f>
        <v>639</v>
      </c>
      <c r="H273" s="197">
        <f t="shared" si="26"/>
        <v>234</v>
      </c>
      <c r="I273" s="197">
        <f t="shared" si="26"/>
        <v>262</v>
      </c>
      <c r="J273" s="198">
        <f t="shared" si="26"/>
        <v>365596.03</v>
      </c>
      <c r="K273" s="199">
        <f t="shared" si="26"/>
        <v>3</v>
      </c>
      <c r="L273" s="198">
        <f t="shared" si="26"/>
        <v>3566.3100000000004</v>
      </c>
      <c r="M273" s="198">
        <f t="shared" si="26"/>
        <v>3566.3100000000004</v>
      </c>
      <c r="N273" s="198">
        <f t="shared" si="26"/>
        <v>0</v>
      </c>
      <c r="O273" s="197">
        <f t="shared" si="26"/>
        <v>895</v>
      </c>
      <c r="P273" s="198">
        <f t="shared" si="26"/>
        <v>2682538.4299999997</v>
      </c>
      <c r="Q273" s="200">
        <f t="shared" si="26"/>
        <v>249</v>
      </c>
      <c r="R273" s="198">
        <f t="shared" si="26"/>
        <v>976378.99</v>
      </c>
      <c r="S273" s="198">
        <f t="shared" si="26"/>
        <v>846742.03</v>
      </c>
      <c r="T273" s="198">
        <f t="shared" si="26"/>
        <v>129636.95999999999</v>
      </c>
      <c r="U273" s="198">
        <f t="shared" si="26"/>
        <v>850308.34000000008</v>
      </c>
      <c r="V273" s="198">
        <f t="shared" si="26"/>
        <v>2197826.12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K274" s="201"/>
      <c r="L274" s="201"/>
      <c r="R274" s="2"/>
    </row>
    <row r="275" spans="1:32" ht="15.75" customHeight="1">
      <c r="K275" s="201"/>
      <c r="L275" s="201"/>
      <c r="R275" s="2"/>
    </row>
    <row r="276" spans="1:32" ht="15.75" customHeight="1">
      <c r="K276" s="201"/>
      <c r="L276" s="201"/>
      <c r="R276" s="2"/>
    </row>
    <row r="277" spans="1:32" ht="15.75" customHeight="1">
      <c r="K277" s="201"/>
      <c r="L277" s="201"/>
      <c r="R277" s="2"/>
    </row>
    <row r="278" spans="1:32" ht="15.75" customHeight="1">
      <c r="K278" s="201"/>
      <c r="L278" s="201"/>
      <c r="R278" s="2"/>
    </row>
    <row r="279" spans="1:32" ht="15.75" customHeight="1">
      <c r="K279" s="201"/>
      <c r="L279" s="201"/>
      <c r="R279" s="2"/>
    </row>
    <row r="280" spans="1:32" ht="15.75" customHeight="1">
      <c r="K280" s="201"/>
      <c r="L280" s="201"/>
      <c r="R280" s="2"/>
    </row>
    <row r="281" spans="1:32" ht="15.75" customHeight="1">
      <c r="K281" s="201"/>
      <c r="L281" s="201"/>
      <c r="R281" s="2"/>
    </row>
    <row r="282" spans="1:32" ht="15.75" customHeight="1">
      <c r="K282" s="201"/>
      <c r="L282" s="201"/>
      <c r="R282" s="2"/>
    </row>
    <row r="283" spans="1:32" ht="15.75" customHeight="1">
      <c r="K283" s="201"/>
      <c r="L283" s="201"/>
      <c r="R283" s="2"/>
    </row>
    <row r="284" spans="1:32" ht="15.75" customHeight="1">
      <c r="K284" s="201"/>
      <c r="L284" s="201"/>
      <c r="R284" s="2"/>
    </row>
    <row r="285" spans="1:32" ht="15.75" customHeight="1">
      <c r="K285" s="201"/>
      <c r="L285" s="201"/>
      <c r="R285" s="2"/>
    </row>
    <row r="286" spans="1:32" ht="15.75" customHeight="1">
      <c r="K286" s="201"/>
      <c r="L286" s="201"/>
      <c r="R286" s="2"/>
    </row>
    <row r="287" spans="1:32" ht="15.75" customHeight="1">
      <c r="K287" s="201"/>
      <c r="L287" s="201"/>
      <c r="R287" s="2"/>
    </row>
    <row r="288" spans="1:32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L426" s="2"/>
      <c r="R426" s="2"/>
    </row>
    <row r="427" spans="11:18" ht="15.75" customHeight="1">
      <c r="L427" s="2"/>
      <c r="R427" s="2"/>
    </row>
    <row r="428" spans="11:18" ht="15.75" customHeight="1">
      <c r="L428" s="2"/>
      <c r="R428" s="2"/>
    </row>
    <row r="429" spans="11:18" ht="15.75" customHeight="1">
      <c r="L429" s="2"/>
      <c r="R429" s="2"/>
    </row>
    <row r="430" spans="11:18" ht="15.75" customHeight="1">
      <c r="L430" s="2"/>
      <c r="R430" s="2"/>
    </row>
    <row r="431" spans="11:18" ht="15.75" customHeight="1">
      <c r="L431" s="2"/>
      <c r="R431" s="2"/>
    </row>
    <row r="432" spans="11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</sheetData>
  <mergeCells count="635">
    <mergeCell ref="D224:D225"/>
    <mergeCell ref="E224:E225"/>
    <mergeCell ref="A226:A227"/>
    <mergeCell ref="B234:B235"/>
    <mergeCell ref="C234:C235"/>
    <mergeCell ref="A236:A237"/>
    <mergeCell ref="B236:B237"/>
    <mergeCell ref="C236:C237"/>
    <mergeCell ref="D236:D237"/>
    <mergeCell ref="E236:E237"/>
    <mergeCell ref="A220:A221"/>
    <mergeCell ref="B220:B221"/>
    <mergeCell ref="C220:C221"/>
    <mergeCell ref="B222:B223"/>
    <mergeCell ref="C222:C223"/>
    <mergeCell ref="A222:A223"/>
    <mergeCell ref="A224:A225"/>
    <mergeCell ref="B224:B225"/>
    <mergeCell ref="C224:C225"/>
    <mergeCell ref="A214:A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34:D235"/>
    <mergeCell ref="E234:E235"/>
    <mergeCell ref="A230:A231"/>
    <mergeCell ref="A232:A233"/>
    <mergeCell ref="B232:B233"/>
    <mergeCell ref="C232:C233"/>
    <mergeCell ref="D232:D233"/>
    <mergeCell ref="E232:E233"/>
    <mergeCell ref="A234:A235"/>
    <mergeCell ref="D230:D231"/>
    <mergeCell ref="E230:E231"/>
    <mergeCell ref="B226:B227"/>
    <mergeCell ref="C226:C227"/>
    <mergeCell ref="A228:A229"/>
    <mergeCell ref="B228:B229"/>
    <mergeCell ref="C228:C229"/>
    <mergeCell ref="B230:B231"/>
    <mergeCell ref="C230:C231"/>
    <mergeCell ref="A210:A211"/>
    <mergeCell ref="B210:B211"/>
    <mergeCell ref="C210:C211"/>
    <mergeCell ref="D210:D211"/>
    <mergeCell ref="E210:E211"/>
    <mergeCell ref="D226:D227"/>
    <mergeCell ref="E226:E227"/>
    <mergeCell ref="D228:D229"/>
    <mergeCell ref="E228:E229"/>
    <mergeCell ref="C214:C215"/>
    <mergeCell ref="D214:D215"/>
    <mergeCell ref="A212:A213"/>
    <mergeCell ref="B212:B213"/>
    <mergeCell ref="C212:C213"/>
    <mergeCell ref="D212:D213"/>
    <mergeCell ref="E212:E213"/>
    <mergeCell ref="B214:B215"/>
    <mergeCell ref="E214:E215"/>
    <mergeCell ref="D218:D219"/>
    <mergeCell ref="E218:E219"/>
    <mergeCell ref="D220:D221"/>
    <mergeCell ref="E220:E221"/>
    <mergeCell ref="D222:D223"/>
    <mergeCell ref="E222:E223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B198:B199"/>
    <mergeCell ref="C198:C199"/>
    <mergeCell ref="A200:A201"/>
    <mergeCell ref="B200:B201"/>
    <mergeCell ref="C200:C201"/>
    <mergeCell ref="C192:C193"/>
    <mergeCell ref="D192:D193"/>
    <mergeCell ref="A189:A191"/>
    <mergeCell ref="B189:B191"/>
    <mergeCell ref="C189:C191"/>
    <mergeCell ref="D189:D191"/>
    <mergeCell ref="E189:E191"/>
    <mergeCell ref="B192:B193"/>
    <mergeCell ref="E192:E193"/>
    <mergeCell ref="A202:A203"/>
    <mergeCell ref="B202:B203"/>
    <mergeCell ref="C202:C203"/>
    <mergeCell ref="D202:D203"/>
    <mergeCell ref="E202:E203"/>
    <mergeCell ref="B204:B205"/>
    <mergeCell ref="E204:E205"/>
    <mergeCell ref="D208:D209"/>
    <mergeCell ref="E208:E209"/>
    <mergeCell ref="A204:A205"/>
    <mergeCell ref="A206:A207"/>
    <mergeCell ref="B206:B207"/>
    <mergeCell ref="C206:C207"/>
    <mergeCell ref="D206:D207"/>
    <mergeCell ref="E206:E207"/>
    <mergeCell ref="A208:A209"/>
    <mergeCell ref="C204:C205"/>
    <mergeCell ref="D204:D205"/>
    <mergeCell ref="B208:B209"/>
    <mergeCell ref="C208:C209"/>
    <mergeCell ref="A175:A176"/>
    <mergeCell ref="B175:B176"/>
    <mergeCell ref="C175:C176"/>
    <mergeCell ref="D175:D176"/>
    <mergeCell ref="E175:E176"/>
    <mergeCell ref="A177:A178"/>
    <mergeCell ref="B185:B186"/>
    <mergeCell ref="C185:C186"/>
    <mergeCell ref="A187:A188"/>
    <mergeCell ref="B187:B188"/>
    <mergeCell ref="C187:C188"/>
    <mergeCell ref="D187:D188"/>
    <mergeCell ref="E187:E188"/>
    <mergeCell ref="D169:D170"/>
    <mergeCell ref="E169:E170"/>
    <mergeCell ref="D171:D172"/>
    <mergeCell ref="E171:E172"/>
    <mergeCell ref="D173:D174"/>
    <mergeCell ref="E173:E174"/>
    <mergeCell ref="A165:A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A171:A172"/>
    <mergeCell ref="B171:B172"/>
    <mergeCell ref="C171:C172"/>
    <mergeCell ref="B173:B174"/>
    <mergeCell ref="C173:C174"/>
    <mergeCell ref="A173:A174"/>
    <mergeCell ref="C165:C166"/>
    <mergeCell ref="D165:D166"/>
    <mergeCell ref="A163:A164"/>
    <mergeCell ref="B163:B164"/>
    <mergeCell ref="C163:C164"/>
    <mergeCell ref="D163:D164"/>
    <mergeCell ref="E163:E164"/>
    <mergeCell ref="B165:B166"/>
    <mergeCell ref="E165:E166"/>
    <mergeCell ref="D185:D186"/>
    <mergeCell ref="E185:E186"/>
    <mergeCell ref="A181:A182"/>
    <mergeCell ref="A183:A184"/>
    <mergeCell ref="B183:B184"/>
    <mergeCell ref="C183:C184"/>
    <mergeCell ref="D183:D184"/>
    <mergeCell ref="E183:E184"/>
    <mergeCell ref="A185:A186"/>
    <mergeCell ref="A250:A251"/>
    <mergeCell ref="B250:B251"/>
    <mergeCell ref="C250:C251"/>
    <mergeCell ref="D250:D251"/>
    <mergeCell ref="E250:E251"/>
    <mergeCell ref="A252:A253"/>
    <mergeCell ref="B260:B261"/>
    <mergeCell ref="C260:C261"/>
    <mergeCell ref="A262:A263"/>
    <mergeCell ref="B262:B263"/>
    <mergeCell ref="C262:C263"/>
    <mergeCell ref="D262:D263"/>
    <mergeCell ref="E262:E263"/>
    <mergeCell ref="D244:D245"/>
    <mergeCell ref="E244:E245"/>
    <mergeCell ref="D246:D247"/>
    <mergeCell ref="E246:E247"/>
    <mergeCell ref="D248:D249"/>
    <mergeCell ref="E248:E249"/>
    <mergeCell ref="A240:A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A246:A247"/>
    <mergeCell ref="B246:B247"/>
    <mergeCell ref="C246:C247"/>
    <mergeCell ref="B248:B249"/>
    <mergeCell ref="C248:C249"/>
    <mergeCell ref="A248:A249"/>
    <mergeCell ref="C240:C241"/>
    <mergeCell ref="D240:D241"/>
    <mergeCell ref="A238:A239"/>
    <mergeCell ref="B238:B239"/>
    <mergeCell ref="C238:C239"/>
    <mergeCell ref="D238:D239"/>
    <mergeCell ref="E238:E239"/>
    <mergeCell ref="B240:B241"/>
    <mergeCell ref="E240:E241"/>
    <mergeCell ref="D260:D261"/>
    <mergeCell ref="E260:E261"/>
    <mergeCell ref="F268:F269"/>
    <mergeCell ref="G268:N268"/>
    <mergeCell ref="O268:T268"/>
    <mergeCell ref="U268:U269"/>
    <mergeCell ref="V268:V269"/>
    <mergeCell ref="A256:A257"/>
    <mergeCell ref="A258:A259"/>
    <mergeCell ref="B258:B259"/>
    <mergeCell ref="C258:C259"/>
    <mergeCell ref="D258:D259"/>
    <mergeCell ref="E258:E259"/>
    <mergeCell ref="A260:A261"/>
    <mergeCell ref="D252:D253"/>
    <mergeCell ref="E252:E253"/>
    <mergeCell ref="D254:D255"/>
    <mergeCell ref="E254:E255"/>
    <mergeCell ref="D256:D257"/>
    <mergeCell ref="E256:E257"/>
    <mergeCell ref="B252:B253"/>
    <mergeCell ref="C252:C253"/>
    <mergeCell ref="A254:A255"/>
    <mergeCell ref="B254:B255"/>
    <mergeCell ref="C254:C255"/>
    <mergeCell ref="B256:B257"/>
    <mergeCell ref="C256:C257"/>
    <mergeCell ref="D177:D178"/>
    <mergeCell ref="E177:E178"/>
    <mergeCell ref="D179:D180"/>
    <mergeCell ref="E179:E180"/>
    <mergeCell ref="D181:D182"/>
    <mergeCell ref="E181:E182"/>
    <mergeCell ref="B177:B178"/>
    <mergeCell ref="C177:C178"/>
    <mergeCell ref="A179:A180"/>
    <mergeCell ref="B179:B180"/>
    <mergeCell ref="C179:C180"/>
    <mergeCell ref="B181:B182"/>
    <mergeCell ref="C181:C182"/>
    <mergeCell ref="A126:A127"/>
    <mergeCell ref="B126:B127"/>
    <mergeCell ref="C126:C127"/>
    <mergeCell ref="D126:D127"/>
    <mergeCell ref="E126:E127"/>
    <mergeCell ref="A128:A129"/>
    <mergeCell ref="B137:B138"/>
    <mergeCell ref="C137:C138"/>
    <mergeCell ref="A139:A140"/>
    <mergeCell ref="B139:B140"/>
    <mergeCell ref="C139:C140"/>
    <mergeCell ref="D139:D140"/>
    <mergeCell ref="E139:E140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8"/>
    <mergeCell ref="E137:E138"/>
    <mergeCell ref="A132:A133"/>
    <mergeCell ref="A134:A136"/>
    <mergeCell ref="B134:B136"/>
    <mergeCell ref="C134:C136"/>
    <mergeCell ref="D134:D136"/>
    <mergeCell ref="E134:E136"/>
    <mergeCell ref="A137:A138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3"/>
    <mergeCell ref="B111:B113"/>
    <mergeCell ref="C111:C113"/>
    <mergeCell ref="D111:D113"/>
    <mergeCell ref="E111:E113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D107:D108"/>
    <mergeCell ref="E107:E108"/>
    <mergeCell ref="A109:A110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161:A162"/>
    <mergeCell ref="B161:B162"/>
    <mergeCell ref="C161:C162"/>
    <mergeCell ref="D161:D162"/>
    <mergeCell ref="E161:E162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109:D110"/>
    <mergeCell ref="E109:E110"/>
    <mergeCell ref="A105:A106"/>
    <mergeCell ref="A107:A108"/>
    <mergeCell ref="B107:B108"/>
    <mergeCell ref="C107:C108"/>
    <mergeCell ref="A150:A152"/>
    <mergeCell ref="B150:B152"/>
    <mergeCell ref="C150:C152"/>
    <mergeCell ref="D150:D152"/>
    <mergeCell ref="E150:E152"/>
    <mergeCell ref="C155:C156"/>
    <mergeCell ref="D155:D156"/>
    <mergeCell ref="B159:B160"/>
    <mergeCell ref="C159:C160"/>
    <mergeCell ref="D148:D149"/>
    <mergeCell ref="E148:E149"/>
    <mergeCell ref="A143:A144"/>
    <mergeCell ref="A145:A147"/>
    <mergeCell ref="B145:B147"/>
    <mergeCell ref="C145:C147"/>
    <mergeCell ref="D145:D147"/>
    <mergeCell ref="E145:E147"/>
    <mergeCell ref="A148:A149"/>
    <mergeCell ref="B148:B149"/>
    <mergeCell ref="C148:C149"/>
    <mergeCell ref="C143:C144"/>
    <mergeCell ref="D143:D144"/>
    <mergeCell ref="A141:A142"/>
    <mergeCell ref="B141:B142"/>
    <mergeCell ref="C141:C142"/>
    <mergeCell ref="D141:D142"/>
    <mergeCell ref="E141:E142"/>
    <mergeCell ref="B143:B144"/>
    <mergeCell ref="E143:E144"/>
    <mergeCell ref="A153:A154"/>
    <mergeCell ref="B153:B154"/>
    <mergeCell ref="C153:C154"/>
    <mergeCell ref="D153:D154"/>
    <mergeCell ref="E153:E154"/>
    <mergeCell ref="B155:B156"/>
    <mergeCell ref="E155:E156"/>
    <mergeCell ref="D159:D160"/>
    <mergeCell ref="E159:E160"/>
    <mergeCell ref="A155:A156"/>
    <mergeCell ref="A157:A158"/>
    <mergeCell ref="B157:B158"/>
    <mergeCell ref="C157:C158"/>
    <mergeCell ref="D157:D158"/>
    <mergeCell ref="E157:E158"/>
    <mergeCell ref="A159:A160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8"/>
  <sheetViews>
    <sheetView tabSelected="1"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6</v>
      </c>
      <c r="I9" s="25"/>
      <c r="J9" s="25"/>
      <c r="K9" s="26"/>
      <c r="L9" s="27"/>
      <c r="M9" s="26">
        <f t="shared" ref="M9:M259" si="0">N9+O9</f>
        <v>0</v>
      </c>
      <c r="N9" s="26"/>
      <c r="O9" s="28"/>
      <c r="P9" s="29">
        <v>7</v>
      </c>
      <c r="Q9" s="30">
        <v>18177.259999999998</v>
      </c>
      <c r="R9" s="27"/>
      <c r="S9" s="26">
        <f t="shared" ref="S9:S3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35" t="s">
        <v>25</v>
      </c>
      <c r="H10" s="66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223" t="s">
        <v>250</v>
      </c>
      <c r="G11" s="47" t="s">
        <v>24</v>
      </c>
      <c r="H11" s="48">
        <v>5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7"/>
      <c r="S11" s="26">
        <f t="shared" si="1"/>
        <v>34359</v>
      </c>
      <c r="T11" s="26"/>
      <c r="U11" s="241">
        <v>34359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2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5</v>
      </c>
      <c r="I13" s="62">
        <v>4</v>
      </c>
      <c r="J13" s="62">
        <v>6</v>
      </c>
      <c r="K13" s="30">
        <v>11503.8</v>
      </c>
      <c r="L13" s="27"/>
      <c r="M13" s="26">
        <f t="shared" si="0"/>
        <v>0</v>
      </c>
      <c r="N13" s="26"/>
      <c r="O13" s="63"/>
      <c r="P13" s="64">
        <v>13</v>
      </c>
      <c r="Q13" s="65">
        <v>52910.82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39"/>
      <c r="U14" s="222">
        <v>15752.2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6"/>
      <c r="B15" s="377" t="s">
        <v>31</v>
      </c>
      <c r="C15" s="377" t="s">
        <v>22</v>
      </c>
      <c r="D15" s="377" t="s">
        <v>32</v>
      </c>
      <c r="E15" s="377" t="s">
        <v>27</v>
      </c>
      <c r="F15" s="72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33" t="s">
        <v>213</v>
      </c>
      <c r="G16" s="289" t="s">
        <v>28</v>
      </c>
      <c r="H16" s="260">
        <v>2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11"/>
      <c r="U16" s="263">
        <f>5106.7+1921</f>
        <v>7027.7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/>
      <c r="D17" s="374"/>
      <c r="E17" s="374"/>
      <c r="F17" s="22"/>
      <c r="G17" s="23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1</v>
      </c>
      <c r="J19" s="266">
        <v>1</v>
      </c>
      <c r="K19" s="79">
        <v>633.92999999999995</v>
      </c>
      <c r="L19" s="80"/>
      <c r="M19" s="81">
        <f t="shared" si="0"/>
        <v>0</v>
      </c>
      <c r="N19" s="81"/>
      <c r="O19" s="219"/>
      <c r="P19" s="267">
        <v>5</v>
      </c>
      <c r="Q19" s="79">
        <v>7296.52</v>
      </c>
      <c r="R19" s="80"/>
      <c r="S19" s="81">
        <f t="shared" si="1"/>
        <v>1045.98</v>
      </c>
      <c r="T19" s="81"/>
      <c r="U19" s="269">
        <v>1045.98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0</v>
      </c>
      <c r="T20" s="39"/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40</v>
      </c>
      <c r="E21" s="381" t="s">
        <v>41</v>
      </c>
      <c r="F21" s="223" t="s">
        <v>255</v>
      </c>
      <c r="G21" s="23" t="s">
        <v>24</v>
      </c>
      <c r="H21" s="48">
        <v>3</v>
      </c>
      <c r="I21" s="203">
        <v>2</v>
      </c>
      <c r="J21" s="203">
        <v>2</v>
      </c>
      <c r="K21" s="65">
        <v>2155.37</v>
      </c>
      <c r="L21" s="51"/>
      <c r="M21" s="50">
        <f t="shared" si="0"/>
        <v>0</v>
      </c>
      <c r="N21" s="50"/>
      <c r="O21" s="31"/>
      <c r="P21" s="53">
        <v>14</v>
      </c>
      <c r="Q21" s="30">
        <v>22822.54</v>
      </c>
      <c r="R21" s="27"/>
      <c r="S21" s="26">
        <f t="shared" si="1"/>
        <v>3564.82</v>
      </c>
      <c r="T21" s="26"/>
      <c r="U21" s="243">
        <v>3564.82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4</v>
      </c>
      <c r="I23" s="62">
        <v>3</v>
      </c>
      <c r="J23" s="62">
        <v>3</v>
      </c>
      <c r="K23" s="62">
        <v>2554.9299999999998</v>
      </c>
      <c r="L23" s="27"/>
      <c r="M23" s="26">
        <f t="shared" si="0"/>
        <v>0</v>
      </c>
      <c r="N23" s="26"/>
      <c r="O23" s="31"/>
      <c r="P23" s="53">
        <v>3</v>
      </c>
      <c r="Q23" s="30">
        <v>4222.78</v>
      </c>
      <c r="R23" s="27"/>
      <c r="S23" s="26">
        <f t="shared" si="1"/>
        <v>1979.72</v>
      </c>
      <c r="T23" s="26"/>
      <c r="U23" s="225">
        <v>1979.72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1</v>
      </c>
      <c r="Q24" s="68">
        <v>1921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6"/>
      <c r="B25" s="377" t="s">
        <v>44</v>
      </c>
      <c r="C25" s="377" t="s">
        <v>39</v>
      </c>
      <c r="D25" s="377" t="s">
        <v>258</v>
      </c>
      <c r="E25" s="377" t="s">
        <v>27</v>
      </c>
      <c r="F25" s="232" t="s">
        <v>259</v>
      </c>
      <c r="G25" s="95" t="s">
        <v>24</v>
      </c>
      <c r="H25" s="48">
        <v>9</v>
      </c>
      <c r="I25" s="203">
        <v>5</v>
      </c>
      <c r="J25" s="203">
        <v>8</v>
      </c>
      <c r="K25" s="65">
        <v>11368.4</v>
      </c>
      <c r="L25" s="51"/>
      <c r="M25" s="50">
        <f t="shared" si="0"/>
        <v>0</v>
      </c>
      <c r="N25" s="50"/>
      <c r="O25" s="31"/>
      <c r="P25" s="53">
        <v>11</v>
      </c>
      <c r="Q25" s="30">
        <v>15426.2</v>
      </c>
      <c r="R25" s="205">
        <v>4</v>
      </c>
      <c r="S25" s="26">
        <f t="shared" si="1"/>
        <v>6437.97</v>
      </c>
      <c r="T25" s="30">
        <v>6437.97</v>
      </c>
      <c r="U25" s="100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9"/>
      <c r="B26" s="380"/>
      <c r="C26" s="380"/>
      <c r="D26" s="380"/>
      <c r="E26" s="380"/>
      <c r="F26" s="221" t="s">
        <v>216</v>
      </c>
      <c r="G26" s="55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2</v>
      </c>
      <c r="Q26" s="68">
        <v>4494.1000000000004</v>
      </c>
      <c r="R26" s="40"/>
      <c r="S26" s="39">
        <f t="shared" si="1"/>
        <v>4302</v>
      </c>
      <c r="T26" s="39"/>
      <c r="U26" s="41">
        <f>4302</f>
        <v>4302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60"/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2</v>
      </c>
      <c r="Q27" s="30">
        <v>4226.2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2</v>
      </c>
      <c r="Q28" s="114">
        <v>6531.4</v>
      </c>
      <c r="R28" s="44"/>
      <c r="S28" s="43">
        <f t="shared" si="1"/>
        <v>14247.380000000001</v>
      </c>
      <c r="T28" s="43"/>
      <c r="U28" s="222">
        <f>6563.38+7684</f>
        <v>14247.380000000001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/>
      <c r="D29" s="374"/>
      <c r="E29" s="374"/>
      <c r="F29" s="22"/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0</v>
      </c>
      <c r="T29" s="26"/>
      <c r="U29" s="2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4</v>
      </c>
      <c r="I31" s="203">
        <v>2</v>
      </c>
      <c r="J31" s="203">
        <v>2</v>
      </c>
      <c r="K31" s="65">
        <v>2091.96</v>
      </c>
      <c r="L31" s="51"/>
      <c r="M31" s="50">
        <f t="shared" si="0"/>
        <v>0</v>
      </c>
      <c r="N31" s="50"/>
      <c r="O31" s="31"/>
      <c r="P31" s="108">
        <v>8</v>
      </c>
      <c r="Q31" s="65">
        <v>22873.08</v>
      </c>
      <c r="R31" s="51"/>
      <c r="S31" s="50">
        <f t="shared" si="1"/>
        <v>19258.7</v>
      </c>
      <c r="T31" s="50"/>
      <c r="U31" s="225">
        <v>19258.7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2</v>
      </c>
      <c r="J32" s="130">
        <v>2</v>
      </c>
      <c r="K32" s="114">
        <v>4802.5</v>
      </c>
      <c r="L32" s="44"/>
      <c r="M32" s="43">
        <f t="shared" si="0"/>
        <v>0</v>
      </c>
      <c r="N32" s="43"/>
      <c r="O32" s="45"/>
      <c r="P32" s="113">
        <v>2</v>
      </c>
      <c r="Q32" s="114">
        <v>2593.35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/>
      <c r="D33" s="374"/>
      <c r="E33" s="374"/>
      <c r="F33" s="22"/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7"/>
      <c r="S33" s="26">
        <f t="shared" ref="S33:S85" si="2">T33+U33</f>
        <v>0</v>
      </c>
      <c r="T33" s="26"/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1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1</v>
      </c>
      <c r="S35" s="50">
        <f t="shared" si="2"/>
        <v>3647.94</v>
      </c>
      <c r="T35" s="65">
        <v>1893.47</v>
      </c>
      <c r="U35" s="225">
        <v>1754.47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20" t="s">
        <v>221</v>
      </c>
      <c r="G36" s="35" t="s">
        <v>28</v>
      </c>
      <c r="H36" s="66">
        <v>3</v>
      </c>
      <c r="I36" s="37">
        <v>1</v>
      </c>
      <c r="J36" s="37">
        <v>1</v>
      </c>
      <c r="K36" s="68">
        <v>1152.5999999999999</v>
      </c>
      <c r="L36" s="40"/>
      <c r="M36" s="39">
        <f t="shared" si="0"/>
        <v>0</v>
      </c>
      <c r="N36" s="39"/>
      <c r="O36" s="41"/>
      <c r="P36" s="67">
        <v>2</v>
      </c>
      <c r="Q36" s="68">
        <v>9182.3799999999992</v>
      </c>
      <c r="R36" s="40"/>
      <c r="S36" s="39">
        <f t="shared" si="2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53</v>
      </c>
      <c r="C37" s="381" t="s">
        <v>46</v>
      </c>
      <c r="D37" s="381" t="s">
        <v>54</v>
      </c>
      <c r="E37" s="381" t="s">
        <v>55</v>
      </c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123"/>
      <c r="Q37" s="50"/>
      <c r="R37" s="51"/>
      <c r="S37" s="50">
        <f t="shared" si="2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6"/>
      <c r="G38" s="227" t="s">
        <v>25</v>
      </c>
      <c r="H38" s="272"/>
      <c r="I38" s="261"/>
      <c r="J38" s="261"/>
      <c r="K38" s="211"/>
      <c r="L38" s="210"/>
      <c r="M38" s="211">
        <f t="shared" si="0"/>
        <v>0</v>
      </c>
      <c r="N38" s="211"/>
      <c r="O38" s="212"/>
      <c r="P38" s="273"/>
      <c r="Q38" s="211"/>
      <c r="R38" s="210"/>
      <c r="S38" s="211">
        <f t="shared" si="2"/>
        <v>0</v>
      </c>
      <c r="T38" s="211"/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372"/>
      <c r="B39" s="374" t="s">
        <v>357</v>
      </c>
      <c r="C39" s="374"/>
      <c r="D39" s="374"/>
      <c r="E39" s="374"/>
      <c r="F39" s="204"/>
      <c r="G39" s="213" t="s">
        <v>24</v>
      </c>
      <c r="H39" s="104"/>
      <c r="I39" s="25"/>
      <c r="J39" s="25"/>
      <c r="K39" s="26"/>
      <c r="L39" s="27"/>
      <c r="M39" s="26">
        <f t="shared" si="0"/>
        <v>0</v>
      </c>
      <c r="N39" s="26"/>
      <c r="O39" s="28"/>
      <c r="P39" s="214"/>
      <c r="Q39" s="30"/>
      <c r="R39" s="27"/>
      <c r="S39" s="26">
        <f t="shared" si="2"/>
        <v>0</v>
      </c>
      <c r="T39" s="26"/>
      <c r="U39" s="241"/>
      <c r="V39" s="4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32" ht="15.75" customHeight="1">
      <c r="A40" s="373"/>
      <c r="B40" s="375"/>
      <c r="C40" s="375"/>
      <c r="D40" s="375"/>
      <c r="E40" s="375"/>
      <c r="F40" s="220"/>
      <c r="G40" s="215" t="s">
        <v>28</v>
      </c>
      <c r="H40" s="117">
        <v>1</v>
      </c>
      <c r="I40" s="38"/>
      <c r="J40" s="38"/>
      <c r="K40" s="39"/>
      <c r="L40" s="40"/>
      <c r="M40" s="39">
        <f t="shared" si="0"/>
        <v>0</v>
      </c>
      <c r="N40" s="39"/>
      <c r="O40" s="41"/>
      <c r="P40" s="217"/>
      <c r="Q40" s="68"/>
      <c r="R40" s="40"/>
      <c r="S40" s="39">
        <f t="shared" si="2"/>
        <v>0</v>
      </c>
      <c r="T40" s="39"/>
      <c r="U40" s="234"/>
      <c r="V40" s="4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</row>
    <row r="41" spans="1:32" ht="15.75" customHeight="1">
      <c r="A41" s="376"/>
      <c r="B41" s="377" t="s">
        <v>56</v>
      </c>
      <c r="C41" s="377" t="s">
        <v>39</v>
      </c>
      <c r="D41" s="377" t="s">
        <v>281</v>
      </c>
      <c r="E41" s="377" t="s">
        <v>58</v>
      </c>
      <c r="F41" s="232" t="s">
        <v>283</v>
      </c>
      <c r="G41" s="95" t="s">
        <v>24</v>
      </c>
      <c r="H41" s="74"/>
      <c r="I41" s="96"/>
      <c r="J41" s="96"/>
      <c r="K41" s="81"/>
      <c r="L41" s="80"/>
      <c r="M41" s="81">
        <f t="shared" si="0"/>
        <v>0</v>
      </c>
      <c r="N41" s="81"/>
      <c r="O41" s="219"/>
      <c r="P41" s="267">
        <v>3</v>
      </c>
      <c r="Q41" s="79">
        <v>4264.95</v>
      </c>
      <c r="R41" s="80"/>
      <c r="S41" s="81">
        <f t="shared" si="2"/>
        <v>2055.75</v>
      </c>
      <c r="T41" s="81"/>
      <c r="U41" s="269">
        <v>2055.75</v>
      </c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2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5</v>
      </c>
      <c r="I43" s="203">
        <v>3</v>
      </c>
      <c r="J43" s="203">
        <v>3</v>
      </c>
      <c r="K43" s="65">
        <v>3861.41</v>
      </c>
      <c r="L43" s="51"/>
      <c r="M43" s="50">
        <f t="shared" si="0"/>
        <v>0</v>
      </c>
      <c r="N43" s="50"/>
      <c r="O43" s="52"/>
      <c r="P43" s="53">
        <v>18</v>
      </c>
      <c r="Q43" s="30">
        <v>69487.070000000007</v>
      </c>
      <c r="R43" s="27"/>
      <c r="S43" s="26">
        <f t="shared" si="2"/>
        <v>44991.43</v>
      </c>
      <c r="T43" s="26"/>
      <c r="U43" s="241">
        <v>44991.43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226"/>
      <c r="G44" s="227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358</v>
      </c>
      <c r="C45" s="374"/>
      <c r="D45" s="374"/>
      <c r="E45" s="374"/>
      <c r="F45" s="60"/>
      <c r="G45" s="213" t="s">
        <v>24</v>
      </c>
      <c r="H45" s="104"/>
      <c r="I45" s="25"/>
      <c r="J45" s="25"/>
      <c r="K45" s="26"/>
      <c r="L45" s="27"/>
      <c r="M45" s="26">
        <f t="shared" si="0"/>
        <v>0</v>
      </c>
      <c r="N45" s="26"/>
      <c r="O45" s="28"/>
      <c r="P45" s="275"/>
      <c r="Q45" s="26"/>
      <c r="R45" s="27"/>
      <c r="S45" s="26">
        <f t="shared" si="2"/>
        <v>0</v>
      </c>
      <c r="T45" s="26"/>
      <c r="U45" s="2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34"/>
      <c r="G46" s="215" t="s">
        <v>28</v>
      </c>
      <c r="H46" s="117">
        <v>1</v>
      </c>
      <c r="I46" s="38"/>
      <c r="J46" s="38"/>
      <c r="K46" s="39"/>
      <c r="L46" s="40"/>
      <c r="M46" s="39">
        <f t="shared" si="0"/>
        <v>0</v>
      </c>
      <c r="N46" s="39"/>
      <c r="O46" s="41"/>
      <c r="P46" s="276"/>
      <c r="Q46" s="39"/>
      <c r="R46" s="40"/>
      <c r="S46" s="39">
        <f t="shared" si="2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6"/>
      <c r="B47" s="377" t="s">
        <v>60</v>
      </c>
      <c r="C47" s="377" t="s">
        <v>22</v>
      </c>
      <c r="D47" s="377" t="s">
        <v>61</v>
      </c>
      <c r="E47" s="403" t="s">
        <v>27</v>
      </c>
      <c r="F47" s="76"/>
      <c r="G47" s="95" t="s">
        <v>24</v>
      </c>
      <c r="H47" s="74"/>
      <c r="I47" s="96"/>
      <c r="J47" s="96"/>
      <c r="K47" s="81"/>
      <c r="L47" s="80"/>
      <c r="M47" s="81">
        <f t="shared" si="0"/>
        <v>0</v>
      </c>
      <c r="N47" s="81"/>
      <c r="O47" s="97"/>
      <c r="P47" s="277"/>
      <c r="Q47" s="81"/>
      <c r="R47" s="80"/>
      <c r="S47" s="81">
        <f t="shared" si="2"/>
        <v>0</v>
      </c>
      <c r="T47" s="81"/>
      <c r="U47" s="82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9"/>
      <c r="B48" s="380"/>
      <c r="C48" s="380"/>
      <c r="D48" s="380"/>
      <c r="E48" s="384"/>
      <c r="F48" s="54"/>
      <c r="G48" s="55" t="s">
        <v>28</v>
      </c>
      <c r="H48" s="102"/>
      <c r="I48" s="57"/>
      <c r="J48" s="57"/>
      <c r="K48" s="43"/>
      <c r="L48" s="44"/>
      <c r="M48" s="43">
        <f t="shared" si="0"/>
        <v>0</v>
      </c>
      <c r="N48" s="43"/>
      <c r="O48" s="58"/>
      <c r="P48" s="59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62</v>
      </c>
      <c r="C49" s="374" t="s">
        <v>22</v>
      </c>
      <c r="D49" s="374" t="s">
        <v>63</v>
      </c>
      <c r="E49" s="374" t="s">
        <v>27</v>
      </c>
      <c r="F49" s="22"/>
      <c r="G49" s="23" t="s">
        <v>24</v>
      </c>
      <c r="H49" s="24">
        <v>3</v>
      </c>
      <c r="I49" s="62">
        <v>2</v>
      </c>
      <c r="J49" s="62">
        <v>2</v>
      </c>
      <c r="K49" s="30">
        <v>1889.58</v>
      </c>
      <c r="L49" s="27"/>
      <c r="M49" s="26">
        <f t="shared" si="0"/>
        <v>0</v>
      </c>
      <c r="N49" s="26"/>
      <c r="O49" s="31"/>
      <c r="P49" s="108">
        <v>2</v>
      </c>
      <c r="Q49" s="65">
        <v>3734.91</v>
      </c>
      <c r="R49" s="51"/>
      <c r="S49" s="50">
        <f t="shared" si="2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35" t="s">
        <v>28</v>
      </c>
      <c r="H50" s="66">
        <v>4</v>
      </c>
      <c r="I50" s="38"/>
      <c r="J50" s="38"/>
      <c r="K50" s="39"/>
      <c r="L50" s="40"/>
      <c r="M50" s="39">
        <f t="shared" si="0"/>
        <v>0</v>
      </c>
      <c r="N50" s="39"/>
      <c r="O50" s="41"/>
      <c r="P50" s="115">
        <v>3</v>
      </c>
      <c r="Q50" s="68">
        <v>4105.8999999999996</v>
      </c>
      <c r="R50" s="40"/>
      <c r="S50" s="39">
        <f t="shared" si="2"/>
        <v>2209.1999999999998</v>
      </c>
      <c r="T50" s="39"/>
      <c r="U50" s="41">
        <f>2209.2</f>
        <v>2209.1999999999998</v>
      </c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2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2</v>
      </c>
      <c r="Q51" s="30">
        <v>5899.35</v>
      </c>
      <c r="R51" s="27"/>
      <c r="S51" s="26">
        <f t="shared" si="2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6</v>
      </c>
      <c r="I53" s="62">
        <v>5</v>
      </c>
      <c r="J53" s="62">
        <v>5</v>
      </c>
      <c r="K53" s="30">
        <v>10100.629999999999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05">
        <v>1</v>
      </c>
      <c r="S53" s="26">
        <f t="shared" si="2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3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2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284</v>
      </c>
      <c r="E55" s="381" t="s">
        <v>55</v>
      </c>
      <c r="F55" s="223" t="s">
        <v>285</v>
      </c>
      <c r="G55" s="47" t="s">
        <v>24</v>
      </c>
      <c r="H55" s="48">
        <v>6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2"/>
        <v>26448.86</v>
      </c>
      <c r="T55" s="26"/>
      <c r="U55" s="243">
        <v>26448.86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226"/>
      <c r="G56" s="227" t="s">
        <v>25</v>
      </c>
      <c r="H56" s="272"/>
      <c r="I56" s="261"/>
      <c r="J56" s="261"/>
      <c r="K56" s="211"/>
      <c r="L56" s="210"/>
      <c r="M56" s="211">
        <f t="shared" si="0"/>
        <v>0</v>
      </c>
      <c r="N56" s="211"/>
      <c r="O56" s="212"/>
      <c r="P56" s="273"/>
      <c r="Q56" s="211"/>
      <c r="R56" s="210"/>
      <c r="S56" s="211">
        <f t="shared" si="2"/>
        <v>0</v>
      </c>
      <c r="T56" s="211"/>
      <c r="U56" s="21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361</v>
      </c>
      <c r="C57" s="374"/>
      <c r="D57" s="374"/>
      <c r="E57" s="374"/>
      <c r="F57" s="60"/>
      <c r="G57" s="213" t="s">
        <v>24</v>
      </c>
      <c r="H57" s="24"/>
      <c r="I57" s="62"/>
      <c r="J57" s="62"/>
      <c r="K57" s="30"/>
      <c r="L57" s="27"/>
      <c r="M57" s="26">
        <f t="shared" si="0"/>
        <v>0</v>
      </c>
      <c r="N57" s="26"/>
      <c r="O57" s="28"/>
      <c r="P57" s="214"/>
      <c r="Q57" s="30"/>
      <c r="R57" s="27"/>
      <c r="S57" s="26">
        <f t="shared" si="2"/>
        <v>0</v>
      </c>
      <c r="T57" s="26"/>
      <c r="U57" s="2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4"/>
      <c r="G58" s="215" t="s">
        <v>28</v>
      </c>
      <c r="H58" s="66">
        <v>1</v>
      </c>
      <c r="I58" s="37"/>
      <c r="J58" s="37"/>
      <c r="K58" s="68"/>
      <c r="L58" s="40"/>
      <c r="M58" s="39">
        <f t="shared" si="0"/>
        <v>0</v>
      </c>
      <c r="N58" s="39"/>
      <c r="O58" s="41"/>
      <c r="P58" s="217"/>
      <c r="Q58" s="68"/>
      <c r="R58" s="40"/>
      <c r="S58" s="39">
        <f t="shared" si="2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6"/>
      <c r="B59" s="377" t="s">
        <v>72</v>
      </c>
      <c r="C59" s="377" t="s">
        <v>22</v>
      </c>
      <c r="D59" s="377"/>
      <c r="E59" s="377" t="s">
        <v>27</v>
      </c>
      <c r="F59" s="76"/>
      <c r="G59" s="95" t="s">
        <v>24</v>
      </c>
      <c r="H59" s="281">
        <v>3</v>
      </c>
      <c r="I59" s="266">
        <v>1</v>
      </c>
      <c r="J59" s="266">
        <v>1</v>
      </c>
      <c r="K59" s="79">
        <v>768.4</v>
      </c>
      <c r="L59" s="80"/>
      <c r="M59" s="81">
        <f t="shared" si="0"/>
        <v>0</v>
      </c>
      <c r="N59" s="81"/>
      <c r="O59" s="219"/>
      <c r="P59" s="267">
        <v>3</v>
      </c>
      <c r="Q59" s="79">
        <v>3362.45</v>
      </c>
      <c r="R59" s="80"/>
      <c r="S59" s="81">
        <f t="shared" si="2"/>
        <v>0</v>
      </c>
      <c r="T59" s="81"/>
      <c r="U59" s="219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9"/>
      <c r="B60" s="380"/>
      <c r="C60" s="380"/>
      <c r="D60" s="380"/>
      <c r="E60" s="380"/>
      <c r="F60" s="233" t="s">
        <v>223</v>
      </c>
      <c r="G60" s="227" t="s">
        <v>28</v>
      </c>
      <c r="H60" s="112">
        <v>2</v>
      </c>
      <c r="I60" s="57"/>
      <c r="J60" s="57"/>
      <c r="K60" s="43"/>
      <c r="L60" s="128"/>
      <c r="M60" s="129">
        <f t="shared" si="0"/>
        <v>0</v>
      </c>
      <c r="N60" s="43"/>
      <c r="O60" s="45"/>
      <c r="P60" s="103"/>
      <c r="Q60" s="43"/>
      <c r="R60" s="128"/>
      <c r="S60" s="129">
        <f t="shared" si="2"/>
        <v>0</v>
      </c>
      <c r="T60" s="43"/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73</v>
      </c>
      <c r="C61" s="374" t="s">
        <v>22</v>
      </c>
      <c r="D61" s="374"/>
      <c r="E61" s="374" t="s">
        <v>27</v>
      </c>
      <c r="F61" s="204" t="s">
        <v>209</v>
      </c>
      <c r="G61" s="176" t="s">
        <v>24</v>
      </c>
      <c r="H61" s="61">
        <v>2</v>
      </c>
      <c r="I61" s="62">
        <v>1</v>
      </c>
      <c r="J61" s="62">
        <v>1</v>
      </c>
      <c r="K61" s="30">
        <v>950.9</v>
      </c>
      <c r="L61" s="27"/>
      <c r="M61" s="26">
        <f t="shared" si="0"/>
        <v>0</v>
      </c>
      <c r="N61" s="26"/>
      <c r="O61" s="28"/>
      <c r="P61" s="29">
        <v>8</v>
      </c>
      <c r="Q61" s="30">
        <v>15651.3</v>
      </c>
      <c r="R61" s="205">
        <v>5</v>
      </c>
      <c r="S61" s="26">
        <f t="shared" si="2"/>
        <v>13580.02</v>
      </c>
      <c r="T61" s="30">
        <v>9062.41</v>
      </c>
      <c r="U61" s="241">
        <v>4517.6099999999997</v>
      </c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229" t="s">
        <v>28</v>
      </c>
      <c r="H62" s="106"/>
      <c r="I62" s="38"/>
      <c r="J62" s="38"/>
      <c r="K62" s="39"/>
      <c r="L62" s="40"/>
      <c r="M62" s="39">
        <f t="shared" si="0"/>
        <v>0</v>
      </c>
      <c r="N62" s="39"/>
      <c r="O62" s="41"/>
      <c r="P62" s="69"/>
      <c r="Q62" s="39"/>
      <c r="R62" s="40"/>
      <c r="S62" s="39">
        <f t="shared" si="2"/>
        <v>0</v>
      </c>
      <c r="T62" s="39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6"/>
      <c r="B63" s="377" t="s">
        <v>74</v>
      </c>
      <c r="C63" s="377" t="s">
        <v>39</v>
      </c>
      <c r="D63" s="377" t="s">
        <v>264</v>
      </c>
      <c r="E63" s="377" t="s">
        <v>27</v>
      </c>
      <c r="F63" s="223" t="s">
        <v>265</v>
      </c>
      <c r="G63" s="95" t="s">
        <v>24</v>
      </c>
      <c r="H63" s="48">
        <v>2</v>
      </c>
      <c r="I63" s="49"/>
      <c r="J63" s="49"/>
      <c r="K63" s="50"/>
      <c r="L63" s="51"/>
      <c r="M63" s="50">
        <f t="shared" si="0"/>
        <v>0</v>
      </c>
      <c r="N63" s="50"/>
      <c r="O63" s="31"/>
      <c r="P63" s="108">
        <v>12</v>
      </c>
      <c r="Q63" s="65">
        <v>44651.57</v>
      </c>
      <c r="R63" s="224">
        <v>5</v>
      </c>
      <c r="S63" s="50">
        <f t="shared" si="2"/>
        <v>19918.689999999999</v>
      </c>
      <c r="T63" s="65">
        <v>19918.689999999999</v>
      </c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221" t="s">
        <v>286</v>
      </c>
      <c r="G64" s="55" t="s">
        <v>28</v>
      </c>
      <c r="H64" s="118"/>
      <c r="I64" s="130"/>
      <c r="J64" s="130"/>
      <c r="K64" s="43"/>
      <c r="L64" s="44"/>
      <c r="M64" s="43">
        <f t="shared" si="0"/>
        <v>0</v>
      </c>
      <c r="N64" s="43"/>
      <c r="O64" s="41"/>
      <c r="P64" s="113">
        <v>1</v>
      </c>
      <c r="Q64" s="114">
        <v>2881.5</v>
      </c>
      <c r="R64" s="44"/>
      <c r="S64" s="43">
        <f t="shared" si="2"/>
        <v>0</v>
      </c>
      <c r="T64" s="43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76</v>
      </c>
      <c r="C65" s="374" t="s">
        <v>22</v>
      </c>
      <c r="D65" s="374"/>
      <c r="E65" s="374" t="s">
        <v>77</v>
      </c>
      <c r="F65" s="22"/>
      <c r="G65" s="23" t="s">
        <v>24</v>
      </c>
      <c r="H65" s="61">
        <v>3</v>
      </c>
      <c r="I65" s="62">
        <v>1</v>
      </c>
      <c r="J65" s="62">
        <v>1</v>
      </c>
      <c r="K65" s="30">
        <v>1344.7</v>
      </c>
      <c r="L65" s="27"/>
      <c r="M65" s="26">
        <f t="shared" si="0"/>
        <v>0</v>
      </c>
      <c r="N65" s="26"/>
      <c r="O65" s="31"/>
      <c r="P65" s="29">
        <v>4</v>
      </c>
      <c r="Q65" s="30">
        <v>2984.28</v>
      </c>
      <c r="R65" s="27"/>
      <c r="S65" s="26">
        <f t="shared" si="2"/>
        <v>0</v>
      </c>
      <c r="T65" s="26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220" t="s">
        <v>287</v>
      </c>
      <c r="G66" s="35" t="s">
        <v>28</v>
      </c>
      <c r="H66" s="117">
        <v>3</v>
      </c>
      <c r="I66" s="38"/>
      <c r="J66" s="38"/>
      <c r="K66" s="39"/>
      <c r="L66" s="40"/>
      <c r="M66" s="39">
        <f t="shared" si="0"/>
        <v>0</v>
      </c>
      <c r="N66" s="39"/>
      <c r="O66" s="41"/>
      <c r="P66" s="69"/>
      <c r="Q66" s="39"/>
      <c r="R66" s="40"/>
      <c r="S66" s="39">
        <f t="shared" si="2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82"/>
      <c r="B67" s="381" t="s">
        <v>78</v>
      </c>
      <c r="C67" s="381"/>
      <c r="D67" s="381"/>
      <c r="E67" s="381"/>
      <c r="F67" s="46"/>
      <c r="G67" s="47" t="s">
        <v>24</v>
      </c>
      <c r="H67" s="48">
        <v>1</v>
      </c>
      <c r="I67" s="203">
        <v>1</v>
      </c>
      <c r="J67" s="203">
        <v>1</v>
      </c>
      <c r="K67" s="65">
        <v>633.92999999999995</v>
      </c>
      <c r="L67" s="51"/>
      <c r="M67" s="50">
        <f t="shared" si="0"/>
        <v>0</v>
      </c>
      <c r="N67" s="50"/>
      <c r="O67" s="31"/>
      <c r="P67" s="123"/>
      <c r="Q67" s="50"/>
      <c r="R67" s="51"/>
      <c r="S67" s="50">
        <f t="shared" si="2"/>
        <v>0</v>
      </c>
      <c r="T67" s="50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26"/>
      <c r="G68" s="55" t="s">
        <v>28</v>
      </c>
      <c r="H68" s="131"/>
      <c r="I68" s="57"/>
      <c r="J68" s="57"/>
      <c r="K68" s="43"/>
      <c r="L68" s="44"/>
      <c r="M68" s="43">
        <f t="shared" si="0"/>
        <v>0</v>
      </c>
      <c r="N68" s="43"/>
      <c r="O68" s="41"/>
      <c r="P68" s="103"/>
      <c r="Q68" s="43"/>
      <c r="R68" s="44"/>
      <c r="S68" s="43">
        <f t="shared" si="2"/>
        <v>0</v>
      </c>
      <c r="T68" s="43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79</v>
      </c>
      <c r="C69" s="374" t="s">
        <v>22</v>
      </c>
      <c r="D69" s="374"/>
      <c r="E69" s="374" t="s">
        <v>50</v>
      </c>
      <c r="F69" s="22"/>
      <c r="G69" s="23" t="s">
        <v>24</v>
      </c>
      <c r="H69" s="61">
        <v>3</v>
      </c>
      <c r="I69" s="25"/>
      <c r="J69" s="25"/>
      <c r="K69" s="26"/>
      <c r="L69" s="27"/>
      <c r="M69" s="26">
        <f t="shared" si="0"/>
        <v>0</v>
      </c>
      <c r="N69" s="26"/>
      <c r="O69" s="31"/>
      <c r="P69" s="53">
        <v>1</v>
      </c>
      <c r="Q69" s="30">
        <v>1505.87</v>
      </c>
      <c r="R69" s="27"/>
      <c r="S69" s="26">
        <f t="shared" si="2"/>
        <v>0</v>
      </c>
      <c r="T69" s="26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34"/>
      <c r="G70" s="35" t="s">
        <v>25</v>
      </c>
      <c r="H70" s="117">
        <v>2</v>
      </c>
      <c r="I70" s="38"/>
      <c r="J70" s="38"/>
      <c r="K70" s="39"/>
      <c r="L70" s="40"/>
      <c r="M70" s="39">
        <f t="shared" si="0"/>
        <v>0</v>
      </c>
      <c r="N70" s="39"/>
      <c r="O70" s="41"/>
      <c r="P70" s="59"/>
      <c r="Q70" s="39"/>
      <c r="R70" s="40"/>
      <c r="S70" s="39">
        <f t="shared" si="2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82"/>
      <c r="B71" s="381" t="s">
        <v>80</v>
      </c>
      <c r="C71" s="381" t="s">
        <v>22</v>
      </c>
      <c r="D71" s="381"/>
      <c r="E71" s="381" t="s">
        <v>67</v>
      </c>
      <c r="F71" s="46"/>
      <c r="G71" s="47" t="s">
        <v>24</v>
      </c>
      <c r="H71" s="48">
        <v>5</v>
      </c>
      <c r="I71" s="203">
        <v>4</v>
      </c>
      <c r="J71" s="203">
        <v>4</v>
      </c>
      <c r="K71" s="65">
        <v>3878.5</v>
      </c>
      <c r="L71" s="51"/>
      <c r="M71" s="50">
        <f t="shared" si="0"/>
        <v>0</v>
      </c>
      <c r="N71" s="50"/>
      <c r="O71" s="31"/>
      <c r="P71" s="108">
        <v>6</v>
      </c>
      <c r="Q71" s="65">
        <v>19829.79</v>
      </c>
      <c r="R71" s="51"/>
      <c r="S71" s="50">
        <f t="shared" si="2"/>
        <v>0</v>
      </c>
      <c r="T71" s="50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9"/>
      <c r="B72" s="380"/>
      <c r="C72" s="380"/>
      <c r="D72" s="380"/>
      <c r="E72" s="380"/>
      <c r="F72" s="226"/>
      <c r="G72" s="227" t="s">
        <v>28</v>
      </c>
      <c r="H72" s="118"/>
      <c r="I72" s="57"/>
      <c r="J72" s="57"/>
      <c r="K72" s="43"/>
      <c r="L72" s="44"/>
      <c r="M72" s="43">
        <f t="shared" si="0"/>
        <v>0</v>
      </c>
      <c r="N72" s="43"/>
      <c r="O72" s="41"/>
      <c r="P72" s="103"/>
      <c r="Q72" s="43"/>
      <c r="R72" s="44"/>
      <c r="S72" s="43">
        <f t="shared" si="2"/>
        <v>0</v>
      </c>
      <c r="T72" s="43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81</v>
      </c>
      <c r="C73" s="374" t="s">
        <v>39</v>
      </c>
      <c r="D73" s="374" t="s">
        <v>224</v>
      </c>
      <c r="E73" s="374" t="s">
        <v>65</v>
      </c>
      <c r="F73" s="204" t="s">
        <v>225</v>
      </c>
      <c r="G73" s="176" t="s">
        <v>24</v>
      </c>
      <c r="H73" s="248">
        <v>12</v>
      </c>
      <c r="I73" s="62">
        <v>9</v>
      </c>
      <c r="J73" s="62">
        <v>12</v>
      </c>
      <c r="K73" s="30">
        <v>28236.43</v>
      </c>
      <c r="L73" s="27"/>
      <c r="M73" s="26">
        <f t="shared" si="0"/>
        <v>0</v>
      </c>
      <c r="N73" s="26"/>
      <c r="O73" s="31"/>
      <c r="P73" s="29">
        <v>21</v>
      </c>
      <c r="Q73" s="30">
        <v>62849.760000000002</v>
      </c>
      <c r="R73" s="205">
        <v>5</v>
      </c>
      <c r="S73" s="26">
        <f t="shared" si="2"/>
        <v>10367.34</v>
      </c>
      <c r="T73" s="30">
        <v>10367.34</v>
      </c>
      <c r="U73" s="225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247"/>
      <c r="G74" s="282" t="s">
        <v>28</v>
      </c>
      <c r="H74" s="283"/>
      <c r="I74" s="261"/>
      <c r="J74" s="261"/>
      <c r="K74" s="211"/>
      <c r="L74" s="210"/>
      <c r="M74" s="211">
        <f t="shared" si="0"/>
        <v>0</v>
      </c>
      <c r="N74" s="211"/>
      <c r="O74" s="212"/>
      <c r="P74" s="284"/>
      <c r="Q74" s="211"/>
      <c r="R74" s="210"/>
      <c r="S74" s="211">
        <f t="shared" si="2"/>
        <v>0</v>
      </c>
      <c r="T74" s="211"/>
      <c r="U74" s="212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365</v>
      </c>
      <c r="C75" s="374"/>
      <c r="D75" s="378"/>
      <c r="E75" s="374"/>
      <c r="F75" s="60"/>
      <c r="G75" s="213" t="s">
        <v>24</v>
      </c>
      <c r="H75" s="24"/>
      <c r="I75" s="62"/>
      <c r="J75" s="62"/>
      <c r="K75" s="30"/>
      <c r="L75" s="27"/>
      <c r="M75" s="26">
        <f t="shared" si="0"/>
        <v>0</v>
      </c>
      <c r="N75" s="26"/>
      <c r="O75" s="28"/>
      <c r="P75" s="214"/>
      <c r="Q75" s="30"/>
      <c r="R75" s="27"/>
      <c r="S75" s="26">
        <f t="shared" si="2"/>
        <v>0</v>
      </c>
      <c r="T75" s="26"/>
      <c r="U75" s="2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215" t="s">
        <v>28</v>
      </c>
      <c r="H76" s="66">
        <v>1</v>
      </c>
      <c r="I76" s="37"/>
      <c r="J76" s="37"/>
      <c r="K76" s="68"/>
      <c r="L76" s="40"/>
      <c r="M76" s="39">
        <f t="shared" si="0"/>
        <v>0</v>
      </c>
      <c r="N76" s="39"/>
      <c r="O76" s="41"/>
      <c r="P76" s="217"/>
      <c r="Q76" s="68"/>
      <c r="R76" s="40"/>
      <c r="S76" s="39">
        <f t="shared" si="2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6"/>
      <c r="B77" s="377" t="s">
        <v>82</v>
      </c>
      <c r="C77" s="377" t="s">
        <v>22</v>
      </c>
      <c r="D77" s="400"/>
      <c r="E77" s="377" t="s">
        <v>83</v>
      </c>
      <c r="F77" s="76"/>
      <c r="G77" s="95" t="s">
        <v>24</v>
      </c>
      <c r="H77" s="281">
        <v>5</v>
      </c>
      <c r="I77" s="266">
        <v>3</v>
      </c>
      <c r="J77" s="266">
        <v>4</v>
      </c>
      <c r="K77" s="79">
        <v>5917.36</v>
      </c>
      <c r="L77" s="80"/>
      <c r="M77" s="81">
        <f t="shared" si="0"/>
        <v>0</v>
      </c>
      <c r="N77" s="81"/>
      <c r="O77" s="219"/>
      <c r="P77" s="267">
        <v>9</v>
      </c>
      <c r="Q77" s="79">
        <v>14307.26</v>
      </c>
      <c r="R77" s="80"/>
      <c r="S77" s="81">
        <f t="shared" si="2"/>
        <v>0</v>
      </c>
      <c r="T77" s="81"/>
      <c r="U77" s="219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54"/>
      <c r="G78" s="55" t="s">
        <v>25</v>
      </c>
      <c r="H78" s="121">
        <v>1</v>
      </c>
      <c r="I78" s="130">
        <v>1</v>
      </c>
      <c r="J78" s="130">
        <v>1</v>
      </c>
      <c r="K78" s="114">
        <v>1344.7</v>
      </c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2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84</v>
      </c>
      <c r="C79" s="374"/>
      <c r="D79" s="378"/>
      <c r="E79" s="374"/>
      <c r="F79" s="60"/>
      <c r="G79" s="23" t="s">
        <v>24</v>
      </c>
      <c r="H79" s="119"/>
      <c r="I79" s="25"/>
      <c r="J79" s="25"/>
      <c r="K79" s="26"/>
      <c r="L79" s="27"/>
      <c r="M79" s="26">
        <f t="shared" si="0"/>
        <v>0</v>
      </c>
      <c r="N79" s="26"/>
      <c r="O79" s="31"/>
      <c r="P79" s="120"/>
      <c r="Q79" s="26"/>
      <c r="R79" s="27"/>
      <c r="S79" s="26">
        <f t="shared" si="2"/>
        <v>0</v>
      </c>
      <c r="T79" s="26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32"/>
      <c r="G80" s="35" t="s">
        <v>28</v>
      </c>
      <c r="H80" s="36"/>
      <c r="I80" s="38"/>
      <c r="J80" s="38"/>
      <c r="K80" s="39"/>
      <c r="L80" s="40"/>
      <c r="M80" s="39">
        <f t="shared" si="0"/>
        <v>0</v>
      </c>
      <c r="N80" s="39"/>
      <c r="O80" s="41"/>
      <c r="P80" s="69"/>
      <c r="Q80" s="39"/>
      <c r="R80" s="40"/>
      <c r="S80" s="39">
        <f t="shared" si="2"/>
        <v>0</v>
      </c>
      <c r="T80" s="39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82"/>
      <c r="B81" s="381" t="s">
        <v>85</v>
      </c>
      <c r="C81" s="381" t="s">
        <v>22</v>
      </c>
      <c r="D81" s="385"/>
      <c r="E81" s="381" t="s">
        <v>27</v>
      </c>
      <c r="F81" s="127"/>
      <c r="G81" s="47" t="s">
        <v>24</v>
      </c>
      <c r="H81" s="98"/>
      <c r="I81" s="49"/>
      <c r="J81" s="49"/>
      <c r="K81" s="50"/>
      <c r="L81" s="51"/>
      <c r="M81" s="50">
        <f t="shared" si="0"/>
        <v>0</v>
      </c>
      <c r="N81" s="50"/>
      <c r="O81" s="31"/>
      <c r="P81" s="108">
        <v>1</v>
      </c>
      <c r="Q81" s="65">
        <v>405.02</v>
      </c>
      <c r="R81" s="51"/>
      <c r="S81" s="50">
        <f t="shared" si="2"/>
        <v>0</v>
      </c>
      <c r="T81" s="50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9"/>
      <c r="B82" s="380"/>
      <c r="C82" s="380"/>
      <c r="D82" s="380"/>
      <c r="E82" s="380"/>
      <c r="F82" s="226"/>
      <c r="G82" s="227" t="s">
        <v>28</v>
      </c>
      <c r="H82" s="116"/>
      <c r="I82" s="57"/>
      <c r="J82" s="57"/>
      <c r="K82" s="43"/>
      <c r="L82" s="44"/>
      <c r="M82" s="43">
        <f t="shared" si="0"/>
        <v>0</v>
      </c>
      <c r="N82" s="43"/>
      <c r="O82" s="41"/>
      <c r="P82" s="103"/>
      <c r="Q82" s="43"/>
      <c r="R82" s="44"/>
      <c r="S82" s="43">
        <f t="shared" si="2"/>
        <v>0</v>
      </c>
      <c r="T82" s="43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86</v>
      </c>
      <c r="C83" s="374" t="s">
        <v>39</v>
      </c>
      <c r="D83" s="374" t="s">
        <v>266</v>
      </c>
      <c r="E83" s="374" t="s">
        <v>23</v>
      </c>
      <c r="F83" s="204" t="s">
        <v>267</v>
      </c>
      <c r="G83" s="176" t="s">
        <v>24</v>
      </c>
      <c r="H83" s="98"/>
      <c r="I83" s="25"/>
      <c r="J83" s="25"/>
      <c r="K83" s="26"/>
      <c r="L83" s="27"/>
      <c r="M83" s="26">
        <f t="shared" si="0"/>
        <v>0</v>
      </c>
      <c r="N83" s="26"/>
      <c r="O83" s="31"/>
      <c r="P83" s="53">
        <v>3</v>
      </c>
      <c r="Q83" s="30">
        <v>7652.33</v>
      </c>
      <c r="R83" s="205">
        <v>2</v>
      </c>
      <c r="S83" s="26">
        <f t="shared" si="2"/>
        <v>5673.46</v>
      </c>
      <c r="T83" s="30">
        <v>5673.46</v>
      </c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105"/>
      <c r="G84" s="229" t="s">
        <v>25</v>
      </c>
      <c r="H84" s="118"/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2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87</v>
      </c>
      <c r="C85" s="374" t="s">
        <v>39</v>
      </c>
      <c r="D85" s="374" t="s">
        <v>88</v>
      </c>
      <c r="E85" s="374" t="s">
        <v>89</v>
      </c>
      <c r="F85" s="232" t="s">
        <v>268</v>
      </c>
      <c r="G85" s="23" t="s">
        <v>24</v>
      </c>
      <c r="H85" s="61">
        <v>9</v>
      </c>
      <c r="I85" s="62">
        <v>2</v>
      </c>
      <c r="J85" s="62">
        <v>2</v>
      </c>
      <c r="K85" s="30">
        <v>4734.3</v>
      </c>
      <c r="L85" s="27"/>
      <c r="M85" s="26">
        <f t="shared" si="0"/>
        <v>0</v>
      </c>
      <c r="N85" s="26"/>
      <c r="O85" s="31"/>
      <c r="P85" s="53">
        <v>6</v>
      </c>
      <c r="Q85" s="30">
        <v>16855.12</v>
      </c>
      <c r="R85" s="27"/>
      <c r="S85" s="26">
        <f t="shared" si="2"/>
        <v>5094.8</v>
      </c>
      <c r="T85" s="26"/>
      <c r="U85" s="225">
        <v>5094.8</v>
      </c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220" t="s">
        <v>290</v>
      </c>
      <c r="G86" s="35" t="s">
        <v>25</v>
      </c>
      <c r="H86" s="117">
        <v>5</v>
      </c>
      <c r="I86" s="37">
        <v>1</v>
      </c>
      <c r="J86" s="37">
        <v>1</v>
      </c>
      <c r="K86" s="68">
        <v>1056.55</v>
      </c>
      <c r="L86" s="40"/>
      <c r="M86" s="39">
        <f t="shared" si="0"/>
        <v>0</v>
      </c>
      <c r="N86" s="39"/>
      <c r="O86" s="41"/>
      <c r="P86" s="115">
        <v>7</v>
      </c>
      <c r="Q86" s="68">
        <v>19517.36</v>
      </c>
      <c r="R86" s="285">
        <v>4</v>
      </c>
      <c r="S86" s="68">
        <v>10181.299999999999</v>
      </c>
      <c r="T86" s="68">
        <v>10181.299999999999</v>
      </c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90</v>
      </c>
      <c r="C87" s="374" t="s">
        <v>39</v>
      </c>
      <c r="D87" s="374" t="s">
        <v>91</v>
      </c>
      <c r="E87" s="374" t="s">
        <v>27</v>
      </c>
      <c r="F87" s="204" t="s">
        <v>291</v>
      </c>
      <c r="G87" s="176" t="s">
        <v>24</v>
      </c>
      <c r="H87" s="48">
        <v>2</v>
      </c>
      <c r="I87" s="203">
        <v>1</v>
      </c>
      <c r="J87" s="203">
        <v>1</v>
      </c>
      <c r="K87" s="65">
        <v>697.32</v>
      </c>
      <c r="L87" s="51"/>
      <c r="M87" s="50">
        <f t="shared" si="0"/>
        <v>0</v>
      </c>
      <c r="N87" s="50"/>
      <c r="O87" s="31"/>
      <c r="P87" s="108">
        <v>4</v>
      </c>
      <c r="Q87" s="65">
        <v>38740.769999999997</v>
      </c>
      <c r="R87" s="51"/>
      <c r="S87" s="50">
        <f t="shared" ref="S87:S126" si="3">T87+U87</f>
        <v>4050.2</v>
      </c>
      <c r="T87" s="50"/>
      <c r="U87" s="225">
        <v>4050.2</v>
      </c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220" t="s">
        <v>229</v>
      </c>
      <c r="G88" s="229" t="s">
        <v>28</v>
      </c>
      <c r="H88" s="133">
        <v>1</v>
      </c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92</v>
      </c>
      <c r="C89" s="374" t="s">
        <v>22</v>
      </c>
      <c r="D89" s="374"/>
      <c r="E89" s="374" t="s">
        <v>27</v>
      </c>
      <c r="F89" s="232" t="s">
        <v>269</v>
      </c>
      <c r="G89" s="23" t="s">
        <v>24</v>
      </c>
      <c r="H89" s="98"/>
      <c r="I89" s="25"/>
      <c r="J89" s="25"/>
      <c r="K89" s="26"/>
      <c r="L89" s="27"/>
      <c r="M89" s="26">
        <f t="shared" si="0"/>
        <v>0</v>
      </c>
      <c r="N89" s="26"/>
      <c r="O89" s="31"/>
      <c r="P89" s="53">
        <v>6</v>
      </c>
      <c r="Q89" s="30">
        <v>31199.119999999999</v>
      </c>
      <c r="R89" s="205">
        <v>2</v>
      </c>
      <c r="S89" s="26">
        <f t="shared" si="3"/>
        <v>3751.96</v>
      </c>
      <c r="T89" s="30">
        <v>3751.96</v>
      </c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33" t="s">
        <v>230</v>
      </c>
      <c r="G90" s="227" t="s">
        <v>28</v>
      </c>
      <c r="H90" s="133">
        <v>1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93</v>
      </c>
      <c r="C91" s="374" t="s">
        <v>22</v>
      </c>
      <c r="D91" s="374"/>
      <c r="E91" s="374" t="s">
        <v>27</v>
      </c>
      <c r="F91" s="22"/>
      <c r="G91" s="176" t="s">
        <v>24</v>
      </c>
      <c r="H91" s="151">
        <v>1</v>
      </c>
      <c r="I91" s="25"/>
      <c r="J91" s="25"/>
      <c r="K91" s="26"/>
      <c r="L91" s="27"/>
      <c r="M91" s="26">
        <f t="shared" si="0"/>
        <v>0</v>
      </c>
      <c r="N91" s="26"/>
      <c r="O91" s="31"/>
      <c r="P91" s="53">
        <v>1</v>
      </c>
      <c r="Q91" s="30">
        <v>633.92999999999995</v>
      </c>
      <c r="R91" s="27"/>
      <c r="S91" s="26">
        <f t="shared" si="3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28</v>
      </c>
      <c r="H92" s="116"/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94</v>
      </c>
      <c r="C93" s="374" t="s">
        <v>39</v>
      </c>
      <c r="D93" s="374" t="s">
        <v>95</v>
      </c>
      <c r="E93" s="374" t="s">
        <v>96</v>
      </c>
      <c r="F93" s="232" t="s">
        <v>292</v>
      </c>
      <c r="G93" s="23" t="s">
        <v>24</v>
      </c>
      <c r="H93" s="48">
        <v>4</v>
      </c>
      <c r="I93" s="25"/>
      <c r="J93" s="25"/>
      <c r="K93" s="26"/>
      <c r="L93" s="27"/>
      <c r="M93" s="26">
        <f t="shared" si="0"/>
        <v>0</v>
      </c>
      <c r="N93" s="26"/>
      <c r="O93" s="31"/>
      <c r="P93" s="53">
        <v>14</v>
      </c>
      <c r="Q93" s="30">
        <v>30413.21</v>
      </c>
      <c r="R93" s="27"/>
      <c r="S93" s="26">
        <f t="shared" si="3"/>
        <v>9997.9500000000007</v>
      </c>
      <c r="T93" s="26"/>
      <c r="U93" s="225">
        <v>9997.9500000000007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33" t="s">
        <v>293</v>
      </c>
      <c r="G94" s="250" t="s">
        <v>25</v>
      </c>
      <c r="H94" s="112">
        <v>3</v>
      </c>
      <c r="I94" s="130">
        <v>2</v>
      </c>
      <c r="J94" s="130">
        <v>2</v>
      </c>
      <c r="K94" s="114">
        <v>2305.1999999999998</v>
      </c>
      <c r="L94" s="44"/>
      <c r="M94" s="43">
        <f t="shared" si="0"/>
        <v>0</v>
      </c>
      <c r="N94" s="43"/>
      <c r="O94" s="41"/>
      <c r="P94" s="113">
        <v>3</v>
      </c>
      <c r="Q94" s="114">
        <v>7159.3</v>
      </c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97</v>
      </c>
      <c r="C95" s="374"/>
      <c r="D95" s="374"/>
      <c r="E95" s="374"/>
      <c r="F95" s="60"/>
      <c r="G95" s="176" t="s">
        <v>24</v>
      </c>
      <c r="H95" s="248">
        <v>2</v>
      </c>
      <c r="I95" s="62">
        <v>1</v>
      </c>
      <c r="J95" s="62">
        <v>1</v>
      </c>
      <c r="K95" s="30">
        <v>614.72</v>
      </c>
      <c r="L95" s="27"/>
      <c r="M95" s="26">
        <f t="shared" si="0"/>
        <v>0</v>
      </c>
      <c r="N95" s="26"/>
      <c r="O95" s="31"/>
      <c r="P95" s="53">
        <v>7</v>
      </c>
      <c r="Q95" s="30">
        <v>12035.94</v>
      </c>
      <c r="R95" s="27"/>
      <c r="S95" s="26">
        <f t="shared" si="3"/>
        <v>0</v>
      </c>
      <c r="T95" s="26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294</v>
      </c>
      <c r="G96" s="229" t="s">
        <v>28</v>
      </c>
      <c r="H96" s="251">
        <v>4</v>
      </c>
      <c r="I96" s="208">
        <v>3</v>
      </c>
      <c r="J96" s="208">
        <v>3</v>
      </c>
      <c r="K96" s="209">
        <v>4610.3999999999996</v>
      </c>
      <c r="L96" s="210"/>
      <c r="M96" s="211">
        <f t="shared" si="0"/>
        <v>1344.7</v>
      </c>
      <c r="N96" s="211"/>
      <c r="O96" s="212">
        <f>1344.7</f>
        <v>1344.7</v>
      </c>
      <c r="P96" s="103"/>
      <c r="Q96" s="43"/>
      <c r="R96" s="44"/>
      <c r="S96" s="43">
        <f t="shared" si="3"/>
        <v>2209.15</v>
      </c>
      <c r="T96" s="43"/>
      <c r="U96" s="234">
        <v>2209.15</v>
      </c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6"/>
      <c r="B97" s="377" t="s">
        <v>98</v>
      </c>
      <c r="C97" s="377" t="s">
        <v>39</v>
      </c>
      <c r="D97" s="377" t="s">
        <v>270</v>
      </c>
      <c r="E97" s="377" t="s">
        <v>99</v>
      </c>
      <c r="F97" s="232" t="s">
        <v>271</v>
      </c>
      <c r="G97" s="73" t="s">
        <v>24</v>
      </c>
      <c r="H97" s="24">
        <v>6</v>
      </c>
      <c r="I97" s="62">
        <v>4</v>
      </c>
      <c r="J97" s="62">
        <v>4</v>
      </c>
      <c r="K97" s="30">
        <v>4316.49</v>
      </c>
      <c r="L97" s="27"/>
      <c r="M97" s="26">
        <f t="shared" si="0"/>
        <v>0</v>
      </c>
      <c r="N97" s="26"/>
      <c r="O97" s="28"/>
      <c r="P97" s="214">
        <v>11</v>
      </c>
      <c r="Q97" s="30">
        <v>48272.61</v>
      </c>
      <c r="R97" s="205">
        <v>2</v>
      </c>
      <c r="S97" s="26">
        <f t="shared" si="3"/>
        <v>1456.12</v>
      </c>
      <c r="T97" s="30">
        <v>1456.12</v>
      </c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295</v>
      </c>
      <c r="G98" s="215" t="s">
        <v>28</v>
      </c>
      <c r="H98" s="66">
        <v>3</v>
      </c>
      <c r="I98" s="286">
        <v>1</v>
      </c>
      <c r="J98" s="286">
        <v>1</v>
      </c>
      <c r="K98" s="287">
        <v>1921</v>
      </c>
      <c r="L98" s="288"/>
      <c r="M98" s="39">
        <f t="shared" si="0"/>
        <v>0</v>
      </c>
      <c r="N98" s="39"/>
      <c r="O98" s="41"/>
      <c r="P98" s="217">
        <v>2</v>
      </c>
      <c r="Q98" s="37">
        <v>3361.75</v>
      </c>
      <c r="R98" s="40"/>
      <c r="S98" s="39">
        <f t="shared" si="3"/>
        <v>1056.55</v>
      </c>
      <c r="T98" s="39"/>
      <c r="U98" s="41">
        <f>1056.55</f>
        <v>1056.55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82"/>
      <c r="B99" s="381" t="s">
        <v>100</v>
      </c>
      <c r="C99" s="374" t="s">
        <v>39</v>
      </c>
      <c r="D99" s="381" t="s">
        <v>296</v>
      </c>
      <c r="E99" s="381" t="s">
        <v>27</v>
      </c>
      <c r="F99" s="223" t="s">
        <v>297</v>
      </c>
      <c r="G99" s="47" t="s">
        <v>24</v>
      </c>
      <c r="H99" s="218"/>
      <c r="I99" s="96"/>
      <c r="J99" s="96"/>
      <c r="K99" s="81"/>
      <c r="L99" s="80"/>
      <c r="M99" s="81">
        <f t="shared" si="0"/>
        <v>0</v>
      </c>
      <c r="N99" s="81"/>
      <c r="O99" s="219"/>
      <c r="P99" s="108">
        <v>2</v>
      </c>
      <c r="Q99" s="65">
        <v>22972.83</v>
      </c>
      <c r="R99" s="51"/>
      <c r="S99" s="50">
        <f t="shared" si="3"/>
        <v>7049.72</v>
      </c>
      <c r="T99" s="50"/>
      <c r="U99" s="225">
        <v>7049.72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20" t="s">
        <v>298</v>
      </c>
      <c r="G100" s="35" t="s">
        <v>28</v>
      </c>
      <c r="H100" s="133">
        <v>2</v>
      </c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3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102</v>
      </c>
      <c r="C101" s="381" t="s">
        <v>22</v>
      </c>
      <c r="D101" s="381"/>
      <c r="E101" s="381" t="s">
        <v>67</v>
      </c>
      <c r="F101" s="223" t="s">
        <v>272</v>
      </c>
      <c r="G101" s="23" t="s">
        <v>24</v>
      </c>
      <c r="H101" s="48">
        <v>3</v>
      </c>
      <c r="I101" s="203">
        <v>2</v>
      </c>
      <c r="J101" s="203">
        <v>2</v>
      </c>
      <c r="K101" s="65">
        <v>1916.98</v>
      </c>
      <c r="L101" s="51"/>
      <c r="M101" s="50">
        <f t="shared" si="0"/>
        <v>0</v>
      </c>
      <c r="N101" s="50"/>
      <c r="O101" s="31"/>
      <c r="P101" s="108">
        <v>8</v>
      </c>
      <c r="Q101" s="65">
        <v>17533.16</v>
      </c>
      <c r="R101" s="224">
        <v>2</v>
      </c>
      <c r="S101" s="50">
        <f t="shared" si="3"/>
        <v>2175.5100000000002</v>
      </c>
      <c r="T101" s="65">
        <v>2175.5100000000002</v>
      </c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221" t="s">
        <v>299</v>
      </c>
      <c r="G102" s="55" t="s">
        <v>28</v>
      </c>
      <c r="H102" s="153">
        <v>7</v>
      </c>
      <c r="I102" s="130">
        <v>2</v>
      </c>
      <c r="J102" s="130">
        <v>2</v>
      </c>
      <c r="K102" s="114">
        <v>2443.1999999999998</v>
      </c>
      <c r="L102" s="128"/>
      <c r="M102" s="50">
        <f t="shared" si="0"/>
        <v>0</v>
      </c>
      <c r="N102" s="43"/>
      <c r="O102" s="41"/>
      <c r="P102" s="113">
        <v>2</v>
      </c>
      <c r="Q102" s="114">
        <v>8007.8</v>
      </c>
      <c r="R102" s="44"/>
      <c r="S102" s="43">
        <f t="shared" si="3"/>
        <v>4358.2</v>
      </c>
      <c r="T102" s="43"/>
      <c r="U102" s="41">
        <f>4358.2</f>
        <v>4358.2</v>
      </c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103</v>
      </c>
      <c r="C103" s="374" t="s">
        <v>22</v>
      </c>
      <c r="D103" s="374"/>
      <c r="E103" s="374" t="s">
        <v>67</v>
      </c>
      <c r="F103" s="22"/>
      <c r="G103" s="23" t="s">
        <v>24</v>
      </c>
      <c r="H103" s="48">
        <v>2</v>
      </c>
      <c r="I103" s="62">
        <v>1</v>
      </c>
      <c r="J103" s="62">
        <v>1</v>
      </c>
      <c r="K103" s="30">
        <v>1133.98</v>
      </c>
      <c r="L103" s="27"/>
      <c r="M103" s="26">
        <f t="shared" si="0"/>
        <v>0</v>
      </c>
      <c r="N103" s="26"/>
      <c r="O103" s="31"/>
      <c r="P103" s="53">
        <v>5</v>
      </c>
      <c r="Q103" s="30">
        <v>7208.15</v>
      </c>
      <c r="R103" s="27"/>
      <c r="S103" s="26">
        <f t="shared" si="3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300</v>
      </c>
      <c r="G104" s="35" t="s">
        <v>28</v>
      </c>
      <c r="H104" s="133">
        <v>1</v>
      </c>
      <c r="I104" s="37">
        <v>1</v>
      </c>
      <c r="J104" s="37">
        <v>1</v>
      </c>
      <c r="K104" s="68">
        <v>1580.8</v>
      </c>
      <c r="L104" s="40"/>
      <c r="M104" s="39">
        <f t="shared" si="0"/>
        <v>0</v>
      </c>
      <c r="N104" s="39"/>
      <c r="O104" s="41"/>
      <c r="P104" s="115">
        <v>1</v>
      </c>
      <c r="Q104" s="68">
        <v>1377.7</v>
      </c>
      <c r="R104" s="40"/>
      <c r="S104" s="39">
        <f t="shared" si="3"/>
        <v>0</v>
      </c>
      <c r="T104" s="39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82"/>
      <c r="B105" s="381" t="s">
        <v>104</v>
      </c>
      <c r="C105" s="381" t="s">
        <v>39</v>
      </c>
      <c r="D105" s="381" t="s">
        <v>301</v>
      </c>
      <c r="E105" s="381" t="s">
        <v>27</v>
      </c>
      <c r="F105" s="223" t="s">
        <v>302</v>
      </c>
      <c r="G105" s="23" t="s">
        <v>24</v>
      </c>
      <c r="H105" s="48">
        <v>6</v>
      </c>
      <c r="I105" s="203">
        <v>2</v>
      </c>
      <c r="J105" s="203">
        <v>2</v>
      </c>
      <c r="K105" s="65">
        <v>2312.7800000000002</v>
      </c>
      <c r="L105" s="51"/>
      <c r="M105" s="50">
        <f t="shared" si="0"/>
        <v>0</v>
      </c>
      <c r="N105" s="50"/>
      <c r="O105" s="31"/>
      <c r="P105" s="108">
        <v>11</v>
      </c>
      <c r="Q105" s="65">
        <v>34339.61</v>
      </c>
      <c r="R105" s="51"/>
      <c r="S105" s="50">
        <f t="shared" si="3"/>
        <v>6809.92</v>
      </c>
      <c r="T105" s="50"/>
      <c r="U105" s="225">
        <v>6809.92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9"/>
      <c r="B106" s="380"/>
      <c r="C106" s="380"/>
      <c r="D106" s="380"/>
      <c r="E106" s="380"/>
      <c r="F106" s="54"/>
      <c r="G106" s="55" t="s">
        <v>28</v>
      </c>
      <c r="H106" s="116"/>
      <c r="I106" s="57"/>
      <c r="J106" s="57"/>
      <c r="K106" s="43"/>
      <c r="L106" s="44"/>
      <c r="M106" s="43">
        <f t="shared" si="0"/>
        <v>0</v>
      </c>
      <c r="N106" s="43"/>
      <c r="O106" s="41"/>
      <c r="P106" s="103"/>
      <c r="Q106" s="43"/>
      <c r="R106" s="44"/>
      <c r="S106" s="43">
        <f t="shared" si="3"/>
        <v>0</v>
      </c>
      <c r="T106" s="43"/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2"/>
      <c r="B107" s="374" t="s">
        <v>106</v>
      </c>
      <c r="C107" s="374" t="s">
        <v>22</v>
      </c>
      <c r="D107" s="374" t="s">
        <v>107</v>
      </c>
      <c r="E107" s="374" t="s">
        <v>27</v>
      </c>
      <c r="F107" s="22"/>
      <c r="G107" s="23" t="s">
        <v>24</v>
      </c>
      <c r="H107" s="48">
        <v>1</v>
      </c>
      <c r="I107" s="25"/>
      <c r="J107" s="25"/>
      <c r="K107" s="26"/>
      <c r="L107" s="27"/>
      <c r="M107" s="26">
        <f t="shared" si="0"/>
        <v>0</v>
      </c>
      <c r="N107" s="26"/>
      <c r="O107" s="31"/>
      <c r="P107" s="53">
        <v>6</v>
      </c>
      <c r="Q107" s="30">
        <v>20735.55</v>
      </c>
      <c r="R107" s="27"/>
      <c r="S107" s="26">
        <f t="shared" si="3"/>
        <v>0</v>
      </c>
      <c r="T107" s="26"/>
      <c r="U107" s="3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9"/>
      <c r="B108" s="380"/>
      <c r="C108" s="380"/>
      <c r="D108" s="380"/>
      <c r="E108" s="380"/>
      <c r="F108" s="233" t="s">
        <v>233</v>
      </c>
      <c r="G108" s="227" t="s">
        <v>28</v>
      </c>
      <c r="H108" s="153">
        <v>1</v>
      </c>
      <c r="I108" s="57"/>
      <c r="J108" s="57"/>
      <c r="K108" s="43"/>
      <c r="L108" s="44"/>
      <c r="M108" s="43">
        <f t="shared" si="0"/>
        <v>0</v>
      </c>
      <c r="N108" s="43"/>
      <c r="O108" s="41"/>
      <c r="P108" s="103"/>
      <c r="Q108" s="43"/>
      <c r="R108" s="44"/>
      <c r="S108" s="43">
        <f t="shared" si="3"/>
        <v>0</v>
      </c>
      <c r="T108" s="57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2"/>
      <c r="B109" s="374" t="s">
        <v>108</v>
      </c>
      <c r="C109" s="374" t="s">
        <v>46</v>
      </c>
      <c r="D109" s="374" t="s">
        <v>109</v>
      </c>
      <c r="E109" s="374" t="s">
        <v>27</v>
      </c>
      <c r="F109" s="204" t="s">
        <v>273</v>
      </c>
      <c r="G109" s="176" t="s">
        <v>24</v>
      </c>
      <c r="H109" s="151">
        <v>1</v>
      </c>
      <c r="I109" s="25"/>
      <c r="J109" s="25"/>
      <c r="K109" s="26"/>
      <c r="L109" s="27"/>
      <c r="M109" s="26">
        <f t="shared" si="0"/>
        <v>0</v>
      </c>
      <c r="N109" s="26"/>
      <c r="O109" s="31"/>
      <c r="P109" s="53">
        <v>4</v>
      </c>
      <c r="Q109" s="30">
        <v>14334.39</v>
      </c>
      <c r="R109" s="27"/>
      <c r="S109" s="26">
        <f t="shared" si="3"/>
        <v>13277.84</v>
      </c>
      <c r="T109" s="26"/>
      <c r="U109" s="225">
        <v>13277.84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87"/>
      <c r="B110" s="386"/>
      <c r="C110" s="386"/>
      <c r="D110" s="386"/>
      <c r="E110" s="386"/>
      <c r="F110" s="235" t="s">
        <v>234</v>
      </c>
      <c r="G110" s="252" t="s">
        <v>28</v>
      </c>
      <c r="H110" s="48">
        <v>3</v>
      </c>
      <c r="I110" s="246">
        <v>1</v>
      </c>
      <c r="J110" s="246">
        <v>1</v>
      </c>
      <c r="K110" s="158">
        <v>576.29999999999995</v>
      </c>
      <c r="L110" s="143"/>
      <c r="M110" s="142">
        <f t="shared" si="0"/>
        <v>0</v>
      </c>
      <c r="N110" s="142"/>
      <c r="O110" s="45"/>
      <c r="P110" s="157">
        <v>3</v>
      </c>
      <c r="Q110" s="158">
        <v>6513.21</v>
      </c>
      <c r="R110" s="143"/>
      <c r="S110" s="142">
        <f t="shared" si="3"/>
        <v>0</v>
      </c>
      <c r="T110" s="142"/>
      <c r="U110" s="4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145"/>
      <c r="G111" s="253" t="s">
        <v>25</v>
      </c>
      <c r="H111" s="147"/>
      <c r="I111" s="38"/>
      <c r="J111" s="38"/>
      <c r="K111" s="39"/>
      <c r="L111" s="40"/>
      <c r="M111" s="39">
        <f t="shared" si="0"/>
        <v>0</v>
      </c>
      <c r="N111" s="39"/>
      <c r="O111" s="41"/>
      <c r="P111" s="59"/>
      <c r="Q111" s="39"/>
      <c r="R111" s="40"/>
      <c r="S111" s="39">
        <f t="shared" si="3"/>
        <v>0</v>
      </c>
      <c r="T111" s="39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6"/>
      <c r="B112" s="377" t="s">
        <v>110</v>
      </c>
      <c r="C112" s="377" t="s">
        <v>22</v>
      </c>
      <c r="D112" s="377"/>
      <c r="E112" s="377" t="s">
        <v>67</v>
      </c>
      <c r="F112" s="232" t="s">
        <v>274</v>
      </c>
      <c r="G112" s="23" t="s">
        <v>24</v>
      </c>
      <c r="H112" s="48">
        <v>1</v>
      </c>
      <c r="I112" s="49"/>
      <c r="J112" s="49"/>
      <c r="K112" s="50"/>
      <c r="L112" s="51"/>
      <c r="M112" s="50">
        <f t="shared" si="0"/>
        <v>0</v>
      </c>
      <c r="N112" s="50"/>
      <c r="O112" s="31"/>
      <c r="P112" s="108">
        <v>3</v>
      </c>
      <c r="Q112" s="65">
        <v>8558.75</v>
      </c>
      <c r="R112" s="51"/>
      <c r="S112" s="50">
        <f t="shared" si="3"/>
        <v>3034.34</v>
      </c>
      <c r="T112" s="50"/>
      <c r="U112" s="225">
        <v>3034.34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9"/>
      <c r="B113" s="380"/>
      <c r="C113" s="380"/>
      <c r="D113" s="380"/>
      <c r="E113" s="380"/>
      <c r="F113" s="54"/>
      <c r="G113" s="55" t="s">
        <v>28</v>
      </c>
      <c r="H113" s="116"/>
      <c r="I113" s="57"/>
      <c r="J113" s="57"/>
      <c r="K113" s="43"/>
      <c r="L113" s="44"/>
      <c r="M113" s="43">
        <f t="shared" si="0"/>
        <v>0</v>
      </c>
      <c r="N113" s="43"/>
      <c r="O113" s="41"/>
      <c r="P113" s="103"/>
      <c r="Q113" s="43"/>
      <c r="R113" s="44"/>
      <c r="S113" s="43">
        <f t="shared" si="3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111</v>
      </c>
      <c r="C114" s="374" t="s">
        <v>22</v>
      </c>
      <c r="D114" s="374"/>
      <c r="E114" s="374" t="s">
        <v>112</v>
      </c>
      <c r="F114" s="22"/>
      <c r="G114" s="23" t="s">
        <v>24</v>
      </c>
      <c r="H114" s="48">
        <v>2</v>
      </c>
      <c r="I114" s="25"/>
      <c r="J114" s="25"/>
      <c r="K114" s="26"/>
      <c r="L114" s="27"/>
      <c r="M114" s="26">
        <f t="shared" si="0"/>
        <v>0</v>
      </c>
      <c r="N114" s="26"/>
      <c r="O114" s="31"/>
      <c r="P114" s="53">
        <v>3</v>
      </c>
      <c r="Q114" s="30">
        <v>2574.14</v>
      </c>
      <c r="R114" s="27"/>
      <c r="S114" s="26">
        <f t="shared" si="3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33" t="s">
        <v>235</v>
      </c>
      <c r="G115" s="227" t="s">
        <v>28</v>
      </c>
      <c r="H115" s="133">
        <v>1</v>
      </c>
      <c r="I115" s="57"/>
      <c r="J115" s="57"/>
      <c r="K115" s="43"/>
      <c r="L115" s="44"/>
      <c r="M115" s="43">
        <f t="shared" si="0"/>
        <v>0</v>
      </c>
      <c r="N115" s="43"/>
      <c r="O115" s="41"/>
      <c r="P115" s="103"/>
      <c r="Q115" s="43"/>
      <c r="R115" s="44"/>
      <c r="S115" s="43">
        <f t="shared" si="3"/>
        <v>0</v>
      </c>
      <c r="T115" s="43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113</v>
      </c>
      <c r="C116" s="374" t="s">
        <v>39</v>
      </c>
      <c r="D116" s="374" t="s">
        <v>114</v>
      </c>
      <c r="E116" s="374" t="s">
        <v>27</v>
      </c>
      <c r="F116" s="204" t="s">
        <v>305</v>
      </c>
      <c r="G116" s="176" t="s">
        <v>24</v>
      </c>
      <c r="H116" s="48">
        <v>6</v>
      </c>
      <c r="I116" s="62">
        <v>3</v>
      </c>
      <c r="J116" s="62">
        <v>5</v>
      </c>
      <c r="K116" s="30">
        <v>6736.48</v>
      </c>
      <c r="L116" s="27"/>
      <c r="M116" s="26">
        <f t="shared" si="0"/>
        <v>0</v>
      </c>
      <c r="N116" s="26"/>
      <c r="O116" s="31"/>
      <c r="P116" s="53">
        <v>10</v>
      </c>
      <c r="Q116" s="30">
        <v>27295.01</v>
      </c>
      <c r="R116" s="27"/>
      <c r="S116" s="26">
        <f t="shared" si="3"/>
        <v>7729.47</v>
      </c>
      <c r="T116" s="26"/>
      <c r="U116" s="225">
        <v>7729.47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306</v>
      </c>
      <c r="G117" s="229" t="s">
        <v>28</v>
      </c>
      <c r="H117" s="56">
        <v>2</v>
      </c>
      <c r="I117" s="130">
        <v>1</v>
      </c>
      <c r="J117" s="130">
        <v>1</v>
      </c>
      <c r="K117" s="114">
        <v>1152.5999999999999</v>
      </c>
      <c r="L117" s="44"/>
      <c r="M117" s="43">
        <f t="shared" si="0"/>
        <v>0</v>
      </c>
      <c r="N117" s="43"/>
      <c r="O117" s="45"/>
      <c r="P117" s="113">
        <v>2</v>
      </c>
      <c r="Q117" s="114">
        <v>5186.7</v>
      </c>
      <c r="R117" s="44"/>
      <c r="S117" s="43">
        <f t="shared" si="3"/>
        <v>0</v>
      </c>
      <c r="T117" s="43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115</v>
      </c>
      <c r="C118" s="374" t="s">
        <v>22</v>
      </c>
      <c r="D118" s="374"/>
      <c r="E118" s="374" t="s">
        <v>27</v>
      </c>
      <c r="F118" s="22"/>
      <c r="G118" s="23" t="s">
        <v>24</v>
      </c>
      <c r="H118" s="104"/>
      <c r="I118" s="25"/>
      <c r="J118" s="25"/>
      <c r="K118" s="26"/>
      <c r="L118" s="148"/>
      <c r="M118" s="149">
        <f t="shared" si="0"/>
        <v>0</v>
      </c>
      <c r="N118" s="26"/>
      <c r="O118" s="100"/>
      <c r="P118" s="120"/>
      <c r="Q118" s="26"/>
      <c r="R118" s="27"/>
      <c r="S118" s="26">
        <f t="shared" si="3"/>
        <v>0</v>
      </c>
      <c r="T118" s="26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35" t="s">
        <v>28</v>
      </c>
      <c r="H119" s="106"/>
      <c r="I119" s="38"/>
      <c r="J119" s="38"/>
      <c r="K119" s="39"/>
      <c r="L119" s="40"/>
      <c r="M119" s="39">
        <f t="shared" si="0"/>
        <v>0</v>
      </c>
      <c r="N119" s="39"/>
      <c r="O119" s="41"/>
      <c r="P119" s="69"/>
      <c r="Q119" s="39"/>
      <c r="R119" s="40"/>
      <c r="S119" s="39">
        <f t="shared" si="3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2"/>
      <c r="B120" s="381" t="s">
        <v>116</v>
      </c>
      <c r="C120" s="381" t="s">
        <v>22</v>
      </c>
      <c r="D120" s="381"/>
      <c r="E120" s="381" t="s">
        <v>27</v>
      </c>
      <c r="F120" s="223" t="s">
        <v>307</v>
      </c>
      <c r="G120" s="47" t="s">
        <v>24</v>
      </c>
      <c r="H120" s="61">
        <v>3</v>
      </c>
      <c r="I120" s="62">
        <v>3</v>
      </c>
      <c r="J120" s="62">
        <v>3</v>
      </c>
      <c r="K120" s="30">
        <v>3189.98</v>
      </c>
      <c r="L120" s="27"/>
      <c r="M120" s="26">
        <f t="shared" si="0"/>
        <v>0</v>
      </c>
      <c r="N120" s="26"/>
      <c r="O120" s="100"/>
      <c r="P120" s="64">
        <v>2</v>
      </c>
      <c r="Q120" s="65">
        <v>3540.18</v>
      </c>
      <c r="R120" s="51"/>
      <c r="S120" s="50">
        <f t="shared" si="3"/>
        <v>2272.3200000000002</v>
      </c>
      <c r="T120" s="50"/>
      <c r="U120" s="225">
        <v>2272.3200000000002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69"/>
      <c r="Q121" s="39"/>
      <c r="R121" s="40"/>
      <c r="S121" s="39">
        <f t="shared" si="3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82"/>
      <c r="B122" s="381" t="s">
        <v>117</v>
      </c>
      <c r="C122" s="381" t="s">
        <v>22</v>
      </c>
      <c r="D122" s="381"/>
      <c r="E122" s="381" t="s">
        <v>67</v>
      </c>
      <c r="F122" s="223" t="s">
        <v>308</v>
      </c>
      <c r="G122" s="23" t="s">
        <v>24</v>
      </c>
      <c r="H122" s="48">
        <v>6</v>
      </c>
      <c r="I122" s="203">
        <v>4</v>
      </c>
      <c r="J122" s="203">
        <v>5</v>
      </c>
      <c r="K122" s="65">
        <v>15263.87</v>
      </c>
      <c r="L122" s="51"/>
      <c r="M122" s="50">
        <f t="shared" si="0"/>
        <v>0</v>
      </c>
      <c r="N122" s="50"/>
      <c r="O122" s="31"/>
      <c r="P122" s="108">
        <v>19</v>
      </c>
      <c r="Q122" s="65">
        <v>61934.03</v>
      </c>
      <c r="R122" s="51"/>
      <c r="S122" s="50">
        <f t="shared" si="3"/>
        <v>10009.61</v>
      </c>
      <c r="T122" s="50"/>
      <c r="U122" s="225">
        <v>10009.61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26"/>
      <c r="G123" s="227" t="s">
        <v>28</v>
      </c>
      <c r="H123" s="116"/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3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118</v>
      </c>
      <c r="C124" s="374" t="s">
        <v>39</v>
      </c>
      <c r="D124" s="374" t="s">
        <v>309</v>
      </c>
      <c r="E124" s="374" t="s">
        <v>27</v>
      </c>
      <c r="F124" s="204" t="s">
        <v>310</v>
      </c>
      <c r="G124" s="176" t="s">
        <v>24</v>
      </c>
      <c r="H124" s="151">
        <v>3</v>
      </c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13</v>
      </c>
      <c r="Q124" s="30">
        <v>46879.51</v>
      </c>
      <c r="R124" s="27"/>
      <c r="S124" s="26">
        <f t="shared" si="3"/>
        <v>21153.67</v>
      </c>
      <c r="T124" s="26"/>
      <c r="U124" s="225">
        <v>21153.67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152"/>
      <c r="G125" s="229" t="s">
        <v>28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3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119</v>
      </c>
      <c r="C126" s="374" t="s">
        <v>39</v>
      </c>
      <c r="D126" s="374" t="s">
        <v>311</v>
      </c>
      <c r="E126" s="374" t="s">
        <v>121</v>
      </c>
      <c r="F126" s="232" t="s">
        <v>312</v>
      </c>
      <c r="G126" s="23" t="s">
        <v>24</v>
      </c>
      <c r="H126" s="151">
        <v>4</v>
      </c>
      <c r="I126" s="25"/>
      <c r="J126" s="25"/>
      <c r="K126" s="26"/>
      <c r="L126" s="27"/>
      <c r="M126" s="26">
        <f t="shared" si="0"/>
        <v>0</v>
      </c>
      <c r="N126" s="26"/>
      <c r="O126" s="31"/>
      <c r="P126" s="53">
        <v>20</v>
      </c>
      <c r="Q126" s="30">
        <v>30500.5</v>
      </c>
      <c r="R126" s="27"/>
      <c r="S126" s="26">
        <f t="shared" si="3"/>
        <v>4998.1400000000003</v>
      </c>
      <c r="T126" s="26"/>
      <c r="U126" s="225">
        <v>4998.1400000000003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80"/>
      <c r="C127" s="380"/>
      <c r="D127" s="380"/>
      <c r="E127" s="380"/>
      <c r="F127" s="233" t="s">
        <v>313</v>
      </c>
      <c r="G127" s="227" t="s">
        <v>25</v>
      </c>
      <c r="H127" s="153">
        <v>2</v>
      </c>
      <c r="I127" s="130">
        <v>1</v>
      </c>
      <c r="J127" s="130">
        <v>1</v>
      </c>
      <c r="K127" s="114">
        <v>1344.7</v>
      </c>
      <c r="L127" s="44"/>
      <c r="M127" s="43">
        <f t="shared" si="0"/>
        <v>0</v>
      </c>
      <c r="N127" s="43"/>
      <c r="O127" s="41"/>
      <c r="P127" s="113">
        <v>1</v>
      </c>
      <c r="Q127" s="114">
        <v>4034.1</v>
      </c>
      <c r="R127" s="270">
        <v>1</v>
      </c>
      <c r="S127" s="114">
        <v>4034.1</v>
      </c>
      <c r="T127" s="114">
        <v>4034.1</v>
      </c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122</v>
      </c>
      <c r="C128" s="374" t="s">
        <v>39</v>
      </c>
      <c r="D128" s="374" t="s">
        <v>123</v>
      </c>
      <c r="E128" s="374" t="s">
        <v>55</v>
      </c>
      <c r="F128" s="204" t="s">
        <v>236</v>
      </c>
      <c r="G128" s="176" t="s">
        <v>24</v>
      </c>
      <c r="H128" s="48">
        <v>5</v>
      </c>
      <c r="I128" s="62">
        <v>4</v>
      </c>
      <c r="J128" s="62">
        <v>5</v>
      </c>
      <c r="K128" s="30">
        <v>5859.73</v>
      </c>
      <c r="L128" s="27"/>
      <c r="M128" s="26">
        <f t="shared" si="0"/>
        <v>0</v>
      </c>
      <c r="N128" s="26"/>
      <c r="O128" s="31"/>
      <c r="P128" s="53">
        <v>13</v>
      </c>
      <c r="Q128" s="30">
        <v>61090.55</v>
      </c>
      <c r="R128" s="205">
        <v>6</v>
      </c>
      <c r="S128" s="26">
        <f t="shared" ref="S128:S169" si="4">T128+U128</f>
        <v>29991.43</v>
      </c>
      <c r="T128" s="30">
        <v>15352.72</v>
      </c>
      <c r="U128" s="225">
        <v>14638.71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229" t="s">
        <v>25</v>
      </c>
      <c r="H129" s="116"/>
      <c r="I129" s="38"/>
      <c r="J129" s="38"/>
      <c r="K129" s="39"/>
      <c r="L129" s="40"/>
      <c r="M129" s="39">
        <f t="shared" si="0"/>
        <v>0</v>
      </c>
      <c r="N129" s="39"/>
      <c r="O129" s="41"/>
      <c r="P129" s="59"/>
      <c r="Q129" s="39"/>
      <c r="R129" s="40"/>
      <c r="S129" s="39">
        <f t="shared" si="4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6"/>
      <c r="B130" s="377" t="s">
        <v>124</v>
      </c>
      <c r="C130" s="377" t="s">
        <v>39</v>
      </c>
      <c r="D130" s="377" t="s">
        <v>314</v>
      </c>
      <c r="E130" s="377" t="s">
        <v>27</v>
      </c>
      <c r="F130" s="232" t="s">
        <v>237</v>
      </c>
      <c r="G130" s="23" t="s">
        <v>24</v>
      </c>
      <c r="H130" s="48">
        <v>8</v>
      </c>
      <c r="I130" s="203">
        <v>2</v>
      </c>
      <c r="J130" s="203">
        <v>3</v>
      </c>
      <c r="K130" s="65">
        <v>2736.46</v>
      </c>
      <c r="L130" s="51"/>
      <c r="M130" s="50">
        <f t="shared" si="0"/>
        <v>0</v>
      </c>
      <c r="N130" s="50"/>
      <c r="O130" s="31"/>
      <c r="P130" s="108">
        <v>35</v>
      </c>
      <c r="Q130" s="65">
        <v>209840.56</v>
      </c>
      <c r="R130" s="224">
        <v>7</v>
      </c>
      <c r="S130" s="50">
        <f t="shared" si="4"/>
        <v>74062.510000000009</v>
      </c>
      <c r="T130" s="65">
        <v>50185.66</v>
      </c>
      <c r="U130" s="225">
        <v>23876.85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7"/>
      <c r="B131" s="386"/>
      <c r="C131" s="386"/>
      <c r="D131" s="386"/>
      <c r="E131" s="386"/>
      <c r="F131" s="135"/>
      <c r="G131" s="154" t="s">
        <v>25</v>
      </c>
      <c r="H131" s="98"/>
      <c r="I131" s="155"/>
      <c r="J131" s="155"/>
      <c r="K131" s="239" t="s">
        <v>43</v>
      </c>
      <c r="L131" s="128"/>
      <c r="M131" s="129">
        <f t="shared" si="0"/>
        <v>0</v>
      </c>
      <c r="N131" s="129"/>
      <c r="O131" s="45"/>
      <c r="P131" s="156"/>
      <c r="Q131" s="129"/>
      <c r="R131" s="128"/>
      <c r="S131" s="129">
        <f t="shared" si="4"/>
        <v>0</v>
      </c>
      <c r="T131" s="129"/>
      <c r="U131" s="4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9"/>
      <c r="B132" s="380"/>
      <c r="C132" s="380"/>
      <c r="D132" s="380"/>
      <c r="E132" s="380"/>
      <c r="F132" s="54"/>
      <c r="G132" s="55" t="s">
        <v>28</v>
      </c>
      <c r="H132" s="111"/>
      <c r="I132" s="57"/>
      <c r="J132" s="57"/>
      <c r="K132" s="43"/>
      <c r="L132" s="44"/>
      <c r="M132" s="43">
        <f t="shared" si="0"/>
        <v>0</v>
      </c>
      <c r="N132" s="43"/>
      <c r="O132" s="41"/>
      <c r="P132" s="113">
        <v>1</v>
      </c>
      <c r="Q132" s="43"/>
      <c r="R132" s="44"/>
      <c r="S132" s="43">
        <f t="shared" si="4"/>
        <v>2305.1999999999998</v>
      </c>
      <c r="T132" s="43"/>
      <c r="U132" s="41">
        <f>1152.6+1152.6</f>
        <v>2305.1999999999998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2"/>
      <c r="B133" s="374" t="s">
        <v>126</v>
      </c>
      <c r="C133" s="374" t="s">
        <v>22</v>
      </c>
      <c r="D133" s="378"/>
      <c r="E133" s="374" t="s">
        <v>65</v>
      </c>
      <c r="F133" s="150"/>
      <c r="G133" s="23" t="s">
        <v>24</v>
      </c>
      <c r="H133" s="98"/>
      <c r="I133" s="25"/>
      <c r="J133" s="25"/>
      <c r="K133" s="26"/>
      <c r="L133" s="27"/>
      <c r="M133" s="26">
        <f t="shared" si="0"/>
        <v>0</v>
      </c>
      <c r="N133" s="26"/>
      <c r="O133" s="31"/>
      <c r="P133" s="53">
        <v>12</v>
      </c>
      <c r="Q133" s="30">
        <v>11948.95</v>
      </c>
      <c r="R133" s="27"/>
      <c r="S133" s="26">
        <f t="shared" si="4"/>
        <v>0</v>
      </c>
      <c r="T133" s="26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254" t="s">
        <v>316</v>
      </c>
      <c r="G134" s="35" t="s">
        <v>28</v>
      </c>
      <c r="H134" s="153">
        <v>3</v>
      </c>
      <c r="I134" s="37">
        <v>2</v>
      </c>
      <c r="J134" s="37">
        <v>2</v>
      </c>
      <c r="K134" s="68">
        <v>2305.1999999999998</v>
      </c>
      <c r="L134" s="40"/>
      <c r="M134" s="39">
        <f t="shared" si="0"/>
        <v>0</v>
      </c>
      <c r="N134" s="39"/>
      <c r="O134" s="41"/>
      <c r="P134" s="115">
        <v>1</v>
      </c>
      <c r="Q134" s="68">
        <v>700</v>
      </c>
      <c r="R134" s="40"/>
      <c r="S134" s="39">
        <f t="shared" si="4"/>
        <v>0</v>
      </c>
      <c r="T134" s="39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127</v>
      </c>
      <c r="C135" s="381" t="s">
        <v>22</v>
      </c>
      <c r="D135" s="381"/>
      <c r="E135" s="381" t="s">
        <v>67</v>
      </c>
      <c r="F135" s="46"/>
      <c r="G135" s="47" t="s">
        <v>24</v>
      </c>
      <c r="H135" s="48">
        <v>5</v>
      </c>
      <c r="I135" s="203">
        <v>3</v>
      </c>
      <c r="J135" s="203">
        <v>3</v>
      </c>
      <c r="K135" s="65">
        <v>3609.92</v>
      </c>
      <c r="L135" s="51"/>
      <c r="M135" s="50">
        <f t="shared" si="0"/>
        <v>0</v>
      </c>
      <c r="N135" s="50"/>
      <c r="O135" s="31"/>
      <c r="P135" s="108">
        <v>7</v>
      </c>
      <c r="Q135" s="65">
        <v>28166.25</v>
      </c>
      <c r="R135" s="51"/>
      <c r="S135" s="50">
        <f t="shared" si="4"/>
        <v>0</v>
      </c>
      <c r="T135" s="50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221" t="s">
        <v>317</v>
      </c>
      <c r="G136" s="55" t="s">
        <v>28</v>
      </c>
      <c r="H136" s="153">
        <v>7</v>
      </c>
      <c r="I136" s="37">
        <v>1</v>
      </c>
      <c r="J136" s="37">
        <v>1</v>
      </c>
      <c r="K136" s="68">
        <v>1578.8</v>
      </c>
      <c r="L136" s="40"/>
      <c r="M136" s="39">
        <f t="shared" si="0"/>
        <v>0</v>
      </c>
      <c r="N136" s="39"/>
      <c r="O136" s="41"/>
      <c r="P136" s="115">
        <v>1</v>
      </c>
      <c r="Q136" s="68">
        <v>11053.9</v>
      </c>
      <c r="R136" s="40"/>
      <c r="S136" s="39">
        <f t="shared" si="4"/>
        <v>0</v>
      </c>
      <c r="T136" s="39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82"/>
      <c r="B137" s="381" t="s">
        <v>128</v>
      </c>
      <c r="C137" s="381" t="s">
        <v>39</v>
      </c>
      <c r="D137" s="381" t="s">
        <v>129</v>
      </c>
      <c r="E137" s="381" t="s">
        <v>121</v>
      </c>
      <c r="F137" s="60"/>
      <c r="G137" s="23" t="s">
        <v>24</v>
      </c>
      <c r="H137" s="107"/>
      <c r="I137" s="49"/>
      <c r="J137" s="127"/>
      <c r="K137" s="50"/>
      <c r="L137" s="51"/>
      <c r="M137" s="50">
        <f t="shared" si="0"/>
        <v>0</v>
      </c>
      <c r="N137" s="50"/>
      <c r="O137" s="31"/>
      <c r="P137" s="108">
        <v>1</v>
      </c>
      <c r="Q137" s="65">
        <v>14638.71</v>
      </c>
      <c r="R137" s="51"/>
      <c r="S137" s="50">
        <f t="shared" si="4"/>
        <v>0</v>
      </c>
      <c r="T137" s="50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9"/>
      <c r="B138" s="380"/>
      <c r="C138" s="380"/>
      <c r="D138" s="380"/>
      <c r="E138" s="380"/>
      <c r="F138" s="247"/>
      <c r="G138" s="227" t="s">
        <v>25</v>
      </c>
      <c r="H138" s="153">
        <v>1</v>
      </c>
      <c r="I138" s="57"/>
      <c r="J138" s="57"/>
      <c r="K138" s="43"/>
      <c r="L138" s="44"/>
      <c r="M138" s="43">
        <f t="shared" si="0"/>
        <v>0</v>
      </c>
      <c r="N138" s="43"/>
      <c r="O138" s="41"/>
      <c r="P138" s="103"/>
      <c r="Q138" s="43"/>
      <c r="R138" s="44"/>
      <c r="S138" s="43">
        <f t="shared" si="4"/>
        <v>0</v>
      </c>
      <c r="T138" s="43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130</v>
      </c>
      <c r="C139" s="374" t="s">
        <v>22</v>
      </c>
      <c r="D139" s="374"/>
      <c r="E139" s="374" t="s">
        <v>131</v>
      </c>
      <c r="F139" s="22"/>
      <c r="G139" s="176" t="s">
        <v>24</v>
      </c>
      <c r="H139" s="48">
        <v>1</v>
      </c>
      <c r="I139" s="25"/>
      <c r="J139" s="25"/>
      <c r="K139" s="26"/>
      <c r="L139" s="27"/>
      <c r="M139" s="26">
        <f t="shared" si="0"/>
        <v>0</v>
      </c>
      <c r="N139" s="26"/>
      <c r="O139" s="31"/>
      <c r="P139" s="53">
        <v>3</v>
      </c>
      <c r="Q139" s="30">
        <v>5532.03</v>
      </c>
      <c r="R139" s="27"/>
      <c r="S139" s="26">
        <f t="shared" si="4"/>
        <v>0</v>
      </c>
      <c r="T139" s="26"/>
      <c r="U139" s="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75"/>
      <c r="C140" s="375"/>
      <c r="D140" s="375"/>
      <c r="E140" s="375"/>
      <c r="F140" s="34"/>
      <c r="G140" s="229" t="s">
        <v>25</v>
      </c>
      <c r="H140" s="112">
        <v>5</v>
      </c>
      <c r="I140" s="57"/>
      <c r="J140" s="57"/>
      <c r="K140" s="43"/>
      <c r="L140" s="44"/>
      <c r="M140" s="43">
        <f t="shared" si="0"/>
        <v>0</v>
      </c>
      <c r="N140" s="43"/>
      <c r="O140" s="41"/>
      <c r="P140" s="103"/>
      <c r="Q140" s="43"/>
      <c r="R140" s="44"/>
      <c r="S140" s="43">
        <f t="shared" si="4"/>
        <v>0</v>
      </c>
      <c r="T140" s="43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132</v>
      </c>
      <c r="C141" s="374" t="s">
        <v>39</v>
      </c>
      <c r="D141" s="374" t="s">
        <v>238</v>
      </c>
      <c r="E141" s="377" t="s">
        <v>136</v>
      </c>
      <c r="F141" s="232" t="s">
        <v>239</v>
      </c>
      <c r="G141" s="23" t="s">
        <v>24</v>
      </c>
      <c r="H141" s="61">
        <v>4</v>
      </c>
      <c r="I141" s="62">
        <v>2</v>
      </c>
      <c r="J141" s="62">
        <v>2</v>
      </c>
      <c r="K141" s="30">
        <v>1613.64</v>
      </c>
      <c r="L141" s="27"/>
      <c r="M141" s="26">
        <f t="shared" si="0"/>
        <v>0</v>
      </c>
      <c r="N141" s="26"/>
      <c r="O141" s="31"/>
      <c r="P141" s="53">
        <v>9</v>
      </c>
      <c r="Q141" s="30">
        <v>26912.93</v>
      </c>
      <c r="R141" s="205">
        <v>1</v>
      </c>
      <c r="S141" s="26">
        <f t="shared" si="4"/>
        <v>8445.0499999999993</v>
      </c>
      <c r="T141" s="30">
        <v>2697.08</v>
      </c>
      <c r="U141" s="225">
        <v>5747.97</v>
      </c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7"/>
      <c r="B142" s="386"/>
      <c r="C142" s="386"/>
      <c r="D142" s="386"/>
      <c r="E142" s="386"/>
      <c r="F142" s="237" t="s">
        <v>240</v>
      </c>
      <c r="G142" s="154" t="s">
        <v>28</v>
      </c>
      <c r="H142" s="112">
        <v>7</v>
      </c>
      <c r="I142" s="271">
        <v>1</v>
      </c>
      <c r="J142" s="271">
        <v>1</v>
      </c>
      <c r="K142" s="239">
        <v>1728.9</v>
      </c>
      <c r="L142" s="128"/>
      <c r="M142" s="129">
        <f t="shared" si="0"/>
        <v>0</v>
      </c>
      <c r="N142" s="129"/>
      <c r="O142" s="45"/>
      <c r="P142" s="238">
        <v>5</v>
      </c>
      <c r="Q142" s="239">
        <v>7357.43</v>
      </c>
      <c r="R142" s="128"/>
      <c r="S142" s="129">
        <f t="shared" si="4"/>
        <v>288.14999999999998</v>
      </c>
      <c r="T142" s="129"/>
      <c r="U142" s="45">
        <f>288.15</f>
        <v>288.14999999999998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126"/>
      <c r="G143" s="55" t="s">
        <v>25</v>
      </c>
      <c r="H143" s="131"/>
      <c r="I143" s="57"/>
      <c r="J143" s="57"/>
      <c r="K143" s="43"/>
      <c r="L143" s="44"/>
      <c r="M143" s="43">
        <f t="shared" si="0"/>
        <v>0</v>
      </c>
      <c r="N143" s="43"/>
      <c r="O143" s="41"/>
      <c r="P143" s="103"/>
      <c r="Q143" s="43"/>
      <c r="R143" s="44"/>
      <c r="S143" s="43">
        <f t="shared" si="4"/>
        <v>0</v>
      </c>
      <c r="T143" s="43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2"/>
      <c r="B144" s="374" t="s">
        <v>133</v>
      </c>
      <c r="C144" s="374"/>
      <c r="D144" s="374"/>
      <c r="E144" s="381" t="s">
        <v>23</v>
      </c>
      <c r="F144" s="22"/>
      <c r="G144" s="23" t="s">
        <v>24</v>
      </c>
      <c r="H144" s="61">
        <v>5</v>
      </c>
      <c r="I144" s="25"/>
      <c r="J144" s="25"/>
      <c r="K144" s="26"/>
      <c r="L144" s="27"/>
      <c r="M144" s="26">
        <f t="shared" si="0"/>
        <v>0</v>
      </c>
      <c r="N144" s="26"/>
      <c r="O144" s="31"/>
      <c r="P144" s="99"/>
      <c r="Q144" s="26"/>
      <c r="R144" s="27"/>
      <c r="S144" s="26">
        <f t="shared" si="4"/>
        <v>0</v>
      </c>
      <c r="T144" s="26"/>
      <c r="U144" s="3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3"/>
      <c r="B145" s="375"/>
      <c r="C145" s="375"/>
      <c r="D145" s="375"/>
      <c r="E145" s="375"/>
      <c r="F145" s="34"/>
      <c r="G145" s="35" t="s">
        <v>25</v>
      </c>
      <c r="H145" s="106"/>
      <c r="I145" s="38"/>
      <c r="J145" s="38"/>
      <c r="K145" s="39"/>
      <c r="L145" s="40"/>
      <c r="M145" s="39">
        <f t="shared" si="0"/>
        <v>0</v>
      </c>
      <c r="N145" s="39"/>
      <c r="O145" s="41"/>
      <c r="P145" s="59"/>
      <c r="Q145" s="39"/>
      <c r="R145" s="40"/>
      <c r="S145" s="39">
        <f t="shared" si="4"/>
        <v>0</v>
      </c>
      <c r="T145" s="39"/>
      <c r="U145" s="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2"/>
      <c r="B146" s="374" t="s">
        <v>134</v>
      </c>
      <c r="C146" s="374" t="s">
        <v>39</v>
      </c>
      <c r="D146" s="374" t="s">
        <v>280</v>
      </c>
      <c r="E146" s="374" t="s">
        <v>136</v>
      </c>
      <c r="F146" s="204" t="s">
        <v>282</v>
      </c>
      <c r="G146" s="176" t="s">
        <v>24</v>
      </c>
      <c r="H146" s="48">
        <v>4</v>
      </c>
      <c r="I146" s="203">
        <v>3</v>
      </c>
      <c r="J146" s="203">
        <v>3</v>
      </c>
      <c r="K146" s="65">
        <v>6564.06</v>
      </c>
      <c r="L146" s="51"/>
      <c r="M146" s="50">
        <f t="shared" si="0"/>
        <v>0</v>
      </c>
      <c r="N146" s="50"/>
      <c r="O146" s="31"/>
      <c r="P146" s="108">
        <v>4</v>
      </c>
      <c r="Q146" s="65">
        <v>22015.89</v>
      </c>
      <c r="R146" s="224">
        <v>2</v>
      </c>
      <c r="S146" s="50">
        <f t="shared" si="4"/>
        <v>3694.33</v>
      </c>
      <c r="T146" s="65">
        <v>3694.33</v>
      </c>
      <c r="U146" s="3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7"/>
      <c r="B147" s="386"/>
      <c r="C147" s="386"/>
      <c r="D147" s="386"/>
      <c r="E147" s="386"/>
      <c r="F147" s="235" t="s">
        <v>321</v>
      </c>
      <c r="G147" s="252" t="s">
        <v>28</v>
      </c>
      <c r="H147" s="151">
        <v>5</v>
      </c>
      <c r="I147" s="139"/>
      <c r="J147" s="139"/>
      <c r="K147" s="142"/>
      <c r="L147" s="143"/>
      <c r="M147" s="142">
        <f t="shared" si="0"/>
        <v>0</v>
      </c>
      <c r="N147" s="142"/>
      <c r="O147" s="45"/>
      <c r="P147" s="157">
        <v>4</v>
      </c>
      <c r="Q147" s="158">
        <v>8625.2900000000009</v>
      </c>
      <c r="R147" s="51"/>
      <c r="S147" s="50">
        <f t="shared" si="4"/>
        <v>6224.04</v>
      </c>
      <c r="T147" s="142"/>
      <c r="U147" s="45">
        <f>6224.04</f>
        <v>6224.04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18"/>
      <c r="I148" s="57"/>
      <c r="J148" s="57"/>
      <c r="K148" s="43"/>
      <c r="L148" s="44"/>
      <c r="M148" s="43">
        <f t="shared" si="0"/>
        <v>0</v>
      </c>
      <c r="N148" s="43"/>
      <c r="O148" s="41"/>
      <c r="P148" s="103"/>
      <c r="Q148" s="43"/>
      <c r="R148" s="44"/>
      <c r="S148" s="43">
        <f t="shared" si="4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137</v>
      </c>
      <c r="C149" s="377" t="s">
        <v>39</v>
      </c>
      <c r="D149" s="374" t="s">
        <v>322</v>
      </c>
      <c r="E149" s="377" t="s">
        <v>27</v>
      </c>
      <c r="F149" s="232" t="s">
        <v>323</v>
      </c>
      <c r="G149" s="23" t="s">
        <v>24</v>
      </c>
      <c r="H149" s="24">
        <v>4</v>
      </c>
      <c r="I149" s="62">
        <v>1</v>
      </c>
      <c r="J149" s="62">
        <v>1</v>
      </c>
      <c r="K149" s="30">
        <v>947.05</v>
      </c>
      <c r="L149" s="27"/>
      <c r="M149" s="26">
        <f t="shared" si="0"/>
        <v>0</v>
      </c>
      <c r="N149" s="26"/>
      <c r="O149" s="31"/>
      <c r="P149" s="53">
        <v>1</v>
      </c>
      <c r="Q149" s="30">
        <v>576.29999999999995</v>
      </c>
      <c r="R149" s="27"/>
      <c r="S149" s="26">
        <f t="shared" si="4"/>
        <v>576.29999999999995</v>
      </c>
      <c r="T149" s="26"/>
      <c r="U149" s="225">
        <v>576.29999999999995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80"/>
      <c r="F150" s="220" t="s">
        <v>241</v>
      </c>
      <c r="G150" s="35" t="s">
        <v>28</v>
      </c>
      <c r="H150" s="66">
        <v>4</v>
      </c>
      <c r="I150" s="38"/>
      <c r="J150" s="38"/>
      <c r="K150" s="39"/>
      <c r="L150" s="40"/>
      <c r="M150" s="39">
        <f t="shared" si="0"/>
        <v>0</v>
      </c>
      <c r="N150" s="39"/>
      <c r="O150" s="41"/>
      <c r="P150" s="115">
        <v>2</v>
      </c>
      <c r="Q150" s="68">
        <v>3265.7</v>
      </c>
      <c r="R150" s="40"/>
      <c r="S150" s="39">
        <f t="shared" si="4"/>
        <v>0</v>
      </c>
      <c r="T150" s="39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138</v>
      </c>
      <c r="C151" s="374" t="s">
        <v>22</v>
      </c>
      <c r="D151" s="374"/>
      <c r="E151" s="374" t="s">
        <v>27</v>
      </c>
      <c r="F151" s="204" t="s">
        <v>324</v>
      </c>
      <c r="G151" s="176" t="s">
        <v>24</v>
      </c>
      <c r="H151" s="151">
        <v>2</v>
      </c>
      <c r="I151" s="203">
        <v>1</v>
      </c>
      <c r="J151" s="203">
        <v>1</v>
      </c>
      <c r="K151" s="65">
        <v>576.29999999999995</v>
      </c>
      <c r="L151" s="51"/>
      <c r="M151" s="50">
        <f t="shared" si="0"/>
        <v>0</v>
      </c>
      <c r="N151" s="50"/>
      <c r="O151" s="31"/>
      <c r="P151" s="108">
        <v>8</v>
      </c>
      <c r="Q151" s="65">
        <v>16335.71</v>
      </c>
      <c r="R151" s="51"/>
      <c r="S151" s="50">
        <f t="shared" si="4"/>
        <v>11686.89</v>
      </c>
      <c r="T151" s="50"/>
      <c r="U151" s="225">
        <v>11686.89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242</v>
      </c>
      <c r="G152" s="229" t="s">
        <v>28</v>
      </c>
      <c r="H152" s="133">
        <v>6</v>
      </c>
      <c r="I152" s="130">
        <v>1</v>
      </c>
      <c r="J152" s="130">
        <v>1</v>
      </c>
      <c r="K152" s="114">
        <v>1344.7</v>
      </c>
      <c r="L152" s="44"/>
      <c r="M152" s="43">
        <f t="shared" si="0"/>
        <v>0</v>
      </c>
      <c r="N152" s="43"/>
      <c r="O152" s="41"/>
      <c r="P152" s="113">
        <v>3</v>
      </c>
      <c r="Q152" s="114">
        <v>7203.75</v>
      </c>
      <c r="R152" s="44"/>
      <c r="S152" s="43">
        <f t="shared" si="4"/>
        <v>4802.5</v>
      </c>
      <c r="T152" s="43"/>
      <c r="U152" s="41">
        <f>4802.5</f>
        <v>4802.5</v>
      </c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139</v>
      </c>
      <c r="C153" s="374" t="s">
        <v>22</v>
      </c>
      <c r="D153" s="374"/>
      <c r="E153" s="374" t="s">
        <v>67</v>
      </c>
      <c r="F153" s="232" t="s">
        <v>325</v>
      </c>
      <c r="G153" s="23" t="s">
        <v>24</v>
      </c>
      <c r="H153" s="151">
        <v>4</v>
      </c>
      <c r="I153" s="62">
        <v>3</v>
      </c>
      <c r="J153" s="62">
        <v>3</v>
      </c>
      <c r="K153" s="30">
        <v>6365.22</v>
      </c>
      <c r="L153" s="27"/>
      <c r="M153" s="26">
        <f t="shared" si="0"/>
        <v>0</v>
      </c>
      <c r="N153" s="26"/>
      <c r="O153" s="31"/>
      <c r="P153" s="53">
        <v>9</v>
      </c>
      <c r="Q153" s="30">
        <v>20468.02</v>
      </c>
      <c r="R153" s="27"/>
      <c r="S153" s="26">
        <f t="shared" si="4"/>
        <v>5290.28</v>
      </c>
      <c r="T153" s="26"/>
      <c r="U153" s="225">
        <v>5290.28</v>
      </c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221" t="s">
        <v>326</v>
      </c>
      <c r="G154" s="55" t="s">
        <v>28</v>
      </c>
      <c r="H154" s="112">
        <v>4</v>
      </c>
      <c r="I154" s="57"/>
      <c r="J154" s="57"/>
      <c r="K154" s="43"/>
      <c r="L154" s="44"/>
      <c r="M154" s="43">
        <f t="shared" si="0"/>
        <v>0</v>
      </c>
      <c r="N154" s="43"/>
      <c r="O154" s="45"/>
      <c r="P154" s="113">
        <v>2</v>
      </c>
      <c r="Q154" s="114">
        <v>3976.1</v>
      </c>
      <c r="R154" s="44"/>
      <c r="S154" s="43">
        <f t="shared" si="4"/>
        <v>6269.7</v>
      </c>
      <c r="T154" s="43"/>
      <c r="U154" s="45">
        <f>6269.7</f>
        <v>6269.7</v>
      </c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140</v>
      </c>
      <c r="C155" s="374"/>
      <c r="D155" s="374"/>
      <c r="E155" s="374"/>
      <c r="F155" s="60"/>
      <c r="G155" s="23" t="s">
        <v>24</v>
      </c>
      <c r="H155" s="24">
        <v>2</v>
      </c>
      <c r="I155" s="62">
        <v>1</v>
      </c>
      <c r="J155" s="62">
        <v>1</v>
      </c>
      <c r="K155" s="30">
        <v>1045.98</v>
      </c>
      <c r="L155" s="27"/>
      <c r="M155" s="26">
        <f t="shared" si="0"/>
        <v>0</v>
      </c>
      <c r="N155" s="26"/>
      <c r="O155" s="159"/>
      <c r="P155" s="53">
        <v>3</v>
      </c>
      <c r="Q155" s="30">
        <v>20168.78</v>
      </c>
      <c r="R155" s="27"/>
      <c r="S155" s="26">
        <f t="shared" si="4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220" t="s">
        <v>243</v>
      </c>
      <c r="G156" s="35" t="s">
        <v>28</v>
      </c>
      <c r="H156" s="66">
        <v>4</v>
      </c>
      <c r="I156" s="37">
        <v>1</v>
      </c>
      <c r="J156" s="37">
        <v>1</v>
      </c>
      <c r="K156" s="68">
        <v>1728</v>
      </c>
      <c r="L156" s="40"/>
      <c r="M156" s="39">
        <f t="shared" si="0"/>
        <v>0</v>
      </c>
      <c r="N156" s="39"/>
      <c r="O156" s="58"/>
      <c r="P156" s="115">
        <v>2</v>
      </c>
      <c r="Q156" s="68">
        <v>2420.46</v>
      </c>
      <c r="R156" s="40"/>
      <c r="S156" s="39">
        <f t="shared" si="4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141</v>
      </c>
      <c r="C157" s="381" t="s">
        <v>22</v>
      </c>
      <c r="D157" s="381"/>
      <c r="E157" s="381" t="s">
        <v>27</v>
      </c>
      <c r="F157" s="127"/>
      <c r="G157" s="47" t="s">
        <v>24</v>
      </c>
      <c r="H157" s="151">
        <v>2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1</v>
      </c>
      <c r="Q157" s="65">
        <v>2497.3000000000002</v>
      </c>
      <c r="R157" s="51"/>
      <c r="S157" s="50">
        <f t="shared" si="4"/>
        <v>0</v>
      </c>
      <c r="T157" s="50"/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54"/>
      <c r="G158" s="55" t="s">
        <v>28</v>
      </c>
      <c r="H158" s="118"/>
      <c r="I158" s="57"/>
      <c r="J158" s="57"/>
      <c r="K158" s="43"/>
      <c r="L158" s="44"/>
      <c r="M158" s="43">
        <f t="shared" si="0"/>
        <v>0</v>
      </c>
      <c r="N158" s="43"/>
      <c r="O158" s="45"/>
      <c r="P158" s="103"/>
      <c r="Q158" s="43"/>
      <c r="R158" s="44"/>
      <c r="S158" s="43">
        <f t="shared" si="4"/>
        <v>0</v>
      </c>
      <c r="T158" s="43"/>
      <c r="U158" s="4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142</v>
      </c>
      <c r="C159" s="374"/>
      <c r="D159" s="374"/>
      <c r="E159" s="374" t="s">
        <v>27</v>
      </c>
      <c r="F159" s="22"/>
      <c r="G159" s="23" t="s">
        <v>24</v>
      </c>
      <c r="H159" s="24">
        <v>2</v>
      </c>
      <c r="I159" s="62">
        <v>2</v>
      </c>
      <c r="J159" s="62">
        <v>2</v>
      </c>
      <c r="K159" s="30">
        <v>524.91</v>
      </c>
      <c r="L159" s="27"/>
      <c r="M159" s="26">
        <f t="shared" si="0"/>
        <v>0</v>
      </c>
      <c r="N159" s="26"/>
      <c r="O159" s="28"/>
      <c r="P159" s="53">
        <v>1</v>
      </c>
      <c r="Q159" s="30">
        <v>412.05</v>
      </c>
      <c r="R159" s="27"/>
      <c r="S159" s="26">
        <f t="shared" si="4"/>
        <v>0</v>
      </c>
      <c r="T159" s="26"/>
      <c r="U159" s="2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35" t="s">
        <v>28</v>
      </c>
      <c r="H160" s="36"/>
      <c r="I160" s="38"/>
      <c r="J160" s="38"/>
      <c r="K160" s="39"/>
      <c r="L160" s="40"/>
      <c r="M160" s="39">
        <f t="shared" si="0"/>
        <v>0</v>
      </c>
      <c r="N160" s="39"/>
      <c r="O160" s="41"/>
      <c r="P160" s="59"/>
      <c r="Q160" s="39"/>
      <c r="R160" s="40"/>
      <c r="S160" s="39">
        <f t="shared" si="4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2"/>
      <c r="B161" s="381" t="s">
        <v>143</v>
      </c>
      <c r="C161" s="381" t="s">
        <v>39</v>
      </c>
      <c r="D161" s="381" t="s">
        <v>327</v>
      </c>
      <c r="E161" s="381" t="s">
        <v>145</v>
      </c>
      <c r="F161" s="223" t="s">
        <v>215</v>
      </c>
      <c r="G161" s="47" t="s">
        <v>24</v>
      </c>
      <c r="H161" s="151">
        <v>2</v>
      </c>
      <c r="I161" s="49"/>
      <c r="J161" s="49"/>
      <c r="K161" s="50"/>
      <c r="L161" s="51"/>
      <c r="M161" s="50">
        <f t="shared" si="0"/>
        <v>0</v>
      </c>
      <c r="N161" s="50"/>
      <c r="O161" s="31"/>
      <c r="P161" s="108">
        <v>10</v>
      </c>
      <c r="Q161" s="65">
        <v>34619.06</v>
      </c>
      <c r="R161" s="224">
        <v>4</v>
      </c>
      <c r="S161" s="50">
        <f t="shared" si="4"/>
        <v>16502.04</v>
      </c>
      <c r="T161" s="65">
        <v>14714.18</v>
      </c>
      <c r="U161" s="225">
        <v>1787.86</v>
      </c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9"/>
      <c r="B162" s="380"/>
      <c r="C162" s="380"/>
      <c r="D162" s="380"/>
      <c r="E162" s="380"/>
      <c r="F162" s="233" t="s">
        <v>244</v>
      </c>
      <c r="G162" s="227" t="s">
        <v>28</v>
      </c>
      <c r="H162" s="133">
        <v>5</v>
      </c>
      <c r="I162" s="130">
        <v>1</v>
      </c>
      <c r="J162" s="130">
        <v>1</v>
      </c>
      <c r="K162" s="114">
        <v>2497.3000000000002</v>
      </c>
      <c r="L162" s="128"/>
      <c r="M162" s="50">
        <f t="shared" si="0"/>
        <v>0</v>
      </c>
      <c r="N162" s="43"/>
      <c r="O162" s="41"/>
      <c r="P162" s="113">
        <v>1</v>
      </c>
      <c r="Q162" s="114">
        <v>5426.7</v>
      </c>
      <c r="R162" s="44"/>
      <c r="S162" s="43">
        <f t="shared" si="4"/>
        <v>576.29999999999995</v>
      </c>
      <c r="T162" s="43"/>
      <c r="U162" s="41">
        <f>576.3</f>
        <v>576.29999999999995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146</v>
      </c>
      <c r="C163" s="374" t="s">
        <v>39</v>
      </c>
      <c r="D163" s="374" t="s">
        <v>328</v>
      </c>
      <c r="E163" s="374" t="s">
        <v>27</v>
      </c>
      <c r="F163" s="204" t="s">
        <v>329</v>
      </c>
      <c r="G163" s="176" t="s">
        <v>24</v>
      </c>
      <c r="H163" s="48">
        <v>1</v>
      </c>
      <c r="I163" s="62">
        <v>1</v>
      </c>
      <c r="J163" s="62">
        <v>1</v>
      </c>
      <c r="K163" s="30">
        <v>1477.25</v>
      </c>
      <c r="L163" s="27"/>
      <c r="M163" s="26">
        <f t="shared" si="0"/>
        <v>0</v>
      </c>
      <c r="N163" s="26"/>
      <c r="O163" s="31"/>
      <c r="P163" s="53">
        <v>8</v>
      </c>
      <c r="Q163" s="30">
        <v>17730.189999999999</v>
      </c>
      <c r="R163" s="27"/>
      <c r="S163" s="26">
        <f t="shared" si="4"/>
        <v>1267.8599999999999</v>
      </c>
      <c r="T163" s="26"/>
      <c r="U163" s="225">
        <v>1267.8599999999999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20" t="s">
        <v>330</v>
      </c>
      <c r="G164" s="229" t="s">
        <v>28</v>
      </c>
      <c r="H164" s="153">
        <v>1</v>
      </c>
      <c r="I164" s="57"/>
      <c r="J164" s="57"/>
      <c r="K164" s="43"/>
      <c r="L164" s="44"/>
      <c r="M164" s="43">
        <f t="shared" si="0"/>
        <v>0</v>
      </c>
      <c r="N164" s="43"/>
      <c r="O164" s="41"/>
      <c r="P164" s="115">
        <v>3</v>
      </c>
      <c r="Q164" s="68">
        <v>16520.599999999999</v>
      </c>
      <c r="R164" s="40"/>
      <c r="S164" s="39">
        <f t="shared" si="4"/>
        <v>576.29999999999995</v>
      </c>
      <c r="T164" s="39"/>
      <c r="U164" s="41">
        <f>576.3</f>
        <v>576.29999999999995</v>
      </c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148</v>
      </c>
      <c r="C165" s="374" t="s">
        <v>39</v>
      </c>
      <c r="D165" s="374" t="s">
        <v>149</v>
      </c>
      <c r="E165" s="374" t="s">
        <v>27</v>
      </c>
      <c r="F165" s="232" t="s">
        <v>218</v>
      </c>
      <c r="G165" s="23" t="s">
        <v>24</v>
      </c>
      <c r="H165" s="48">
        <v>11</v>
      </c>
      <c r="I165" s="62">
        <v>6</v>
      </c>
      <c r="J165" s="204">
        <v>7</v>
      </c>
      <c r="K165" s="30">
        <v>8823.5400000000009</v>
      </c>
      <c r="L165" s="27"/>
      <c r="M165" s="26">
        <f t="shared" si="0"/>
        <v>0</v>
      </c>
      <c r="N165" s="26"/>
      <c r="O165" s="31"/>
      <c r="P165" s="108">
        <v>18</v>
      </c>
      <c r="Q165" s="65">
        <v>51516.03</v>
      </c>
      <c r="R165" s="224">
        <v>5</v>
      </c>
      <c r="S165" s="50">
        <f t="shared" si="4"/>
        <v>17249.09</v>
      </c>
      <c r="T165" s="65">
        <v>17249.09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47"/>
      <c r="G166" s="227" t="s">
        <v>28</v>
      </c>
      <c r="H166" s="292">
        <v>1</v>
      </c>
      <c r="I166" s="261"/>
      <c r="J166" s="261"/>
      <c r="K166" s="211"/>
      <c r="L166" s="210"/>
      <c r="M166" s="211">
        <f t="shared" si="0"/>
        <v>0</v>
      </c>
      <c r="N166" s="211"/>
      <c r="O166" s="212"/>
      <c r="P166" s="262">
        <v>1</v>
      </c>
      <c r="Q166" s="209">
        <v>576.29999999999995</v>
      </c>
      <c r="R166" s="210"/>
      <c r="S166" s="211">
        <f t="shared" si="4"/>
        <v>1921</v>
      </c>
      <c r="T166" s="211"/>
      <c r="U166" s="212">
        <f>1921</f>
        <v>1921</v>
      </c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373</v>
      </c>
      <c r="C167" s="374"/>
      <c r="D167" s="374"/>
      <c r="E167" s="374"/>
      <c r="F167" s="22"/>
      <c r="G167" s="213" t="s">
        <v>24</v>
      </c>
      <c r="H167" s="104"/>
      <c r="I167" s="25"/>
      <c r="J167" s="25"/>
      <c r="K167" s="162"/>
      <c r="L167" s="163"/>
      <c r="M167" s="162">
        <f t="shared" si="0"/>
        <v>0</v>
      </c>
      <c r="N167" s="162"/>
      <c r="O167" s="28"/>
      <c r="P167" s="275"/>
      <c r="Q167" s="26"/>
      <c r="R167" s="27"/>
      <c r="S167" s="26">
        <f t="shared" si="4"/>
        <v>0</v>
      </c>
      <c r="T167" s="26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215" t="s">
        <v>28</v>
      </c>
      <c r="H168" s="117">
        <v>2</v>
      </c>
      <c r="I168" s="38"/>
      <c r="J168" s="38"/>
      <c r="K168" s="164"/>
      <c r="L168" s="165"/>
      <c r="M168" s="164">
        <f t="shared" si="0"/>
        <v>0</v>
      </c>
      <c r="N168" s="164"/>
      <c r="O168" s="41"/>
      <c r="P168" s="276"/>
      <c r="Q168" s="39"/>
      <c r="R168" s="40"/>
      <c r="S168" s="39">
        <f t="shared" si="4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6"/>
      <c r="B169" s="402" t="s">
        <v>150</v>
      </c>
      <c r="C169" s="377" t="s">
        <v>39</v>
      </c>
      <c r="D169" s="377" t="s">
        <v>151</v>
      </c>
      <c r="E169" s="377" t="s">
        <v>152</v>
      </c>
      <c r="F169" s="72"/>
      <c r="G169" s="95" t="s">
        <v>24</v>
      </c>
      <c r="H169" s="74"/>
      <c r="I169" s="96"/>
      <c r="J169" s="96"/>
      <c r="K169" s="293"/>
      <c r="L169" s="294"/>
      <c r="M169" s="293">
        <f t="shared" si="0"/>
        <v>0</v>
      </c>
      <c r="N169" s="293"/>
      <c r="O169" s="82"/>
      <c r="P169" s="295"/>
      <c r="Q169" s="81"/>
      <c r="R169" s="80"/>
      <c r="S169" s="81">
        <f t="shared" si="4"/>
        <v>0</v>
      </c>
      <c r="T169" s="81"/>
      <c r="U169" s="82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89"/>
      <c r="C170" s="375"/>
      <c r="D170" s="375"/>
      <c r="E170" s="375"/>
      <c r="F170" s="220" t="s">
        <v>331</v>
      </c>
      <c r="G170" s="35" t="s">
        <v>25</v>
      </c>
      <c r="H170" s="106"/>
      <c r="I170" s="38"/>
      <c r="J170" s="38"/>
      <c r="K170" s="164"/>
      <c r="L170" s="165"/>
      <c r="M170" s="164">
        <f t="shared" si="0"/>
        <v>0</v>
      </c>
      <c r="N170" s="164"/>
      <c r="O170" s="41"/>
      <c r="P170" s="67">
        <v>3</v>
      </c>
      <c r="Q170" s="68">
        <v>10841.33</v>
      </c>
      <c r="R170" s="285">
        <v>3</v>
      </c>
      <c r="S170" s="68">
        <v>10841.33</v>
      </c>
      <c r="T170" s="68">
        <v>10841.33</v>
      </c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82"/>
      <c r="B171" s="381" t="s">
        <v>153</v>
      </c>
      <c r="C171" s="374" t="s">
        <v>39</v>
      </c>
      <c r="D171" s="381" t="s">
        <v>332</v>
      </c>
      <c r="E171" s="381" t="s">
        <v>27</v>
      </c>
      <c r="F171" s="223" t="s">
        <v>333</v>
      </c>
      <c r="G171" s="47" t="s">
        <v>24</v>
      </c>
      <c r="H171" s="48">
        <v>5</v>
      </c>
      <c r="I171" s="203">
        <v>3</v>
      </c>
      <c r="J171" s="203">
        <v>3</v>
      </c>
      <c r="K171" s="242">
        <v>5772.22</v>
      </c>
      <c r="L171" s="167"/>
      <c r="M171" s="166">
        <f t="shared" si="0"/>
        <v>0</v>
      </c>
      <c r="N171" s="166"/>
      <c r="O171" s="31"/>
      <c r="P171" s="108">
        <v>5</v>
      </c>
      <c r="Q171" s="65">
        <v>16635.98</v>
      </c>
      <c r="R171" s="51"/>
      <c r="S171" s="50">
        <f t="shared" ref="S171:S190" si="5">T171+U171</f>
        <v>15452.64</v>
      </c>
      <c r="T171" s="50"/>
      <c r="U171" s="225">
        <v>15452.64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9"/>
      <c r="B172" s="380"/>
      <c r="C172" s="375"/>
      <c r="D172" s="380"/>
      <c r="E172" s="380"/>
      <c r="F172" s="34"/>
      <c r="G172" s="35" t="s">
        <v>28</v>
      </c>
      <c r="H172" s="111"/>
      <c r="I172" s="57"/>
      <c r="J172" s="57"/>
      <c r="K172" s="43"/>
      <c r="L172" s="44"/>
      <c r="M172" s="43">
        <f t="shared" si="0"/>
        <v>0</v>
      </c>
      <c r="N172" s="43"/>
      <c r="O172" s="41"/>
      <c r="P172" s="103"/>
      <c r="Q172" s="43"/>
      <c r="R172" s="44"/>
      <c r="S172" s="43">
        <f t="shared" si="5"/>
        <v>1921</v>
      </c>
      <c r="T172" s="43"/>
      <c r="U172" s="41">
        <f>1921</f>
        <v>1921</v>
      </c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155</v>
      </c>
      <c r="C173" s="374" t="s">
        <v>22</v>
      </c>
      <c r="D173" s="374"/>
      <c r="E173" s="374" t="s">
        <v>37</v>
      </c>
      <c r="F173" s="223" t="s">
        <v>245</v>
      </c>
      <c r="G173" s="23" t="s">
        <v>24</v>
      </c>
      <c r="H173" s="48">
        <v>3</v>
      </c>
      <c r="I173" s="25"/>
      <c r="J173" s="25"/>
      <c r="K173" s="26"/>
      <c r="L173" s="27"/>
      <c r="M173" s="26">
        <f t="shared" si="0"/>
        <v>0</v>
      </c>
      <c r="N173" s="26"/>
      <c r="O173" s="31"/>
      <c r="P173" s="53">
        <v>4</v>
      </c>
      <c r="Q173" s="30">
        <v>10125.48</v>
      </c>
      <c r="R173" s="205">
        <v>1</v>
      </c>
      <c r="S173" s="26">
        <f t="shared" si="5"/>
        <v>3759.09</v>
      </c>
      <c r="T173" s="30">
        <v>3759.09</v>
      </c>
      <c r="U173" s="225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105"/>
      <c r="G174" s="35" t="s">
        <v>28</v>
      </c>
      <c r="H174" s="116"/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5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156</v>
      </c>
      <c r="C175" s="381" t="s">
        <v>22</v>
      </c>
      <c r="D175" s="385"/>
      <c r="E175" s="381" t="s">
        <v>27</v>
      </c>
      <c r="F175" s="126"/>
      <c r="G175" s="23" t="s">
        <v>24</v>
      </c>
      <c r="H175" s="98"/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</v>
      </c>
      <c r="Q175" s="65">
        <v>11832.5</v>
      </c>
      <c r="R175" s="51"/>
      <c r="S175" s="50">
        <f t="shared" si="5"/>
        <v>0</v>
      </c>
      <c r="T175" s="50"/>
      <c r="U175" s="3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54"/>
      <c r="G176" s="55" t="s">
        <v>28</v>
      </c>
      <c r="H176" s="118"/>
      <c r="I176" s="57"/>
      <c r="J176" s="57"/>
      <c r="K176" s="43"/>
      <c r="L176" s="44"/>
      <c r="M176" s="43">
        <f t="shared" si="0"/>
        <v>0</v>
      </c>
      <c r="N176" s="43"/>
      <c r="O176" s="41"/>
      <c r="P176" s="103"/>
      <c r="Q176" s="43"/>
      <c r="R176" s="44"/>
      <c r="S176" s="43">
        <f t="shared" si="5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157</v>
      </c>
      <c r="C177" s="390"/>
      <c r="D177" s="374"/>
      <c r="E177" s="374"/>
      <c r="F177" s="22"/>
      <c r="G177" s="23" t="s">
        <v>24</v>
      </c>
      <c r="H177" s="104"/>
      <c r="I177" s="25"/>
      <c r="J177" s="25"/>
      <c r="K177" s="26"/>
      <c r="L177" s="27"/>
      <c r="M177" s="26">
        <f t="shared" si="0"/>
        <v>0</v>
      </c>
      <c r="N177" s="26"/>
      <c r="O177" s="31"/>
      <c r="P177" s="120"/>
      <c r="Q177" s="26"/>
      <c r="R177" s="27"/>
      <c r="S177" s="26">
        <f t="shared" si="5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34"/>
      <c r="G178" s="35" t="s">
        <v>28</v>
      </c>
      <c r="H178" s="106"/>
      <c r="I178" s="38"/>
      <c r="J178" s="38"/>
      <c r="K178" s="39"/>
      <c r="L178" s="40"/>
      <c r="M178" s="39">
        <f t="shared" si="0"/>
        <v>0</v>
      </c>
      <c r="N178" s="39"/>
      <c r="O178" s="41"/>
      <c r="P178" s="69"/>
      <c r="Q178" s="39"/>
      <c r="R178" s="40"/>
      <c r="S178" s="39">
        <f t="shared" si="5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158</v>
      </c>
      <c r="C179" s="374" t="s">
        <v>39</v>
      </c>
      <c r="D179" s="374" t="s">
        <v>288</v>
      </c>
      <c r="E179" s="374" t="s">
        <v>27</v>
      </c>
      <c r="F179" s="204" t="s">
        <v>289</v>
      </c>
      <c r="G179" s="176" t="s">
        <v>24</v>
      </c>
      <c r="H179" s="48">
        <v>7</v>
      </c>
      <c r="I179" s="203">
        <v>5</v>
      </c>
      <c r="J179" s="203">
        <v>5</v>
      </c>
      <c r="K179" s="65">
        <v>7557.22</v>
      </c>
      <c r="L179" s="51"/>
      <c r="M179" s="50">
        <f t="shared" si="0"/>
        <v>0</v>
      </c>
      <c r="N179" s="50"/>
      <c r="O179" s="31"/>
      <c r="P179" s="108">
        <v>5</v>
      </c>
      <c r="Q179" s="65">
        <v>8066.29</v>
      </c>
      <c r="R179" s="51"/>
      <c r="S179" s="50">
        <f t="shared" si="5"/>
        <v>2627.93</v>
      </c>
      <c r="T179" s="50"/>
      <c r="U179" s="225">
        <v>2627.93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220" t="s">
        <v>334</v>
      </c>
      <c r="G180" s="229" t="s">
        <v>28</v>
      </c>
      <c r="H180" s="117">
        <v>1</v>
      </c>
      <c r="I180" s="38"/>
      <c r="J180" s="38"/>
      <c r="K180" s="39"/>
      <c r="L180" s="40"/>
      <c r="M180" s="39">
        <f t="shared" si="0"/>
        <v>0</v>
      </c>
      <c r="N180" s="39"/>
      <c r="O180" s="41"/>
      <c r="P180" s="59"/>
      <c r="Q180" s="39"/>
      <c r="R180" s="40"/>
      <c r="S180" s="39">
        <f t="shared" si="5"/>
        <v>1152.5999999999999</v>
      </c>
      <c r="T180" s="39"/>
      <c r="U180" s="41">
        <f>1152.6</f>
        <v>1152.5999999999999</v>
      </c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6"/>
      <c r="B181" s="377" t="s">
        <v>159</v>
      </c>
      <c r="C181" s="377" t="s">
        <v>22</v>
      </c>
      <c r="D181" s="377"/>
      <c r="E181" s="377" t="s">
        <v>160</v>
      </c>
      <c r="F181" s="232" t="s">
        <v>246</v>
      </c>
      <c r="G181" s="95" t="s">
        <v>24</v>
      </c>
      <c r="H181" s="48">
        <v>3</v>
      </c>
      <c r="I181" s="203">
        <v>2</v>
      </c>
      <c r="J181" s="203">
        <v>2</v>
      </c>
      <c r="K181" s="65">
        <v>2313.84</v>
      </c>
      <c r="L181" s="51"/>
      <c r="M181" s="50">
        <f t="shared" si="0"/>
        <v>0</v>
      </c>
      <c r="N181" s="50"/>
      <c r="O181" s="31"/>
      <c r="P181" s="108">
        <v>20</v>
      </c>
      <c r="Q181" s="65">
        <v>30855.19</v>
      </c>
      <c r="R181" s="224">
        <v>9</v>
      </c>
      <c r="S181" s="50">
        <f t="shared" si="5"/>
        <v>12661.42</v>
      </c>
      <c r="T181" s="65">
        <v>12661.42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54"/>
      <c r="G182" s="55" t="s">
        <v>28</v>
      </c>
      <c r="H182" s="112">
        <v>2</v>
      </c>
      <c r="I182" s="130">
        <v>1</v>
      </c>
      <c r="J182" s="130">
        <v>1</v>
      </c>
      <c r="K182" s="114">
        <v>1056.55</v>
      </c>
      <c r="L182" s="128"/>
      <c r="M182" s="50">
        <f t="shared" si="0"/>
        <v>0</v>
      </c>
      <c r="N182" s="43"/>
      <c r="O182" s="41"/>
      <c r="P182" s="113">
        <v>3</v>
      </c>
      <c r="Q182" s="114">
        <v>5551.69</v>
      </c>
      <c r="R182" s="44"/>
      <c r="S182" s="43">
        <f t="shared" si="5"/>
        <v>0</v>
      </c>
      <c r="T182" s="43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161</v>
      </c>
      <c r="C183" s="374"/>
      <c r="D183" s="374"/>
      <c r="E183" s="374"/>
      <c r="F183" s="60"/>
      <c r="G183" s="23" t="s">
        <v>24</v>
      </c>
      <c r="H183" s="24">
        <v>3</v>
      </c>
      <c r="I183" s="25"/>
      <c r="J183" s="25"/>
      <c r="K183" s="26"/>
      <c r="L183" s="27"/>
      <c r="M183" s="26">
        <f t="shared" si="0"/>
        <v>0</v>
      </c>
      <c r="N183" s="26"/>
      <c r="O183" s="31"/>
      <c r="P183" s="53">
        <v>3</v>
      </c>
      <c r="Q183" s="30">
        <v>8280.19</v>
      </c>
      <c r="R183" s="27"/>
      <c r="S183" s="26">
        <f t="shared" si="5"/>
        <v>0</v>
      </c>
      <c r="T183" s="26"/>
      <c r="U183" s="3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92"/>
      <c r="F184" s="34"/>
      <c r="G184" s="35" t="s">
        <v>28</v>
      </c>
      <c r="H184" s="66">
        <v>4</v>
      </c>
      <c r="I184" s="38"/>
      <c r="J184" s="38"/>
      <c r="K184" s="39"/>
      <c r="L184" s="40"/>
      <c r="M184" s="39">
        <f t="shared" si="0"/>
        <v>0</v>
      </c>
      <c r="N184" s="39"/>
      <c r="O184" s="41"/>
      <c r="P184" s="59"/>
      <c r="Q184" s="39"/>
      <c r="R184" s="40"/>
      <c r="S184" s="39">
        <f t="shared" si="5"/>
        <v>0</v>
      </c>
      <c r="T184" s="39"/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162</v>
      </c>
      <c r="C185" s="381" t="s">
        <v>39</v>
      </c>
      <c r="D185" s="381" t="s">
        <v>163</v>
      </c>
      <c r="E185" s="374" t="s">
        <v>27</v>
      </c>
      <c r="F185" s="135"/>
      <c r="G185" s="47" t="s">
        <v>24</v>
      </c>
      <c r="H185" s="98"/>
      <c r="I185" s="49"/>
      <c r="J185" s="49"/>
      <c r="K185" s="50"/>
      <c r="L185" s="51"/>
      <c r="M185" s="50">
        <f t="shared" si="0"/>
        <v>0</v>
      </c>
      <c r="N185" s="50"/>
      <c r="O185" s="31"/>
      <c r="P185" s="123"/>
      <c r="Q185" s="50"/>
      <c r="R185" s="51"/>
      <c r="S185" s="50">
        <f t="shared" si="5"/>
        <v>0</v>
      </c>
      <c r="T185" s="50"/>
      <c r="U185" s="3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7"/>
      <c r="B186" s="386"/>
      <c r="C186" s="386"/>
      <c r="D186" s="386"/>
      <c r="E186" s="386"/>
      <c r="F186" s="54"/>
      <c r="G186" s="47" t="s">
        <v>25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45"/>
      <c r="P186" s="123"/>
      <c r="Q186" s="50"/>
      <c r="R186" s="51"/>
      <c r="S186" s="50">
        <f t="shared" si="5"/>
        <v>0</v>
      </c>
      <c r="T186" s="50"/>
      <c r="U186" s="4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9"/>
      <c r="B187" s="380"/>
      <c r="C187" s="380"/>
      <c r="D187" s="380"/>
      <c r="E187" s="380"/>
      <c r="F187" s="54"/>
      <c r="G187" s="55" t="s">
        <v>28</v>
      </c>
      <c r="H187" s="116"/>
      <c r="I187" s="57"/>
      <c r="J187" s="57"/>
      <c r="K187" s="43"/>
      <c r="L187" s="44"/>
      <c r="M187" s="43">
        <f t="shared" si="0"/>
        <v>0</v>
      </c>
      <c r="N187" s="43"/>
      <c r="O187" s="41"/>
      <c r="P187" s="113">
        <v>1</v>
      </c>
      <c r="Q187" s="114">
        <v>4602.5</v>
      </c>
      <c r="R187" s="44"/>
      <c r="S187" s="43">
        <f t="shared" si="5"/>
        <v>4602.5</v>
      </c>
      <c r="T187" s="43"/>
      <c r="U187" s="234">
        <f>4602.5</f>
        <v>4602.5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164</v>
      </c>
      <c r="C188" s="374" t="s">
        <v>22</v>
      </c>
      <c r="D188" s="374"/>
      <c r="E188" s="374" t="s">
        <v>27</v>
      </c>
      <c r="F188" s="22"/>
      <c r="G188" s="23" t="s">
        <v>24</v>
      </c>
      <c r="H188" s="98"/>
      <c r="I188" s="25"/>
      <c r="J188" s="25"/>
      <c r="K188" s="26"/>
      <c r="L188" s="27"/>
      <c r="M188" s="26">
        <f t="shared" si="0"/>
        <v>0</v>
      </c>
      <c r="N188" s="26"/>
      <c r="O188" s="31"/>
      <c r="P188" s="99"/>
      <c r="Q188" s="26"/>
      <c r="R188" s="27"/>
      <c r="S188" s="26">
        <f t="shared" si="5"/>
        <v>0</v>
      </c>
      <c r="T188" s="26"/>
      <c r="U188" s="3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221" t="s">
        <v>335</v>
      </c>
      <c r="G189" s="55" t="s">
        <v>28</v>
      </c>
      <c r="H189" s="56">
        <v>2</v>
      </c>
      <c r="I189" s="57"/>
      <c r="J189" s="57"/>
      <c r="K189" s="43"/>
      <c r="L189" s="44"/>
      <c r="M189" s="43">
        <f t="shared" si="0"/>
        <v>0</v>
      </c>
      <c r="N189" s="43"/>
      <c r="O189" s="41"/>
      <c r="P189" s="113">
        <v>3</v>
      </c>
      <c r="Q189" s="114">
        <v>4898.55</v>
      </c>
      <c r="R189" s="44"/>
      <c r="S189" s="43">
        <f t="shared" si="5"/>
        <v>4034.1</v>
      </c>
      <c r="T189" s="43"/>
      <c r="U189" s="41">
        <f>4034.1</f>
        <v>4034.1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165</v>
      </c>
      <c r="C190" s="374"/>
      <c r="D190" s="374"/>
      <c r="E190" s="374"/>
      <c r="F190" s="22"/>
      <c r="G190" s="23" t="s">
        <v>24</v>
      </c>
      <c r="H190" s="119"/>
      <c r="I190" s="25"/>
      <c r="J190" s="25"/>
      <c r="K190" s="26"/>
      <c r="L190" s="27"/>
      <c r="M190" s="26">
        <f t="shared" si="0"/>
        <v>0</v>
      </c>
      <c r="N190" s="26"/>
      <c r="O190" s="31"/>
      <c r="P190" s="99"/>
      <c r="Q190" s="26"/>
      <c r="R190" s="27"/>
      <c r="S190" s="26">
        <f t="shared" si="5"/>
        <v>0</v>
      </c>
      <c r="T190" s="26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34"/>
      <c r="G191" s="35" t="s">
        <v>25</v>
      </c>
      <c r="H191" s="36"/>
      <c r="I191" s="38"/>
      <c r="J191" s="38"/>
      <c r="K191" s="39"/>
      <c r="L191" s="40"/>
      <c r="M191" s="39">
        <f t="shared" si="0"/>
        <v>0</v>
      </c>
      <c r="N191" s="39"/>
      <c r="O191" s="41"/>
      <c r="P191" s="115">
        <v>1</v>
      </c>
      <c r="Q191" s="68">
        <v>288.14999999999998</v>
      </c>
      <c r="R191" s="285">
        <v>1</v>
      </c>
      <c r="S191" s="68">
        <v>288.14999999999998</v>
      </c>
      <c r="T191" s="68">
        <v>288.14999999999998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166</v>
      </c>
      <c r="C192" s="381" t="s">
        <v>22</v>
      </c>
      <c r="D192" s="381"/>
      <c r="E192" s="381" t="s">
        <v>27</v>
      </c>
      <c r="F192" s="46"/>
      <c r="G192" s="47" t="s">
        <v>24</v>
      </c>
      <c r="H192" s="98"/>
      <c r="I192" s="49"/>
      <c r="J192" s="49"/>
      <c r="K192" s="50"/>
      <c r="L192" s="51"/>
      <c r="M192" s="50">
        <f t="shared" si="0"/>
        <v>0</v>
      </c>
      <c r="N192" s="50"/>
      <c r="O192" s="31"/>
      <c r="P192" s="108">
        <v>3</v>
      </c>
      <c r="Q192" s="65">
        <v>12689.15</v>
      </c>
      <c r="R192" s="51"/>
      <c r="S192" s="50">
        <f t="shared" ref="S192:S206" si="6">T192+U192</f>
        <v>0</v>
      </c>
      <c r="T192" s="50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26"/>
      <c r="G193" s="55" t="s">
        <v>28</v>
      </c>
      <c r="H193" s="118"/>
      <c r="I193" s="57"/>
      <c r="J193" s="57"/>
      <c r="K193" s="43"/>
      <c r="L193" s="44"/>
      <c r="M193" s="43">
        <f t="shared" si="0"/>
        <v>0</v>
      </c>
      <c r="N193" s="43"/>
      <c r="O193" s="45"/>
      <c r="P193" s="103"/>
      <c r="Q193" s="43"/>
      <c r="R193" s="44"/>
      <c r="S193" s="43">
        <f t="shared" si="6"/>
        <v>0</v>
      </c>
      <c r="T193" s="43"/>
      <c r="U193" s="4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168"/>
      <c r="B194" s="374" t="s">
        <v>167</v>
      </c>
      <c r="C194" s="169"/>
      <c r="D194" s="381" t="s">
        <v>168</v>
      </c>
      <c r="E194" s="169"/>
      <c r="F194" s="170"/>
      <c r="G194" s="23" t="s">
        <v>24</v>
      </c>
      <c r="H194" s="24">
        <v>1</v>
      </c>
      <c r="I194" s="62">
        <v>1</v>
      </c>
      <c r="J194" s="62">
        <v>1</v>
      </c>
      <c r="K194" s="30">
        <v>576.29999999999995</v>
      </c>
      <c r="L194" s="27"/>
      <c r="M194" s="26">
        <f t="shared" si="0"/>
        <v>0</v>
      </c>
      <c r="N194" s="26"/>
      <c r="O194" s="159"/>
      <c r="P194" s="99"/>
      <c r="Q194" s="26"/>
      <c r="R194" s="27"/>
      <c r="S194" s="26">
        <f t="shared" si="6"/>
        <v>0</v>
      </c>
      <c r="T194" s="26"/>
      <c r="U194" s="28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171"/>
      <c r="B195" s="375"/>
      <c r="C195" s="172"/>
      <c r="D195" s="375"/>
      <c r="E195" s="172"/>
      <c r="F195" s="240" t="s">
        <v>247</v>
      </c>
      <c r="G195" s="35" t="s">
        <v>28</v>
      </c>
      <c r="H195" s="66">
        <v>3</v>
      </c>
      <c r="I195" s="37"/>
      <c r="J195" s="37"/>
      <c r="K195" s="39"/>
      <c r="L195" s="40"/>
      <c r="M195" s="39">
        <f t="shared" si="0"/>
        <v>0</v>
      </c>
      <c r="N195" s="39"/>
      <c r="O195" s="58"/>
      <c r="P195" s="244">
        <v>2</v>
      </c>
      <c r="Q195" s="245">
        <v>5186.7</v>
      </c>
      <c r="R195" s="40"/>
      <c r="S195" s="39">
        <f t="shared" si="6"/>
        <v>4034.1</v>
      </c>
      <c r="T195" s="39"/>
      <c r="U195" s="41">
        <f>4034.1</f>
        <v>4034.1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169</v>
      </c>
      <c r="C196" s="374" t="s">
        <v>22</v>
      </c>
      <c r="D196" s="374"/>
      <c r="E196" s="374" t="s">
        <v>27</v>
      </c>
      <c r="F196" s="22"/>
      <c r="G196" s="176" t="s">
        <v>24</v>
      </c>
      <c r="H196" s="98"/>
      <c r="I196" s="49"/>
      <c r="J196" s="49"/>
      <c r="K196" s="50"/>
      <c r="L196" s="51"/>
      <c r="M196" s="50">
        <f t="shared" si="0"/>
        <v>0</v>
      </c>
      <c r="N196" s="50"/>
      <c r="O196" s="31"/>
      <c r="P196" s="123"/>
      <c r="Q196" s="50"/>
      <c r="R196" s="51"/>
      <c r="S196" s="50">
        <f t="shared" si="6"/>
        <v>0</v>
      </c>
      <c r="T196" s="50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220" t="s">
        <v>336</v>
      </c>
      <c r="G197" s="229" t="s">
        <v>28</v>
      </c>
      <c r="H197" s="153">
        <v>1</v>
      </c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128"/>
      <c r="S197" s="50">
        <f t="shared" si="6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170</v>
      </c>
      <c r="C198" s="374" t="s">
        <v>22</v>
      </c>
      <c r="D198" s="374"/>
      <c r="E198" s="374" t="s">
        <v>160</v>
      </c>
      <c r="F198" s="232" t="s">
        <v>248</v>
      </c>
      <c r="G198" s="23" t="s">
        <v>24</v>
      </c>
      <c r="H198" s="48">
        <v>4</v>
      </c>
      <c r="I198" s="62">
        <v>3</v>
      </c>
      <c r="J198" s="62">
        <v>4</v>
      </c>
      <c r="K198" s="30">
        <v>5413.52</v>
      </c>
      <c r="L198" s="27"/>
      <c r="M198" s="26">
        <f t="shared" si="0"/>
        <v>0</v>
      </c>
      <c r="N198" s="26"/>
      <c r="O198" s="31"/>
      <c r="P198" s="53">
        <v>13</v>
      </c>
      <c r="Q198" s="30">
        <v>34299.050000000003</v>
      </c>
      <c r="R198" s="205">
        <v>2</v>
      </c>
      <c r="S198" s="26">
        <f t="shared" si="6"/>
        <v>5534.4</v>
      </c>
      <c r="T198" s="30">
        <v>5534.4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105"/>
      <c r="G199" s="35" t="s">
        <v>28</v>
      </c>
      <c r="H199" s="116"/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6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171</v>
      </c>
      <c r="C200" s="374" t="s">
        <v>22</v>
      </c>
      <c r="D200" s="374"/>
      <c r="E200" s="374" t="s">
        <v>27</v>
      </c>
      <c r="F200" s="22"/>
      <c r="G200" s="176" t="s">
        <v>24</v>
      </c>
      <c r="H200" s="48">
        <v>1</v>
      </c>
      <c r="I200" s="49"/>
      <c r="J200" s="49"/>
      <c r="K200" s="50"/>
      <c r="L200" s="51"/>
      <c r="M200" s="50">
        <f t="shared" si="0"/>
        <v>0</v>
      </c>
      <c r="N200" s="50"/>
      <c r="O200" s="31"/>
      <c r="P200" s="108">
        <v>5</v>
      </c>
      <c r="Q200" s="65">
        <v>16087.92</v>
      </c>
      <c r="R200" s="51"/>
      <c r="S200" s="50">
        <f t="shared" si="6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337</v>
      </c>
      <c r="G201" s="229" t="s">
        <v>28</v>
      </c>
      <c r="H201" s="133">
        <v>3</v>
      </c>
      <c r="I201" s="57"/>
      <c r="J201" s="57"/>
      <c r="K201" s="43"/>
      <c r="L201" s="128"/>
      <c r="M201" s="50">
        <f t="shared" si="0"/>
        <v>0</v>
      </c>
      <c r="N201" s="43"/>
      <c r="O201" s="41"/>
      <c r="P201" s="103"/>
      <c r="Q201" s="43"/>
      <c r="R201" s="44"/>
      <c r="S201" s="43">
        <f t="shared" si="6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172</v>
      </c>
      <c r="C202" s="377" t="s">
        <v>39</v>
      </c>
      <c r="D202" s="374" t="s">
        <v>303</v>
      </c>
      <c r="E202" s="374" t="s">
        <v>121</v>
      </c>
      <c r="F202" s="232" t="s">
        <v>304</v>
      </c>
      <c r="G202" s="23" t="s">
        <v>24</v>
      </c>
      <c r="H202" s="48">
        <v>4</v>
      </c>
      <c r="I202" s="62">
        <v>2</v>
      </c>
      <c r="J202" s="62">
        <v>2</v>
      </c>
      <c r="K202" s="30">
        <v>806.82</v>
      </c>
      <c r="L202" s="27"/>
      <c r="M202" s="26">
        <f t="shared" si="0"/>
        <v>0</v>
      </c>
      <c r="N202" s="26"/>
      <c r="O202" s="31"/>
      <c r="P202" s="53">
        <v>25</v>
      </c>
      <c r="Q202" s="30">
        <v>34901.07</v>
      </c>
      <c r="R202" s="27"/>
      <c r="S202" s="26">
        <f t="shared" si="6"/>
        <v>6109.65</v>
      </c>
      <c r="T202" s="30"/>
      <c r="U202" s="30">
        <v>6109.65</v>
      </c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54"/>
      <c r="G203" s="55" t="s">
        <v>25</v>
      </c>
      <c r="H203" s="102"/>
      <c r="I203" s="57"/>
      <c r="J203" s="57"/>
      <c r="K203" s="43"/>
      <c r="L203" s="44"/>
      <c r="M203" s="43">
        <f t="shared" si="0"/>
        <v>0</v>
      </c>
      <c r="N203" s="43"/>
      <c r="O203" s="41"/>
      <c r="P203" s="113">
        <v>1</v>
      </c>
      <c r="Q203" s="114">
        <v>1728.9</v>
      </c>
      <c r="R203" s="44"/>
      <c r="S203" s="43">
        <f t="shared" si="6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173</v>
      </c>
      <c r="C204" s="374"/>
      <c r="D204" s="374" t="s">
        <v>338</v>
      </c>
      <c r="E204" s="374"/>
      <c r="F204" s="22"/>
      <c r="G204" s="23" t="s">
        <v>24</v>
      </c>
      <c r="H204" s="61">
        <v>13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53">
        <v>6</v>
      </c>
      <c r="Q204" s="30">
        <v>5292.88</v>
      </c>
      <c r="R204" s="27"/>
      <c r="S204" s="26">
        <f t="shared" si="6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220" t="s">
        <v>339</v>
      </c>
      <c r="G205" s="35" t="s">
        <v>25</v>
      </c>
      <c r="H205" s="117">
        <v>4</v>
      </c>
      <c r="I205" s="37">
        <v>1</v>
      </c>
      <c r="J205" s="37">
        <v>1</v>
      </c>
      <c r="K205" s="68">
        <v>1152.5999999999999</v>
      </c>
      <c r="L205" s="40"/>
      <c r="M205" s="39">
        <f t="shared" si="0"/>
        <v>0</v>
      </c>
      <c r="N205" s="39"/>
      <c r="O205" s="41"/>
      <c r="P205" s="115">
        <v>2</v>
      </c>
      <c r="Q205" s="68">
        <v>4942.5</v>
      </c>
      <c r="R205" s="40"/>
      <c r="S205" s="39">
        <f t="shared" si="6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174</v>
      </c>
      <c r="C206" s="374" t="s">
        <v>39</v>
      </c>
      <c r="D206" s="374" t="s">
        <v>175</v>
      </c>
      <c r="E206" s="374" t="s">
        <v>176</v>
      </c>
      <c r="F206" s="22"/>
      <c r="G206" s="176" t="s">
        <v>24</v>
      </c>
      <c r="H206" s="48">
        <v>7</v>
      </c>
      <c r="I206" s="203">
        <v>3</v>
      </c>
      <c r="J206" s="203">
        <v>3</v>
      </c>
      <c r="K206" s="65">
        <v>3530.8</v>
      </c>
      <c r="L206" s="51"/>
      <c r="M206" s="50">
        <f t="shared" si="0"/>
        <v>0</v>
      </c>
      <c r="N206" s="50"/>
      <c r="O206" s="31"/>
      <c r="P206" s="108">
        <v>14</v>
      </c>
      <c r="Q206" s="65">
        <v>43637.85</v>
      </c>
      <c r="R206" s="51"/>
      <c r="S206" s="50">
        <f t="shared" si="6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0" t="s">
        <v>340</v>
      </c>
      <c r="G207" s="229" t="s">
        <v>25</v>
      </c>
      <c r="H207" s="111"/>
      <c r="I207" s="57"/>
      <c r="J207" s="57"/>
      <c r="K207" s="43"/>
      <c r="L207" s="44"/>
      <c r="M207" s="43">
        <f t="shared" si="0"/>
        <v>0</v>
      </c>
      <c r="N207" s="43"/>
      <c r="O207" s="41"/>
      <c r="P207" s="113">
        <v>4</v>
      </c>
      <c r="Q207" s="114">
        <v>22216.240000000002</v>
      </c>
      <c r="R207" s="270">
        <v>2</v>
      </c>
      <c r="S207" s="114">
        <v>13811.2</v>
      </c>
      <c r="T207" s="114">
        <v>13811.2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177</v>
      </c>
      <c r="C208" s="377" t="s">
        <v>39</v>
      </c>
      <c r="D208" s="374" t="s">
        <v>226</v>
      </c>
      <c r="E208" s="374" t="s">
        <v>27</v>
      </c>
      <c r="F208" s="204" t="s">
        <v>227</v>
      </c>
      <c r="G208" s="23" t="s">
        <v>24</v>
      </c>
      <c r="H208" s="48">
        <v>2</v>
      </c>
      <c r="I208" s="25"/>
      <c r="J208" s="25"/>
      <c r="K208" s="26"/>
      <c r="L208" s="27"/>
      <c r="M208" s="26">
        <f t="shared" si="0"/>
        <v>0</v>
      </c>
      <c r="N208" s="26"/>
      <c r="O208" s="31"/>
      <c r="P208" s="53">
        <v>14</v>
      </c>
      <c r="Q208" s="30">
        <v>45509.18</v>
      </c>
      <c r="R208" s="205">
        <v>3</v>
      </c>
      <c r="S208" s="26">
        <f t="shared" ref="S208:S252" si="7">T208+U208</f>
        <v>7081.87</v>
      </c>
      <c r="T208" s="30">
        <v>7081.87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80"/>
      <c r="D209" s="375"/>
      <c r="E209" s="375"/>
      <c r="F209" s="126"/>
      <c r="G209" s="55" t="s">
        <v>28</v>
      </c>
      <c r="H209" s="118"/>
      <c r="I209" s="57"/>
      <c r="J209" s="57"/>
      <c r="K209" s="43"/>
      <c r="L209" s="44"/>
      <c r="M209" s="43">
        <f t="shared" si="0"/>
        <v>0</v>
      </c>
      <c r="N209" s="43"/>
      <c r="O209" s="41"/>
      <c r="P209" s="103"/>
      <c r="Q209" s="43"/>
      <c r="R209" s="44"/>
      <c r="S209" s="43">
        <f t="shared" si="7"/>
        <v>0</v>
      </c>
      <c r="T209" s="43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178</v>
      </c>
      <c r="C210" s="374"/>
      <c r="D210" s="374"/>
      <c r="E210" s="374"/>
      <c r="F210" s="22"/>
      <c r="G210" s="176" t="s">
        <v>24</v>
      </c>
      <c r="H210" s="61">
        <v>1</v>
      </c>
      <c r="I210" s="25"/>
      <c r="J210" s="25"/>
      <c r="K210" s="26"/>
      <c r="L210" s="27"/>
      <c r="M210" s="26">
        <f t="shared" si="0"/>
        <v>0</v>
      </c>
      <c r="N210" s="26"/>
      <c r="O210" s="31"/>
      <c r="P210" s="120"/>
      <c r="Q210" s="26"/>
      <c r="R210" s="27"/>
      <c r="S210" s="26">
        <f t="shared" si="7"/>
        <v>0</v>
      </c>
      <c r="T210" s="26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126"/>
      <c r="G211" s="177" t="s">
        <v>28</v>
      </c>
      <c r="H211" s="131"/>
      <c r="I211" s="57"/>
      <c r="J211" s="57"/>
      <c r="K211" s="43"/>
      <c r="L211" s="44"/>
      <c r="M211" s="43">
        <f t="shared" si="0"/>
        <v>0</v>
      </c>
      <c r="N211" s="43"/>
      <c r="O211" s="45"/>
      <c r="P211" s="42"/>
      <c r="Q211" s="43"/>
      <c r="R211" s="44"/>
      <c r="S211" s="43">
        <f t="shared" si="7"/>
        <v>0</v>
      </c>
      <c r="T211" s="43"/>
      <c r="U211" s="45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179</v>
      </c>
      <c r="C212" s="374"/>
      <c r="D212" s="374"/>
      <c r="E212" s="374" t="s">
        <v>27</v>
      </c>
      <c r="F212" s="22"/>
      <c r="G212" s="23" t="s">
        <v>24</v>
      </c>
      <c r="H212" s="61">
        <v>2</v>
      </c>
      <c r="I212" s="25"/>
      <c r="J212" s="25"/>
      <c r="K212" s="26"/>
      <c r="L212" s="27"/>
      <c r="M212" s="26">
        <f t="shared" si="0"/>
        <v>0</v>
      </c>
      <c r="N212" s="26"/>
      <c r="O212" s="28"/>
      <c r="P212" s="120"/>
      <c r="Q212" s="26"/>
      <c r="R212" s="27"/>
      <c r="S212" s="26">
        <f t="shared" si="7"/>
        <v>0</v>
      </c>
      <c r="T212" s="26"/>
      <c r="U212" s="28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6"/>
      <c r="G213" s="227" t="s">
        <v>28</v>
      </c>
      <c r="H213" s="298"/>
      <c r="I213" s="261"/>
      <c r="J213" s="261"/>
      <c r="K213" s="211"/>
      <c r="L213" s="210"/>
      <c r="M213" s="211">
        <f t="shared" si="0"/>
        <v>0</v>
      </c>
      <c r="N213" s="211"/>
      <c r="O213" s="212"/>
      <c r="P213" s="284"/>
      <c r="Q213" s="211"/>
      <c r="R213" s="210"/>
      <c r="S213" s="211">
        <f t="shared" si="7"/>
        <v>0</v>
      </c>
      <c r="T213" s="211"/>
      <c r="U213" s="21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378</v>
      </c>
      <c r="C214" s="374"/>
      <c r="D214" s="374"/>
      <c r="E214" s="374"/>
      <c r="F214" s="204"/>
      <c r="G214" s="213" t="s">
        <v>24</v>
      </c>
      <c r="H214" s="61"/>
      <c r="I214" s="62"/>
      <c r="J214" s="62"/>
      <c r="K214" s="30"/>
      <c r="L214" s="27"/>
      <c r="M214" s="26">
        <f t="shared" si="0"/>
        <v>0</v>
      </c>
      <c r="N214" s="26"/>
      <c r="O214" s="28"/>
      <c r="P214" s="214"/>
      <c r="Q214" s="30"/>
      <c r="R214" s="205"/>
      <c r="S214" s="26">
        <f t="shared" si="7"/>
        <v>0</v>
      </c>
      <c r="T214" s="30"/>
      <c r="U214" s="24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/>
      <c r="G215" s="215" t="s">
        <v>28</v>
      </c>
      <c r="H215" s="117">
        <v>1</v>
      </c>
      <c r="I215" s="37"/>
      <c r="J215" s="37"/>
      <c r="K215" s="68"/>
      <c r="L215" s="40"/>
      <c r="M215" s="39">
        <f t="shared" si="0"/>
        <v>0</v>
      </c>
      <c r="N215" s="39"/>
      <c r="O215" s="41"/>
      <c r="P215" s="217"/>
      <c r="Q215" s="68"/>
      <c r="R215" s="285"/>
      <c r="S215" s="39">
        <f t="shared" si="7"/>
        <v>0</v>
      </c>
      <c r="T215" s="68"/>
      <c r="U215" s="23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6"/>
      <c r="B216" s="377" t="s">
        <v>180</v>
      </c>
      <c r="C216" s="377" t="s">
        <v>46</v>
      </c>
      <c r="D216" s="377" t="s">
        <v>181</v>
      </c>
      <c r="E216" s="377" t="s">
        <v>27</v>
      </c>
      <c r="F216" s="232" t="s">
        <v>228</v>
      </c>
      <c r="G216" s="95" t="s">
        <v>24</v>
      </c>
      <c r="H216" s="265">
        <v>6</v>
      </c>
      <c r="I216" s="266">
        <v>3</v>
      </c>
      <c r="J216" s="266">
        <v>3</v>
      </c>
      <c r="K216" s="79">
        <v>1527.2</v>
      </c>
      <c r="L216" s="80"/>
      <c r="M216" s="81">
        <f t="shared" si="0"/>
        <v>0</v>
      </c>
      <c r="N216" s="81"/>
      <c r="O216" s="219"/>
      <c r="P216" s="267">
        <v>10</v>
      </c>
      <c r="Q216" s="79">
        <v>31753.040000000001</v>
      </c>
      <c r="R216" s="268">
        <v>8</v>
      </c>
      <c r="S216" s="81">
        <f t="shared" si="7"/>
        <v>31034.59</v>
      </c>
      <c r="T216" s="79">
        <v>28968.84</v>
      </c>
      <c r="U216" s="269">
        <v>2065.75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16"/>
      <c r="I217" s="57"/>
      <c r="J217" s="57"/>
      <c r="K217" s="43"/>
      <c r="L217" s="128"/>
      <c r="M217" s="50">
        <f t="shared" si="0"/>
        <v>0</v>
      </c>
      <c r="N217" s="43"/>
      <c r="O217" s="41"/>
      <c r="P217" s="113">
        <v>1</v>
      </c>
      <c r="Q217" s="114">
        <v>2209.1999999999998</v>
      </c>
      <c r="R217" s="44"/>
      <c r="S217" s="43">
        <f t="shared" si="7"/>
        <v>2209.1999999999998</v>
      </c>
      <c r="T217" s="43"/>
      <c r="U217" s="45">
        <f>2209.2</f>
        <v>2209.1999999999998</v>
      </c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6.5" customHeight="1">
      <c r="A218" s="372"/>
      <c r="B218" s="374" t="s">
        <v>182</v>
      </c>
      <c r="C218" s="374" t="s">
        <v>46</v>
      </c>
      <c r="D218" s="374" t="s">
        <v>181</v>
      </c>
      <c r="E218" s="374" t="s">
        <v>27</v>
      </c>
      <c r="F218" s="22"/>
      <c r="G218" s="23" t="s">
        <v>24</v>
      </c>
      <c r="H218" s="48">
        <v>9</v>
      </c>
      <c r="I218" s="62">
        <v>7</v>
      </c>
      <c r="J218" s="62">
        <v>8</v>
      </c>
      <c r="K218" s="30">
        <v>12866.49</v>
      </c>
      <c r="L218" s="27"/>
      <c r="M218" s="26">
        <f t="shared" si="0"/>
        <v>0</v>
      </c>
      <c r="N218" s="26"/>
      <c r="O218" s="31"/>
      <c r="P218" s="53">
        <v>6</v>
      </c>
      <c r="Q218" s="30">
        <v>31478.57</v>
      </c>
      <c r="R218" s="27"/>
      <c r="S218" s="26">
        <f t="shared" si="7"/>
        <v>0</v>
      </c>
      <c r="T218" s="26"/>
      <c r="U218" s="100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6.5" customHeight="1">
      <c r="A219" s="373"/>
      <c r="B219" s="375"/>
      <c r="C219" s="375"/>
      <c r="D219" s="375"/>
      <c r="E219" s="375"/>
      <c r="F219" s="34"/>
      <c r="G219" s="35" t="s">
        <v>28</v>
      </c>
      <c r="H219" s="116"/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7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6.5" customHeight="1">
      <c r="A220" s="382"/>
      <c r="B220" s="381" t="s">
        <v>183</v>
      </c>
      <c r="C220" s="381" t="s">
        <v>22</v>
      </c>
      <c r="D220" s="381"/>
      <c r="E220" s="381" t="s">
        <v>99</v>
      </c>
      <c r="F220" s="127"/>
      <c r="G220" s="23" t="s">
        <v>24</v>
      </c>
      <c r="H220" s="48">
        <v>2</v>
      </c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7</v>
      </c>
      <c r="Q220" s="65">
        <v>8094.01</v>
      </c>
      <c r="R220" s="51"/>
      <c r="S220" s="50">
        <f t="shared" si="7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6.5" customHeight="1">
      <c r="A221" s="379"/>
      <c r="B221" s="380"/>
      <c r="C221" s="380"/>
      <c r="D221" s="380"/>
      <c r="E221" s="380"/>
      <c r="F221" s="221" t="s">
        <v>252</v>
      </c>
      <c r="G221" s="55" t="s">
        <v>28</v>
      </c>
      <c r="H221" s="133">
        <v>5</v>
      </c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1</v>
      </c>
      <c r="Q221" s="114">
        <v>4034.1</v>
      </c>
      <c r="R221" s="44"/>
      <c r="S221" s="43">
        <f t="shared" si="7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6.5" customHeight="1">
      <c r="A222" s="372"/>
      <c r="B222" s="374" t="s">
        <v>184</v>
      </c>
      <c r="C222" s="374" t="s">
        <v>22</v>
      </c>
      <c r="D222" s="374"/>
      <c r="E222" s="374" t="s">
        <v>27</v>
      </c>
      <c r="F222" s="60"/>
      <c r="G222" s="23" t="s">
        <v>24</v>
      </c>
      <c r="H222" s="107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7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6.5" customHeight="1">
      <c r="A223" s="379"/>
      <c r="B223" s="380"/>
      <c r="C223" s="380"/>
      <c r="D223" s="380"/>
      <c r="E223" s="380"/>
      <c r="F223" s="233" t="s">
        <v>253</v>
      </c>
      <c r="G223" s="227" t="s">
        <v>28</v>
      </c>
      <c r="H223" s="153">
        <v>2</v>
      </c>
      <c r="I223" s="57"/>
      <c r="J223" s="57"/>
      <c r="K223" s="43"/>
      <c r="L223" s="44"/>
      <c r="M223" s="43">
        <f t="shared" si="0"/>
        <v>0</v>
      </c>
      <c r="N223" s="43"/>
      <c r="O223" s="41"/>
      <c r="P223" s="113">
        <v>2</v>
      </c>
      <c r="Q223" s="114">
        <v>2958.34</v>
      </c>
      <c r="R223" s="44"/>
      <c r="S223" s="43">
        <f t="shared" si="7"/>
        <v>2958.34</v>
      </c>
      <c r="T223" s="43"/>
      <c r="U223" s="41">
        <f>2958.34</f>
        <v>2958.34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6.5" customHeight="1">
      <c r="A224" s="372"/>
      <c r="B224" s="374" t="s">
        <v>185</v>
      </c>
      <c r="C224" s="374" t="s">
        <v>22</v>
      </c>
      <c r="D224" s="374"/>
      <c r="E224" s="374" t="s">
        <v>27</v>
      </c>
      <c r="F224" s="204" t="s">
        <v>341</v>
      </c>
      <c r="G224" s="176" t="s">
        <v>24</v>
      </c>
      <c r="H224" s="98"/>
      <c r="I224" s="25"/>
      <c r="J224" s="25"/>
      <c r="K224" s="26"/>
      <c r="L224" s="27"/>
      <c r="M224" s="26">
        <f t="shared" si="0"/>
        <v>0</v>
      </c>
      <c r="N224" s="26"/>
      <c r="O224" s="31"/>
      <c r="P224" s="53">
        <v>2</v>
      </c>
      <c r="Q224" s="30">
        <v>2633.4</v>
      </c>
      <c r="R224" s="27"/>
      <c r="S224" s="26">
        <f t="shared" si="7"/>
        <v>1288.7</v>
      </c>
      <c r="T224" s="26"/>
      <c r="U224" s="225">
        <v>1288.7</v>
      </c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342</v>
      </c>
      <c r="G225" s="229" t="s">
        <v>28</v>
      </c>
      <c r="H225" s="133">
        <v>1</v>
      </c>
      <c r="I225" s="57"/>
      <c r="J225" s="57"/>
      <c r="K225" s="43"/>
      <c r="L225" s="44"/>
      <c r="M225" s="43">
        <f t="shared" si="0"/>
        <v>0</v>
      </c>
      <c r="N225" s="43"/>
      <c r="O225" s="41"/>
      <c r="P225" s="113">
        <v>1</v>
      </c>
      <c r="Q225" s="114">
        <v>2994.47</v>
      </c>
      <c r="R225" s="44"/>
      <c r="S225" s="43">
        <f t="shared" si="7"/>
        <v>0</v>
      </c>
      <c r="T225" s="43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186</v>
      </c>
      <c r="C226" s="374" t="s">
        <v>22</v>
      </c>
      <c r="D226" s="374"/>
      <c r="E226" s="374" t="s">
        <v>99</v>
      </c>
      <c r="F226" s="232" t="s">
        <v>315</v>
      </c>
      <c r="G226" s="23" t="s">
        <v>24</v>
      </c>
      <c r="H226" s="48">
        <v>1</v>
      </c>
      <c r="I226" s="25"/>
      <c r="J226" s="25"/>
      <c r="K226" s="26"/>
      <c r="L226" s="27"/>
      <c r="M226" s="26">
        <f t="shared" si="0"/>
        <v>0</v>
      </c>
      <c r="N226" s="26"/>
      <c r="O226" s="31"/>
      <c r="P226" s="53">
        <v>12</v>
      </c>
      <c r="Q226" s="30">
        <v>23364.69</v>
      </c>
      <c r="R226" s="205">
        <v>3</v>
      </c>
      <c r="S226" s="26">
        <f t="shared" si="7"/>
        <v>6447.76</v>
      </c>
      <c r="T226" s="30">
        <v>6447.76</v>
      </c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254</v>
      </c>
      <c r="G227" s="35" t="s">
        <v>28</v>
      </c>
      <c r="H227" s="153">
        <v>5</v>
      </c>
      <c r="I227" s="38"/>
      <c r="J227" s="38"/>
      <c r="K227" s="39"/>
      <c r="L227" s="40"/>
      <c r="M227" s="39">
        <f t="shared" si="0"/>
        <v>0</v>
      </c>
      <c r="N227" s="39"/>
      <c r="O227" s="41"/>
      <c r="P227" s="59"/>
      <c r="Q227" s="39"/>
      <c r="R227" s="40"/>
      <c r="S227" s="39">
        <f t="shared" si="7"/>
        <v>0</v>
      </c>
      <c r="T227" s="39"/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187</v>
      </c>
      <c r="C228" s="381" t="s">
        <v>22</v>
      </c>
      <c r="D228" s="381"/>
      <c r="E228" s="381" t="s">
        <v>131</v>
      </c>
      <c r="F228" s="223" t="s">
        <v>343</v>
      </c>
      <c r="G228" s="23" t="s">
        <v>24</v>
      </c>
      <c r="H228" s="48">
        <v>8</v>
      </c>
      <c r="I228" s="203">
        <v>3</v>
      </c>
      <c r="J228" s="203">
        <v>3</v>
      </c>
      <c r="K228" s="65">
        <v>3264.74</v>
      </c>
      <c r="L228" s="51"/>
      <c r="M228" s="50">
        <f t="shared" si="0"/>
        <v>0</v>
      </c>
      <c r="N228" s="50"/>
      <c r="O228" s="31"/>
      <c r="P228" s="108">
        <v>15</v>
      </c>
      <c r="Q228" s="65">
        <v>38060.720000000001</v>
      </c>
      <c r="R228" s="51"/>
      <c r="S228" s="50">
        <f t="shared" si="7"/>
        <v>1046.6300000000001</v>
      </c>
      <c r="T228" s="50"/>
      <c r="U228" s="225">
        <v>1046.6300000000001</v>
      </c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25</v>
      </c>
      <c r="H229" s="111"/>
      <c r="I229" s="57"/>
      <c r="J229" s="57"/>
      <c r="K229" s="43"/>
      <c r="L229" s="44"/>
      <c r="M229" s="43">
        <f t="shared" si="0"/>
        <v>0</v>
      </c>
      <c r="N229" s="43"/>
      <c r="O229" s="41"/>
      <c r="P229" s="113">
        <v>1</v>
      </c>
      <c r="Q229" s="114">
        <v>2996.76</v>
      </c>
      <c r="R229" s="44"/>
      <c r="S229" s="43">
        <f t="shared" si="7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188</v>
      </c>
      <c r="C230" s="374" t="s">
        <v>22</v>
      </c>
      <c r="D230" s="374"/>
      <c r="E230" s="374" t="s">
        <v>27</v>
      </c>
      <c r="F230" s="22"/>
      <c r="G230" s="23" t="s">
        <v>24</v>
      </c>
      <c r="H230" s="98"/>
      <c r="I230" s="25"/>
      <c r="J230" s="25"/>
      <c r="K230" s="26"/>
      <c r="L230" s="27"/>
      <c r="M230" s="26">
        <f t="shared" si="0"/>
        <v>0</v>
      </c>
      <c r="N230" s="26"/>
      <c r="O230" s="31"/>
      <c r="P230" s="99"/>
      <c r="Q230" s="26"/>
      <c r="R230" s="27"/>
      <c r="S230" s="26">
        <f t="shared" si="7"/>
        <v>0</v>
      </c>
      <c r="T230" s="26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20.25" customHeight="1">
      <c r="A231" s="373"/>
      <c r="B231" s="375"/>
      <c r="C231" s="375"/>
      <c r="D231" s="375"/>
      <c r="E231" s="375"/>
      <c r="F231" s="221" t="s">
        <v>344</v>
      </c>
      <c r="G231" s="55" t="s">
        <v>28</v>
      </c>
      <c r="H231" s="56">
        <v>2</v>
      </c>
      <c r="I231" s="57"/>
      <c r="J231" s="57"/>
      <c r="K231" s="43"/>
      <c r="L231" s="44"/>
      <c r="M231" s="43">
        <f t="shared" si="0"/>
        <v>0</v>
      </c>
      <c r="N231" s="43"/>
      <c r="O231" s="45"/>
      <c r="P231" s="113">
        <v>11</v>
      </c>
      <c r="Q231" s="114">
        <v>13054.9</v>
      </c>
      <c r="R231" s="44"/>
      <c r="S231" s="43">
        <f t="shared" si="7"/>
        <v>4050.2</v>
      </c>
      <c r="T231" s="43"/>
      <c r="U231" s="222">
        <v>4050.2</v>
      </c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189</v>
      </c>
      <c r="C232" s="374"/>
      <c r="D232" s="374"/>
      <c r="E232" s="374" t="s">
        <v>27</v>
      </c>
      <c r="F232" s="22"/>
      <c r="G232" s="23" t="s">
        <v>24</v>
      </c>
      <c r="H232" s="24">
        <v>6</v>
      </c>
      <c r="I232" s="62">
        <v>3</v>
      </c>
      <c r="J232" s="62">
        <v>3</v>
      </c>
      <c r="K232" s="30">
        <v>5760.14</v>
      </c>
      <c r="L232" s="27"/>
      <c r="M232" s="26">
        <f t="shared" si="0"/>
        <v>0</v>
      </c>
      <c r="N232" s="26"/>
      <c r="O232" s="28"/>
      <c r="P232" s="29">
        <v>2</v>
      </c>
      <c r="Q232" s="30">
        <v>1870.81</v>
      </c>
      <c r="R232" s="27"/>
      <c r="S232" s="26">
        <f t="shared" si="7"/>
        <v>0</v>
      </c>
      <c r="T232" s="26"/>
      <c r="U232" s="28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0" t="s">
        <v>256</v>
      </c>
      <c r="G233" s="35" t="s">
        <v>28</v>
      </c>
      <c r="H233" s="66">
        <v>3</v>
      </c>
      <c r="I233" s="38"/>
      <c r="J233" s="38"/>
      <c r="K233" s="39"/>
      <c r="L233" s="40"/>
      <c r="M233" s="39">
        <f t="shared" si="0"/>
        <v>0</v>
      </c>
      <c r="N233" s="39"/>
      <c r="O233" s="41"/>
      <c r="P233" s="69"/>
      <c r="Q233" s="39"/>
      <c r="R233" s="40"/>
      <c r="S233" s="39">
        <f t="shared" si="7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82"/>
      <c r="B234" s="381" t="s">
        <v>190</v>
      </c>
      <c r="C234" s="381" t="s">
        <v>39</v>
      </c>
      <c r="D234" s="381" t="s">
        <v>191</v>
      </c>
      <c r="E234" s="381" t="s">
        <v>27</v>
      </c>
      <c r="F234" s="46"/>
      <c r="G234" s="47" t="s">
        <v>24</v>
      </c>
      <c r="H234" s="98"/>
      <c r="I234" s="49"/>
      <c r="J234" s="49"/>
      <c r="K234" s="50"/>
      <c r="L234" s="51"/>
      <c r="M234" s="50">
        <f t="shared" si="0"/>
        <v>0</v>
      </c>
      <c r="N234" s="50"/>
      <c r="O234" s="31"/>
      <c r="P234" s="123"/>
      <c r="Q234" s="50"/>
      <c r="R234" s="51"/>
      <c r="S234" s="50">
        <f t="shared" si="7"/>
        <v>0</v>
      </c>
      <c r="T234" s="50"/>
      <c r="U234" s="3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220" t="s">
        <v>345</v>
      </c>
      <c r="G235" s="35" t="s">
        <v>28</v>
      </c>
      <c r="H235" s="112">
        <v>2</v>
      </c>
      <c r="I235" s="57"/>
      <c r="J235" s="57"/>
      <c r="K235" s="43"/>
      <c r="L235" s="44"/>
      <c r="M235" s="43">
        <f t="shared" si="0"/>
        <v>0</v>
      </c>
      <c r="N235" s="43"/>
      <c r="O235" s="45"/>
      <c r="P235" s="115">
        <v>4</v>
      </c>
      <c r="Q235" s="68">
        <v>5106.7</v>
      </c>
      <c r="R235" s="40"/>
      <c r="S235" s="39">
        <f t="shared" si="7"/>
        <v>3818</v>
      </c>
      <c r="T235" s="39"/>
      <c r="U235" s="41">
        <f>3818</f>
        <v>3818</v>
      </c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192</v>
      </c>
      <c r="C236" s="374" t="s">
        <v>22</v>
      </c>
      <c r="D236" s="374"/>
      <c r="E236" s="374" t="s">
        <v>193</v>
      </c>
      <c r="F236" s="204" t="s">
        <v>318</v>
      </c>
      <c r="G236" s="176" t="s">
        <v>24</v>
      </c>
      <c r="H236" s="61">
        <v>4</v>
      </c>
      <c r="I236" s="25"/>
      <c r="J236" s="25"/>
      <c r="K236" s="26"/>
      <c r="L236" s="27"/>
      <c r="M236" s="26">
        <f t="shared" si="0"/>
        <v>0</v>
      </c>
      <c r="N236" s="26"/>
      <c r="O236" s="100"/>
      <c r="P236" s="64">
        <v>15</v>
      </c>
      <c r="Q236" s="65">
        <v>35123.96</v>
      </c>
      <c r="R236" s="224">
        <v>9</v>
      </c>
      <c r="S236" s="50">
        <f t="shared" si="7"/>
        <v>15520.42</v>
      </c>
      <c r="T236" s="65">
        <v>15520.42</v>
      </c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 t="s">
        <v>346</v>
      </c>
      <c r="G237" s="229" t="s">
        <v>28</v>
      </c>
      <c r="H237" s="133">
        <v>1</v>
      </c>
      <c r="I237" s="38"/>
      <c r="J237" s="38"/>
      <c r="K237" s="39"/>
      <c r="L237" s="40"/>
      <c r="M237" s="39">
        <f t="shared" si="0"/>
        <v>0</v>
      </c>
      <c r="N237" s="39"/>
      <c r="O237" s="41"/>
      <c r="P237" s="42"/>
      <c r="Q237" s="43"/>
      <c r="R237" s="44"/>
      <c r="S237" s="43">
        <f t="shared" si="7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194</v>
      </c>
      <c r="C238" s="377" t="s">
        <v>39</v>
      </c>
      <c r="D238" s="377" t="s">
        <v>319</v>
      </c>
      <c r="E238" s="374" t="s">
        <v>160</v>
      </c>
      <c r="F238" s="232" t="s">
        <v>320</v>
      </c>
      <c r="G238" s="23" t="s">
        <v>24</v>
      </c>
      <c r="H238" s="48">
        <v>4</v>
      </c>
      <c r="I238" s="203">
        <v>2</v>
      </c>
      <c r="J238" s="203">
        <v>2</v>
      </c>
      <c r="K238" s="65">
        <v>1094.97</v>
      </c>
      <c r="L238" s="128"/>
      <c r="M238" s="129">
        <f t="shared" si="0"/>
        <v>0</v>
      </c>
      <c r="N238" s="50"/>
      <c r="O238" s="31"/>
      <c r="P238" s="29">
        <v>3</v>
      </c>
      <c r="Q238" s="30">
        <v>6107.21</v>
      </c>
      <c r="R238" s="27"/>
      <c r="S238" s="26">
        <f t="shared" si="7"/>
        <v>2951.62</v>
      </c>
      <c r="T238" s="26"/>
      <c r="U238" s="225">
        <v>2951.62</v>
      </c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347</v>
      </c>
      <c r="G239" s="35" t="s">
        <v>28</v>
      </c>
      <c r="H239" s="117">
        <v>1</v>
      </c>
      <c r="I239" s="37"/>
      <c r="J239" s="37"/>
      <c r="K239" s="39"/>
      <c r="L239" s="44"/>
      <c r="M239" s="43">
        <f t="shared" si="0"/>
        <v>0</v>
      </c>
      <c r="N239" s="39"/>
      <c r="O239" s="41"/>
      <c r="P239" s="37">
        <v>3</v>
      </c>
      <c r="Q239" s="37">
        <v>4473.3</v>
      </c>
      <c r="R239" s="40"/>
      <c r="S239" s="39">
        <f t="shared" si="7"/>
        <v>576.29999999999995</v>
      </c>
      <c r="T239" s="39"/>
      <c r="U239" s="41">
        <f>576.3</f>
        <v>576.29999999999995</v>
      </c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195</v>
      </c>
      <c r="C240" s="377" t="s">
        <v>39</v>
      </c>
      <c r="D240" s="377" t="s">
        <v>231</v>
      </c>
      <c r="E240" s="381" t="s">
        <v>27</v>
      </c>
      <c r="F240" s="204" t="s">
        <v>232</v>
      </c>
      <c r="G240" s="47" t="s">
        <v>24</v>
      </c>
      <c r="H240" s="61">
        <v>1</v>
      </c>
      <c r="I240" s="25"/>
      <c r="J240" s="25"/>
      <c r="K240" s="26"/>
      <c r="L240" s="27"/>
      <c r="M240" s="26">
        <f t="shared" si="0"/>
        <v>0</v>
      </c>
      <c r="N240" s="26"/>
      <c r="O240" s="31"/>
      <c r="P240" s="64">
        <v>7</v>
      </c>
      <c r="Q240" s="65">
        <v>46859.35</v>
      </c>
      <c r="R240" s="224">
        <v>3</v>
      </c>
      <c r="S240" s="50">
        <f t="shared" si="7"/>
        <v>38298.170000000006</v>
      </c>
      <c r="T240" s="65">
        <v>35948.410000000003</v>
      </c>
      <c r="U240" s="225">
        <v>2349.7600000000002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1" t="s">
        <v>260</v>
      </c>
      <c r="G241" s="55" t="s">
        <v>28</v>
      </c>
      <c r="H241" s="178">
        <v>3</v>
      </c>
      <c r="I241" s="130">
        <v>1</v>
      </c>
      <c r="J241" s="130">
        <v>1</v>
      </c>
      <c r="K241" s="114">
        <v>1152.5999999999999</v>
      </c>
      <c r="L241" s="44"/>
      <c r="M241" s="43">
        <f t="shared" si="0"/>
        <v>0</v>
      </c>
      <c r="N241" s="43"/>
      <c r="O241" s="45"/>
      <c r="P241" s="130">
        <v>3</v>
      </c>
      <c r="Q241" s="130">
        <v>8188.85</v>
      </c>
      <c r="R241" s="44"/>
      <c r="S241" s="43">
        <f t="shared" si="7"/>
        <v>4994.6000000000004</v>
      </c>
      <c r="T241" s="43"/>
      <c r="U241" s="222">
        <v>4994.6000000000004</v>
      </c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196</v>
      </c>
      <c r="C242" s="381" t="s">
        <v>22</v>
      </c>
      <c r="D242" s="374"/>
      <c r="E242" s="381" t="s">
        <v>27</v>
      </c>
      <c r="F242" s="22"/>
      <c r="G242" s="23" t="s">
        <v>24</v>
      </c>
      <c r="H242" s="119"/>
      <c r="I242" s="25"/>
      <c r="J242" s="25"/>
      <c r="K242" s="26"/>
      <c r="L242" s="27"/>
      <c r="M242" s="26">
        <f t="shared" si="0"/>
        <v>0</v>
      </c>
      <c r="N242" s="26"/>
      <c r="O242" s="28"/>
      <c r="P242" s="120"/>
      <c r="Q242" s="26"/>
      <c r="R242" s="27"/>
      <c r="S242" s="26">
        <f t="shared" si="7"/>
        <v>0</v>
      </c>
      <c r="T242" s="26"/>
      <c r="U242" s="28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348</v>
      </c>
      <c r="G243" s="35" t="s">
        <v>28</v>
      </c>
      <c r="H243" s="66">
        <v>4</v>
      </c>
      <c r="I243" s="38"/>
      <c r="J243" s="38"/>
      <c r="K243" s="39"/>
      <c r="L243" s="40"/>
      <c r="M243" s="39">
        <f t="shared" si="0"/>
        <v>0</v>
      </c>
      <c r="N243" s="39"/>
      <c r="O243" s="41"/>
      <c r="P243" s="67">
        <v>1</v>
      </c>
      <c r="Q243" s="68">
        <v>2497.3000000000002</v>
      </c>
      <c r="R243" s="40"/>
      <c r="S243" s="39">
        <f t="shared" si="7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197</v>
      </c>
      <c r="C244" s="381" t="s">
        <v>22</v>
      </c>
      <c r="D244" s="381"/>
      <c r="E244" s="381" t="s">
        <v>27</v>
      </c>
      <c r="F244" s="46"/>
      <c r="G244" s="47" t="s">
        <v>24</v>
      </c>
      <c r="H244" s="98"/>
      <c r="I244" s="49"/>
      <c r="J244" s="49"/>
      <c r="K244" s="50"/>
      <c r="L244" s="51"/>
      <c r="M244" s="50">
        <f t="shared" si="0"/>
        <v>0</v>
      </c>
      <c r="N244" s="50"/>
      <c r="O244" s="31"/>
      <c r="P244" s="108">
        <v>1</v>
      </c>
      <c r="Q244" s="65">
        <v>748.24</v>
      </c>
      <c r="R244" s="51"/>
      <c r="S244" s="50">
        <f t="shared" si="7"/>
        <v>0</v>
      </c>
      <c r="T244" s="50"/>
      <c r="U244" s="31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21" t="s">
        <v>349</v>
      </c>
      <c r="G245" s="55" t="s">
        <v>28</v>
      </c>
      <c r="H245" s="153">
        <v>3</v>
      </c>
      <c r="I245" s="130">
        <v>1</v>
      </c>
      <c r="J245" s="130">
        <v>1</v>
      </c>
      <c r="K245" s="114">
        <v>1344.7</v>
      </c>
      <c r="L245" s="44"/>
      <c r="M245" s="43">
        <f t="shared" si="0"/>
        <v>0</v>
      </c>
      <c r="N245" s="43"/>
      <c r="O245" s="41"/>
      <c r="P245" s="103"/>
      <c r="Q245" s="43"/>
      <c r="R245" s="44"/>
      <c r="S245" s="43">
        <f t="shared" si="7"/>
        <v>1440.75</v>
      </c>
      <c r="T245" s="43"/>
      <c r="U245" s="41">
        <f>1440.75</f>
        <v>1440.75</v>
      </c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198</v>
      </c>
      <c r="C246" s="374" t="s">
        <v>22</v>
      </c>
      <c r="D246" s="374"/>
      <c r="E246" s="374" t="s">
        <v>112</v>
      </c>
      <c r="F246" s="22"/>
      <c r="G246" s="23" t="s">
        <v>24</v>
      </c>
      <c r="H246" s="48">
        <v>5</v>
      </c>
      <c r="I246" s="25"/>
      <c r="J246" s="25"/>
      <c r="K246" s="26"/>
      <c r="L246" s="27"/>
      <c r="M246" s="26">
        <f t="shared" si="0"/>
        <v>0</v>
      </c>
      <c r="N246" s="26"/>
      <c r="O246" s="31"/>
      <c r="P246" s="53">
        <v>7</v>
      </c>
      <c r="Q246" s="30">
        <v>27470.31</v>
      </c>
      <c r="R246" s="27"/>
      <c r="S246" s="26">
        <f t="shared" si="7"/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350</v>
      </c>
      <c r="G247" s="35" t="s">
        <v>28</v>
      </c>
      <c r="H247" s="111"/>
      <c r="I247" s="38"/>
      <c r="J247" s="38"/>
      <c r="K247" s="39"/>
      <c r="L247" s="40"/>
      <c r="M247" s="39">
        <f t="shared" si="0"/>
        <v>0</v>
      </c>
      <c r="N247" s="39"/>
      <c r="O247" s="41"/>
      <c r="P247" s="59"/>
      <c r="Q247" s="39"/>
      <c r="R247" s="40"/>
      <c r="S247" s="39">
        <f t="shared" si="7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199</v>
      </c>
      <c r="C248" s="381" t="s">
        <v>22</v>
      </c>
      <c r="D248" s="381"/>
      <c r="E248" s="381" t="s">
        <v>131</v>
      </c>
      <c r="F248" s="46"/>
      <c r="G248" s="23" t="s">
        <v>24</v>
      </c>
      <c r="H248" s="98"/>
      <c r="I248" s="49"/>
      <c r="J248" s="49"/>
      <c r="K248" s="50"/>
      <c r="L248" s="51"/>
      <c r="M248" s="50">
        <f t="shared" si="0"/>
        <v>0</v>
      </c>
      <c r="N248" s="50"/>
      <c r="O248" s="31"/>
      <c r="P248" s="123"/>
      <c r="Q248" s="50"/>
      <c r="R248" s="51"/>
      <c r="S248" s="50">
        <f t="shared" si="7"/>
        <v>0</v>
      </c>
      <c r="T248" s="50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9"/>
      <c r="B249" s="380"/>
      <c r="C249" s="380"/>
      <c r="D249" s="380"/>
      <c r="E249" s="380"/>
      <c r="F249" s="126"/>
      <c r="G249" s="55" t="s">
        <v>25</v>
      </c>
      <c r="H249" s="118"/>
      <c r="I249" s="57"/>
      <c r="J249" s="57"/>
      <c r="K249" s="43"/>
      <c r="L249" s="44"/>
      <c r="M249" s="43">
        <f t="shared" si="0"/>
        <v>0</v>
      </c>
      <c r="N249" s="43"/>
      <c r="O249" s="41"/>
      <c r="P249" s="103"/>
      <c r="Q249" s="43"/>
      <c r="R249" s="44"/>
      <c r="S249" s="43">
        <f t="shared" si="7"/>
        <v>0</v>
      </c>
      <c r="T249" s="43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200</v>
      </c>
      <c r="C250" s="374" t="s">
        <v>22</v>
      </c>
      <c r="D250" s="374"/>
      <c r="E250" s="374" t="s">
        <v>27</v>
      </c>
      <c r="F250" s="60"/>
      <c r="G250" s="23" t="s">
        <v>24</v>
      </c>
      <c r="H250" s="104"/>
      <c r="I250" s="25"/>
      <c r="J250" s="25"/>
      <c r="K250" s="26"/>
      <c r="L250" s="27"/>
      <c r="M250" s="26">
        <f t="shared" si="0"/>
        <v>0</v>
      </c>
      <c r="N250" s="26"/>
      <c r="O250" s="31"/>
      <c r="P250" s="29">
        <v>4</v>
      </c>
      <c r="Q250" s="30">
        <v>12991.56</v>
      </c>
      <c r="R250" s="27"/>
      <c r="S250" s="26">
        <f t="shared" si="7"/>
        <v>0</v>
      </c>
      <c r="T250" s="26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1" t="s">
        <v>351</v>
      </c>
      <c r="G251" s="55" t="s">
        <v>28</v>
      </c>
      <c r="H251" s="121">
        <v>1</v>
      </c>
      <c r="I251" s="57"/>
      <c r="J251" s="57"/>
      <c r="K251" s="43"/>
      <c r="L251" s="44"/>
      <c r="M251" s="43">
        <f t="shared" si="0"/>
        <v>0</v>
      </c>
      <c r="N251" s="43"/>
      <c r="O251" s="45"/>
      <c r="P251" s="42"/>
      <c r="Q251" s="43"/>
      <c r="R251" s="44"/>
      <c r="S251" s="43">
        <f t="shared" si="7"/>
        <v>1921</v>
      </c>
      <c r="T251" s="43"/>
      <c r="U251" s="45">
        <f>1921</f>
        <v>1921</v>
      </c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201</v>
      </c>
      <c r="C252" s="374"/>
      <c r="D252" s="374"/>
      <c r="E252" s="374"/>
      <c r="F252" s="22"/>
      <c r="G252" s="23" t="s">
        <v>24</v>
      </c>
      <c r="H252" s="61">
        <v>7</v>
      </c>
      <c r="I252" s="62">
        <v>1</v>
      </c>
      <c r="J252" s="62">
        <v>2</v>
      </c>
      <c r="K252" s="30">
        <v>2011.09</v>
      </c>
      <c r="L252" s="27"/>
      <c r="M252" s="26">
        <f t="shared" si="0"/>
        <v>0</v>
      </c>
      <c r="N252" s="26"/>
      <c r="O252" s="159"/>
      <c r="P252" s="53">
        <v>2</v>
      </c>
      <c r="Q252" s="30">
        <v>4356.83</v>
      </c>
      <c r="R252" s="27"/>
      <c r="S252" s="26">
        <f t="shared" si="7"/>
        <v>0</v>
      </c>
      <c r="T252" s="26"/>
      <c r="U252" s="28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105"/>
      <c r="G253" s="35" t="s">
        <v>25</v>
      </c>
      <c r="H253" s="106"/>
      <c r="I253" s="38"/>
      <c r="J253" s="38"/>
      <c r="K253" s="39"/>
      <c r="L253" s="40"/>
      <c r="M253" s="39">
        <f t="shared" si="0"/>
        <v>0</v>
      </c>
      <c r="N253" s="39"/>
      <c r="O253" s="58"/>
      <c r="P253" s="115">
        <v>1</v>
      </c>
      <c r="Q253" s="68">
        <v>3073.6</v>
      </c>
      <c r="R253" s="285">
        <v>1</v>
      </c>
      <c r="S253" s="68">
        <v>3073.6</v>
      </c>
      <c r="T253" s="68">
        <v>3073.6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82"/>
      <c r="B254" s="381" t="s">
        <v>202</v>
      </c>
      <c r="C254" s="381" t="s">
        <v>22</v>
      </c>
      <c r="D254" s="381"/>
      <c r="E254" s="381" t="s">
        <v>27</v>
      </c>
      <c r="F254" s="110"/>
      <c r="G254" s="47" t="s">
        <v>24</v>
      </c>
      <c r="H254" s="48">
        <v>1</v>
      </c>
      <c r="I254" s="49"/>
      <c r="J254" s="49"/>
      <c r="K254" s="50"/>
      <c r="L254" s="51"/>
      <c r="M254" s="50">
        <f t="shared" si="0"/>
        <v>0</v>
      </c>
      <c r="N254" s="50"/>
      <c r="O254" s="31"/>
      <c r="P254" s="108">
        <v>1</v>
      </c>
      <c r="Q254" s="65">
        <v>1124.17</v>
      </c>
      <c r="R254" s="51"/>
      <c r="S254" s="50">
        <f t="shared" ref="S254:S259" si="8">T254+U254</f>
        <v>0</v>
      </c>
      <c r="T254" s="50"/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1" t="s">
        <v>262</v>
      </c>
      <c r="G255" s="55" t="s">
        <v>28</v>
      </c>
      <c r="H255" s="112">
        <v>1</v>
      </c>
      <c r="I255" s="57"/>
      <c r="J255" s="57"/>
      <c r="K255" s="43"/>
      <c r="L255" s="128"/>
      <c r="M255" s="129">
        <f t="shared" si="0"/>
        <v>0</v>
      </c>
      <c r="N255" s="43"/>
      <c r="O255" s="45"/>
      <c r="P255" s="113">
        <v>1</v>
      </c>
      <c r="Q255" s="114">
        <v>1344.7</v>
      </c>
      <c r="R255" s="128"/>
      <c r="S255" s="129">
        <f t="shared" si="8"/>
        <v>3649.9</v>
      </c>
      <c r="T255" s="43"/>
      <c r="U255" s="45">
        <f>3649.9</f>
        <v>3649.9</v>
      </c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203</v>
      </c>
      <c r="C256" s="374"/>
      <c r="D256" s="374"/>
      <c r="E256" s="374" t="s">
        <v>27</v>
      </c>
      <c r="F256" s="60"/>
      <c r="G256" s="23" t="s">
        <v>24</v>
      </c>
      <c r="H256" s="104"/>
      <c r="I256" s="25"/>
      <c r="J256" s="25"/>
      <c r="K256" s="26"/>
      <c r="L256" s="27"/>
      <c r="M256" s="26">
        <f t="shared" si="0"/>
        <v>0</v>
      </c>
      <c r="N256" s="26"/>
      <c r="O256" s="28"/>
      <c r="P256" s="120"/>
      <c r="Q256" s="26"/>
      <c r="R256" s="27"/>
      <c r="S256" s="26">
        <f t="shared" si="8"/>
        <v>0</v>
      </c>
      <c r="T256" s="26"/>
      <c r="U256" s="28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34"/>
      <c r="G257" s="35" t="s">
        <v>28</v>
      </c>
      <c r="H257" s="117"/>
      <c r="I257" s="38"/>
      <c r="J257" s="38"/>
      <c r="K257" s="39"/>
      <c r="L257" s="40"/>
      <c r="M257" s="39">
        <f t="shared" si="0"/>
        <v>0</v>
      </c>
      <c r="N257" s="39"/>
      <c r="O257" s="41"/>
      <c r="P257" s="69"/>
      <c r="Q257" s="39"/>
      <c r="R257" s="40"/>
      <c r="S257" s="39">
        <f t="shared" si="8"/>
        <v>0</v>
      </c>
      <c r="T257" s="39"/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204</v>
      </c>
      <c r="C258" s="381" t="s">
        <v>22</v>
      </c>
      <c r="D258" s="381"/>
      <c r="E258" s="381" t="s">
        <v>23</v>
      </c>
      <c r="F258" s="127"/>
      <c r="G258" s="47" t="s">
        <v>24</v>
      </c>
      <c r="H258" s="48">
        <v>6</v>
      </c>
      <c r="I258" s="203">
        <v>1</v>
      </c>
      <c r="J258" s="203">
        <v>1</v>
      </c>
      <c r="K258" s="65">
        <v>384.2</v>
      </c>
      <c r="L258" s="51"/>
      <c r="M258" s="50">
        <f t="shared" si="0"/>
        <v>0</v>
      </c>
      <c r="N258" s="50"/>
      <c r="O258" s="31"/>
      <c r="P258" s="108">
        <v>4</v>
      </c>
      <c r="Q258" s="65">
        <v>3363.11</v>
      </c>
      <c r="R258" s="51"/>
      <c r="S258" s="50">
        <f t="shared" si="8"/>
        <v>0</v>
      </c>
      <c r="T258" s="50"/>
      <c r="U258" s="3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34"/>
      <c r="G259" s="35" t="s">
        <v>25</v>
      </c>
      <c r="H259" s="111"/>
      <c r="I259" s="38"/>
      <c r="J259" s="38"/>
      <c r="K259" s="39"/>
      <c r="L259" s="40"/>
      <c r="M259" s="39">
        <f t="shared" si="0"/>
        <v>0</v>
      </c>
      <c r="N259" s="39"/>
      <c r="O259" s="41"/>
      <c r="P259" s="59"/>
      <c r="Q259" s="39"/>
      <c r="R259" s="40"/>
      <c r="S259" s="39">
        <f t="shared" si="8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179"/>
      <c r="B260" s="180" t="s">
        <v>205</v>
      </c>
      <c r="C260" s="180"/>
      <c r="D260" s="180"/>
      <c r="E260" s="180"/>
      <c r="F260" s="180"/>
      <c r="G260" s="181"/>
      <c r="H260" s="182">
        <f t="shared" ref="H260:U260" si="9">SUM(H9:H259)</f>
        <v>532</v>
      </c>
      <c r="I260" s="183">
        <f t="shared" si="9"/>
        <v>172</v>
      </c>
      <c r="J260" s="183">
        <f t="shared" si="9"/>
        <v>190</v>
      </c>
      <c r="K260" s="184">
        <f t="shared" si="9"/>
        <v>269527.51</v>
      </c>
      <c r="L260" s="185">
        <f t="shared" si="9"/>
        <v>0</v>
      </c>
      <c r="M260" s="184">
        <f t="shared" si="9"/>
        <v>1344.7</v>
      </c>
      <c r="N260" s="184">
        <f t="shared" si="9"/>
        <v>0</v>
      </c>
      <c r="O260" s="186">
        <f t="shared" si="9"/>
        <v>1344.7</v>
      </c>
      <c r="P260" s="187">
        <f t="shared" si="9"/>
        <v>841</v>
      </c>
      <c r="Q260" s="188">
        <f t="shared" si="9"/>
        <v>2457973.9300000002</v>
      </c>
      <c r="R260" s="185">
        <f t="shared" si="9"/>
        <v>112</v>
      </c>
      <c r="S260" s="188">
        <f t="shared" si="9"/>
        <v>790818.44</v>
      </c>
      <c r="T260" s="188">
        <f t="shared" si="9"/>
        <v>341110.55999999994</v>
      </c>
      <c r="U260" s="189">
        <f t="shared" si="9"/>
        <v>449707.88</v>
      </c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4"/>
      <c r="I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H263" s="4" t="s">
        <v>206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7.75" customHeight="1">
      <c r="A264" s="4"/>
      <c r="B264" s="4"/>
      <c r="C264" s="4"/>
      <c r="D264" s="4"/>
      <c r="E264" s="4"/>
      <c r="F264" s="394"/>
      <c r="G264" s="395" t="s">
        <v>5</v>
      </c>
      <c r="H264" s="396"/>
      <c r="I264" s="396"/>
      <c r="J264" s="396"/>
      <c r="K264" s="396"/>
      <c r="L264" s="396"/>
      <c r="M264" s="396"/>
      <c r="N264" s="397"/>
      <c r="O264" s="395" t="s">
        <v>6</v>
      </c>
      <c r="P264" s="396"/>
      <c r="Q264" s="396"/>
      <c r="R264" s="396"/>
      <c r="S264" s="396"/>
      <c r="T264" s="397"/>
      <c r="U264" s="393" t="s">
        <v>207</v>
      </c>
      <c r="V264" s="393" t="s">
        <v>208</v>
      </c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386"/>
      <c r="G265" s="190" t="s">
        <v>13</v>
      </c>
      <c r="H265" s="190" t="s">
        <v>14</v>
      </c>
      <c r="I265" s="190" t="s">
        <v>15</v>
      </c>
      <c r="J265" s="190" t="s">
        <v>16</v>
      </c>
      <c r="K265" s="191" t="s">
        <v>17</v>
      </c>
      <c r="L265" s="190" t="s">
        <v>18</v>
      </c>
      <c r="M265" s="190" t="s">
        <v>19</v>
      </c>
      <c r="N265" s="190" t="s">
        <v>20</v>
      </c>
      <c r="O265" s="190" t="s">
        <v>15</v>
      </c>
      <c r="P265" s="190" t="s">
        <v>16</v>
      </c>
      <c r="Q265" s="191" t="s">
        <v>17</v>
      </c>
      <c r="R265" s="190" t="s">
        <v>18</v>
      </c>
      <c r="S265" s="190" t="s">
        <v>19</v>
      </c>
      <c r="T265" s="190" t="s">
        <v>20</v>
      </c>
      <c r="U265" s="392"/>
      <c r="V265" s="392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192" t="s">
        <v>24</v>
      </c>
      <c r="G266" s="193">
        <f t="shared" ref="G266:I266" si="10">SUMIF($G$9:$G$259,$F$266,H9:H259)</f>
        <v>342</v>
      </c>
      <c r="H266" s="193">
        <f t="shared" si="10"/>
        <v>141</v>
      </c>
      <c r="I266" s="193">
        <f t="shared" si="10"/>
        <v>159</v>
      </c>
      <c r="J266" s="194">
        <f t="shared" ref="J266:J268" si="11">SUMIF($G$9:$G$259,F266,$K$9:$K$259)</f>
        <v>224545.11000000002</v>
      </c>
      <c r="K266" s="195">
        <f t="shared" ref="K266:K268" si="12">SUMIF($G$9:$G$259,F266,$L$9:$L$259)</f>
        <v>0</v>
      </c>
      <c r="L266" s="194">
        <f t="shared" ref="L266:L268" si="13">SUMIF($G$9:$G$259,F266,$M$9:$M$259)</f>
        <v>0</v>
      </c>
      <c r="M266" s="194">
        <f t="shared" ref="M266:O266" si="14">SUMIF($G$9:$G$259,$F$266,N9:N259)</f>
        <v>0</v>
      </c>
      <c r="N266" s="194">
        <f t="shared" si="14"/>
        <v>0</v>
      </c>
      <c r="O266" s="193">
        <f t="shared" si="14"/>
        <v>723</v>
      </c>
      <c r="P266" s="194">
        <f t="shared" ref="P266:P268" si="15">SUMIF($G$9:$G$259,F266,$Q$9:$Q$259)</f>
        <v>2163532.38</v>
      </c>
      <c r="Q266" s="195">
        <f t="shared" ref="Q266:Q268" si="16">SUMIF($G$9:$G$259,F266,$R$9:$R$259)</f>
        <v>98</v>
      </c>
      <c r="R266" s="194">
        <f t="shared" ref="R266:R268" si="17">SUMIF($G$9:$G$259,F266,$S$9:$S$259)</f>
        <v>630507.25000000012</v>
      </c>
      <c r="S266" s="194">
        <f t="shared" ref="S266:T266" si="18">SUMIF($G$9:$G$259,$F$266,T9:T259)</f>
        <v>296287.53000000003</v>
      </c>
      <c r="T266" s="194">
        <f t="shared" si="18"/>
        <v>334219.72000000003</v>
      </c>
      <c r="U266" s="194">
        <f t="shared" ref="U266:U268" si="19">S266+M266</f>
        <v>296287.53000000003</v>
      </c>
      <c r="V266" s="196">
        <f t="shared" ref="V266:V268" si="20">J266-M266+P266-S266</f>
        <v>2091789.9599999997</v>
      </c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192" t="s">
        <v>28</v>
      </c>
      <c r="G267" s="236">
        <f t="shared" ref="G267:I267" si="21">SUMIF($G$9:$G$259,$F$267,H9:H259)</f>
        <v>155</v>
      </c>
      <c r="H267" s="193">
        <f t="shared" si="21"/>
        <v>22</v>
      </c>
      <c r="I267" s="193">
        <f t="shared" si="21"/>
        <v>22</v>
      </c>
      <c r="J267" s="194">
        <f t="shared" si="11"/>
        <v>31823.549999999996</v>
      </c>
      <c r="K267" s="195">
        <f t="shared" si="12"/>
        <v>0</v>
      </c>
      <c r="L267" s="194">
        <f t="shared" si="13"/>
        <v>1344.7</v>
      </c>
      <c r="M267" s="194">
        <f t="shared" ref="M267:O267" si="22">SUMIF($G$9:$G$259,$F$267,N9:N259)</f>
        <v>0</v>
      </c>
      <c r="N267" s="194">
        <f t="shared" si="22"/>
        <v>1344.7</v>
      </c>
      <c r="O267" s="193">
        <f t="shared" si="22"/>
        <v>92</v>
      </c>
      <c r="P267" s="194">
        <f t="shared" si="15"/>
        <v>215049.96000000002</v>
      </c>
      <c r="Q267" s="195">
        <f t="shared" si="16"/>
        <v>0</v>
      </c>
      <c r="R267" s="194">
        <f t="shared" si="17"/>
        <v>115488.16000000002</v>
      </c>
      <c r="S267" s="194">
        <f t="shared" ref="S267:T267" si="23">SUMIF($G$9:$G$259,$F$267,T9:T259)</f>
        <v>0</v>
      </c>
      <c r="T267" s="194">
        <f t="shared" si="23"/>
        <v>115488.16000000002</v>
      </c>
      <c r="U267" s="194">
        <f t="shared" si="19"/>
        <v>0</v>
      </c>
      <c r="V267" s="196">
        <f t="shared" si="20"/>
        <v>246873.51</v>
      </c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192" t="s">
        <v>25</v>
      </c>
      <c r="G268" s="193">
        <f t="shared" ref="G268:I268" si="24">SUMIF($G$9:$G$259,$F$268,H9:H259)</f>
        <v>35</v>
      </c>
      <c r="H268" s="193">
        <f t="shared" si="24"/>
        <v>9</v>
      </c>
      <c r="I268" s="193">
        <f t="shared" si="24"/>
        <v>9</v>
      </c>
      <c r="J268" s="194">
        <f t="shared" si="11"/>
        <v>13158.85</v>
      </c>
      <c r="K268" s="195">
        <f t="shared" si="12"/>
        <v>0</v>
      </c>
      <c r="L268" s="194">
        <f t="shared" si="13"/>
        <v>0</v>
      </c>
      <c r="M268" s="194">
        <f t="shared" ref="M268:O268" si="25">SUMIF($G$9:$G$259,$F$268,N9:N259)</f>
        <v>0</v>
      </c>
      <c r="N268" s="194">
        <f t="shared" si="25"/>
        <v>0</v>
      </c>
      <c r="O268" s="193">
        <f t="shared" si="25"/>
        <v>26</v>
      </c>
      <c r="P268" s="194">
        <f t="shared" si="15"/>
        <v>79391.590000000011</v>
      </c>
      <c r="Q268" s="195">
        <f t="shared" si="16"/>
        <v>14</v>
      </c>
      <c r="R268" s="194">
        <f t="shared" si="17"/>
        <v>44823.030000000006</v>
      </c>
      <c r="S268" s="194">
        <f t="shared" ref="S268:T268" si="26">SUMIF($G$9:$G$259,$F$268,T9:T259)</f>
        <v>44823.030000000006</v>
      </c>
      <c r="T268" s="194">
        <f t="shared" si="26"/>
        <v>0</v>
      </c>
      <c r="U268" s="194">
        <f t="shared" si="19"/>
        <v>44823.030000000006</v>
      </c>
      <c r="V268" s="196">
        <f t="shared" si="20"/>
        <v>47727.410000000011</v>
      </c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4"/>
      <c r="G269" s="197">
        <f t="shared" ref="G269:V269" si="27">G268+G267+G266</f>
        <v>532</v>
      </c>
      <c r="H269" s="197">
        <f t="shared" si="27"/>
        <v>172</v>
      </c>
      <c r="I269" s="197">
        <f t="shared" si="27"/>
        <v>190</v>
      </c>
      <c r="J269" s="198">
        <f t="shared" si="27"/>
        <v>269527.51</v>
      </c>
      <c r="K269" s="199">
        <f t="shared" si="27"/>
        <v>0</v>
      </c>
      <c r="L269" s="198">
        <f t="shared" si="27"/>
        <v>1344.7</v>
      </c>
      <c r="M269" s="198">
        <f t="shared" si="27"/>
        <v>0</v>
      </c>
      <c r="N269" s="198">
        <f t="shared" si="27"/>
        <v>1344.7</v>
      </c>
      <c r="O269" s="197">
        <f t="shared" si="27"/>
        <v>841</v>
      </c>
      <c r="P269" s="198">
        <f t="shared" si="27"/>
        <v>2457973.9299999997</v>
      </c>
      <c r="Q269" s="200">
        <f t="shared" si="27"/>
        <v>112</v>
      </c>
      <c r="R269" s="198">
        <f t="shared" si="27"/>
        <v>790818.44000000018</v>
      </c>
      <c r="S269" s="198">
        <f t="shared" si="27"/>
        <v>341110.56000000006</v>
      </c>
      <c r="T269" s="198">
        <f t="shared" si="27"/>
        <v>449707.88000000006</v>
      </c>
      <c r="U269" s="198">
        <f t="shared" si="27"/>
        <v>341110.56000000006</v>
      </c>
      <c r="V269" s="198">
        <f t="shared" si="27"/>
        <v>2386390.88</v>
      </c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L422" s="2"/>
      <c r="R422" s="2"/>
    </row>
    <row r="423" spans="11:18" ht="15.75" customHeight="1">
      <c r="L423" s="2"/>
      <c r="R423" s="2"/>
    </row>
    <row r="424" spans="11:18" ht="15.75" customHeight="1">
      <c r="L424" s="2"/>
      <c r="R424" s="2"/>
    </row>
    <row r="425" spans="11:18" ht="15.75" customHeight="1">
      <c r="L425" s="2"/>
      <c r="R425" s="2"/>
    </row>
    <row r="426" spans="11:18" ht="15.75" customHeight="1">
      <c r="L426" s="2"/>
      <c r="R426" s="2"/>
    </row>
    <row r="427" spans="11:18" ht="15.75" customHeight="1">
      <c r="L427" s="2"/>
      <c r="R427" s="2"/>
    </row>
    <row r="428" spans="11:18" ht="15.75" customHeight="1">
      <c r="L428" s="2"/>
      <c r="R428" s="2"/>
    </row>
    <row r="429" spans="11:18" ht="15.75" customHeight="1">
      <c r="L429" s="2"/>
      <c r="R429" s="2"/>
    </row>
    <row r="430" spans="11:18" ht="15.75" customHeight="1">
      <c r="L430" s="2"/>
      <c r="R430" s="2"/>
    </row>
    <row r="431" spans="11:18" ht="15.75" customHeight="1">
      <c r="L431" s="2"/>
      <c r="R431" s="2"/>
    </row>
    <row r="432" spans="11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</sheetData>
  <mergeCells count="623">
    <mergeCell ref="D202:D203"/>
    <mergeCell ref="E202:E203"/>
    <mergeCell ref="A198:A199"/>
    <mergeCell ref="A200:A201"/>
    <mergeCell ref="B200:B201"/>
    <mergeCell ref="C200:C201"/>
    <mergeCell ref="D200:D201"/>
    <mergeCell ref="E200:E201"/>
    <mergeCell ref="A202:A203"/>
    <mergeCell ref="E192:E193"/>
    <mergeCell ref="B194:B195"/>
    <mergeCell ref="C198:C199"/>
    <mergeCell ref="D198:D199"/>
    <mergeCell ref="A196:A197"/>
    <mergeCell ref="B196:B197"/>
    <mergeCell ref="C196:C197"/>
    <mergeCell ref="D196:D197"/>
    <mergeCell ref="E196:E197"/>
    <mergeCell ref="B198:B199"/>
    <mergeCell ref="E198:E199"/>
    <mergeCell ref="A165:A166"/>
    <mergeCell ref="B165:B166"/>
    <mergeCell ref="C165:C166"/>
    <mergeCell ref="D165:D166"/>
    <mergeCell ref="E165:E166"/>
    <mergeCell ref="D181:D182"/>
    <mergeCell ref="E181:E182"/>
    <mergeCell ref="D183:D184"/>
    <mergeCell ref="E183:E184"/>
    <mergeCell ref="B181:B182"/>
    <mergeCell ref="C181:C182"/>
    <mergeCell ref="A183:A184"/>
    <mergeCell ref="B183:B184"/>
    <mergeCell ref="C183:C184"/>
    <mergeCell ref="A155:A156"/>
    <mergeCell ref="B155:B156"/>
    <mergeCell ref="C155:C156"/>
    <mergeCell ref="D155:D156"/>
    <mergeCell ref="E155:E156"/>
    <mergeCell ref="A146:A148"/>
    <mergeCell ref="A149:A150"/>
    <mergeCell ref="B149:B150"/>
    <mergeCell ref="A151:A152"/>
    <mergeCell ref="B151:B152"/>
    <mergeCell ref="A153:A154"/>
    <mergeCell ref="B153:B154"/>
    <mergeCell ref="A144:A145"/>
    <mergeCell ref="B144:B145"/>
    <mergeCell ref="C144:C145"/>
    <mergeCell ref="D144:D145"/>
    <mergeCell ref="E144:E145"/>
    <mergeCell ref="B146:B148"/>
    <mergeCell ref="E146:E148"/>
    <mergeCell ref="C151:C152"/>
    <mergeCell ref="C153:C154"/>
    <mergeCell ref="D153:D154"/>
    <mergeCell ref="E153:E154"/>
    <mergeCell ref="C146:C148"/>
    <mergeCell ref="D146:D148"/>
    <mergeCell ref="C149:C150"/>
    <mergeCell ref="D149:D150"/>
    <mergeCell ref="E149:E150"/>
    <mergeCell ref="D151:D152"/>
    <mergeCell ref="E151:E152"/>
    <mergeCell ref="A157:A158"/>
    <mergeCell ref="B157:B158"/>
    <mergeCell ref="C157:C158"/>
    <mergeCell ref="D157:D158"/>
    <mergeCell ref="E157:E158"/>
    <mergeCell ref="B159:B160"/>
    <mergeCell ref="E159:E160"/>
    <mergeCell ref="D163:D164"/>
    <mergeCell ref="E163:E164"/>
    <mergeCell ref="A159:A160"/>
    <mergeCell ref="A161:A162"/>
    <mergeCell ref="B161:B162"/>
    <mergeCell ref="C161:C162"/>
    <mergeCell ref="D161:D162"/>
    <mergeCell ref="E161:E162"/>
    <mergeCell ref="A163:A164"/>
    <mergeCell ref="C159:C160"/>
    <mergeCell ref="D159:D160"/>
    <mergeCell ref="B163:B164"/>
    <mergeCell ref="C163:C164"/>
    <mergeCell ref="A244:A245"/>
    <mergeCell ref="B244:B245"/>
    <mergeCell ref="C244:C245"/>
    <mergeCell ref="D244:D245"/>
    <mergeCell ref="E244:E245"/>
    <mergeCell ref="A246:A247"/>
    <mergeCell ref="A258:A259"/>
    <mergeCell ref="B258:B259"/>
    <mergeCell ref="C258:C259"/>
    <mergeCell ref="D258:D259"/>
    <mergeCell ref="E258:E259"/>
    <mergeCell ref="B254:B255"/>
    <mergeCell ref="C254:C255"/>
    <mergeCell ref="A256:A257"/>
    <mergeCell ref="B256:B257"/>
    <mergeCell ref="C256:C257"/>
    <mergeCell ref="D256:D257"/>
    <mergeCell ref="E256:E257"/>
    <mergeCell ref="D238:D239"/>
    <mergeCell ref="E238:E239"/>
    <mergeCell ref="D240:D241"/>
    <mergeCell ref="E240:E241"/>
    <mergeCell ref="D242:D243"/>
    <mergeCell ref="E242:E243"/>
    <mergeCell ref="A234:A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A240:A241"/>
    <mergeCell ref="B240:B241"/>
    <mergeCell ref="C240:C241"/>
    <mergeCell ref="B242:B243"/>
    <mergeCell ref="C242:C243"/>
    <mergeCell ref="A242:A243"/>
    <mergeCell ref="C234:C235"/>
    <mergeCell ref="D234:D235"/>
    <mergeCell ref="A232:A233"/>
    <mergeCell ref="B232:B233"/>
    <mergeCell ref="C232:C233"/>
    <mergeCell ref="D232:D233"/>
    <mergeCell ref="E232:E233"/>
    <mergeCell ref="B234:B235"/>
    <mergeCell ref="E234:E235"/>
    <mergeCell ref="D254:D255"/>
    <mergeCell ref="E254:E255"/>
    <mergeCell ref="G264:N264"/>
    <mergeCell ref="O264:T264"/>
    <mergeCell ref="U264:U265"/>
    <mergeCell ref="V264:V265"/>
    <mergeCell ref="A250:A251"/>
    <mergeCell ref="A252:A253"/>
    <mergeCell ref="B252:B253"/>
    <mergeCell ref="C252:C253"/>
    <mergeCell ref="D252:D253"/>
    <mergeCell ref="E252:E253"/>
    <mergeCell ref="A254:A255"/>
    <mergeCell ref="F264:F265"/>
    <mergeCell ref="D246:D247"/>
    <mergeCell ref="E246:E247"/>
    <mergeCell ref="D248:D249"/>
    <mergeCell ref="E248:E249"/>
    <mergeCell ref="D250:D251"/>
    <mergeCell ref="E250:E251"/>
    <mergeCell ref="B246:B247"/>
    <mergeCell ref="C246:C247"/>
    <mergeCell ref="A248:A249"/>
    <mergeCell ref="B248:B249"/>
    <mergeCell ref="C248:C249"/>
    <mergeCell ref="B250:B251"/>
    <mergeCell ref="C250:C251"/>
    <mergeCell ref="A218:A219"/>
    <mergeCell ref="B218:B219"/>
    <mergeCell ref="C218:C219"/>
    <mergeCell ref="D218:D219"/>
    <mergeCell ref="E218:E219"/>
    <mergeCell ref="A220:A221"/>
    <mergeCell ref="B228:B229"/>
    <mergeCell ref="C228:C229"/>
    <mergeCell ref="A230:A231"/>
    <mergeCell ref="B230:B231"/>
    <mergeCell ref="C230:C231"/>
    <mergeCell ref="D230:D231"/>
    <mergeCell ref="E230:E231"/>
    <mergeCell ref="D220:D221"/>
    <mergeCell ref="E220:E221"/>
    <mergeCell ref="D222:D223"/>
    <mergeCell ref="E222:E223"/>
    <mergeCell ref="D224:D225"/>
    <mergeCell ref="E224:E225"/>
    <mergeCell ref="B220:B221"/>
    <mergeCell ref="C220:C221"/>
    <mergeCell ref="A222:A223"/>
    <mergeCell ref="B222:B223"/>
    <mergeCell ref="C222:C223"/>
    <mergeCell ref="D212:D213"/>
    <mergeCell ref="E212:E213"/>
    <mergeCell ref="D214:D215"/>
    <mergeCell ref="E214:E215"/>
    <mergeCell ref="D216:D217"/>
    <mergeCell ref="E216:E217"/>
    <mergeCell ref="A208:A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A214:A215"/>
    <mergeCell ref="B214:B215"/>
    <mergeCell ref="C214:C215"/>
    <mergeCell ref="B216:B217"/>
    <mergeCell ref="C216:C217"/>
    <mergeCell ref="A216:A217"/>
    <mergeCell ref="C208:C209"/>
    <mergeCell ref="D208:D209"/>
    <mergeCell ref="A206:A207"/>
    <mergeCell ref="B206:B207"/>
    <mergeCell ref="C206:C207"/>
    <mergeCell ref="D206:D207"/>
    <mergeCell ref="E206:E207"/>
    <mergeCell ref="B208:B209"/>
    <mergeCell ref="E208:E209"/>
    <mergeCell ref="D228:D229"/>
    <mergeCell ref="E228:E229"/>
    <mergeCell ref="A224:A225"/>
    <mergeCell ref="A226:A227"/>
    <mergeCell ref="B226:B227"/>
    <mergeCell ref="C226:C227"/>
    <mergeCell ref="D226:D227"/>
    <mergeCell ref="E226:E227"/>
    <mergeCell ref="A228:A229"/>
    <mergeCell ref="B224:B225"/>
    <mergeCell ref="C224:C225"/>
    <mergeCell ref="A179:A180"/>
    <mergeCell ref="B179:B180"/>
    <mergeCell ref="C179:C180"/>
    <mergeCell ref="D179:D180"/>
    <mergeCell ref="E179:E180"/>
    <mergeCell ref="A181:A182"/>
    <mergeCell ref="B202:B203"/>
    <mergeCell ref="C202:C203"/>
    <mergeCell ref="A204:A205"/>
    <mergeCell ref="B204:B205"/>
    <mergeCell ref="C204:C205"/>
    <mergeCell ref="D204:D205"/>
    <mergeCell ref="E204:E205"/>
    <mergeCell ref="D185:D187"/>
    <mergeCell ref="E185:E187"/>
    <mergeCell ref="B185:B187"/>
    <mergeCell ref="C185:C187"/>
    <mergeCell ref="D192:D193"/>
    <mergeCell ref="D194:D195"/>
    <mergeCell ref="B190:B191"/>
    <mergeCell ref="C190:C191"/>
    <mergeCell ref="A192:A193"/>
    <mergeCell ref="B192:B193"/>
    <mergeCell ref="C192:C193"/>
    <mergeCell ref="E173:E174"/>
    <mergeCell ref="D175:D176"/>
    <mergeCell ref="E175:E176"/>
    <mergeCell ref="D177:D178"/>
    <mergeCell ref="E177:E178"/>
    <mergeCell ref="A169:A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A175:A176"/>
    <mergeCell ref="B175:B176"/>
    <mergeCell ref="C175:C176"/>
    <mergeCell ref="B177:B178"/>
    <mergeCell ref="C177:C178"/>
    <mergeCell ref="A177:A178"/>
    <mergeCell ref="A141:A143"/>
    <mergeCell ref="B141:B143"/>
    <mergeCell ref="C141:C143"/>
    <mergeCell ref="D141:D143"/>
    <mergeCell ref="E141:E143"/>
    <mergeCell ref="D190:D191"/>
    <mergeCell ref="E190:E191"/>
    <mergeCell ref="A185:A187"/>
    <mergeCell ref="A188:A189"/>
    <mergeCell ref="B188:B189"/>
    <mergeCell ref="C188:C189"/>
    <mergeCell ref="D188:D189"/>
    <mergeCell ref="E188:E189"/>
    <mergeCell ref="A190:A191"/>
    <mergeCell ref="C169:C170"/>
    <mergeCell ref="D169:D170"/>
    <mergeCell ref="A167:A168"/>
    <mergeCell ref="B167:B168"/>
    <mergeCell ref="C167:C168"/>
    <mergeCell ref="D167:D168"/>
    <mergeCell ref="E167:E168"/>
    <mergeCell ref="B169:B170"/>
    <mergeCell ref="E169:E170"/>
    <mergeCell ref="D173:D174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9:D140"/>
    <mergeCell ref="E139:E140"/>
    <mergeCell ref="A135:A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A130:A132"/>
    <mergeCell ref="B130:B132"/>
    <mergeCell ref="C130:C132"/>
    <mergeCell ref="D130:D132"/>
    <mergeCell ref="E130:E132"/>
    <mergeCell ref="C135:C136"/>
    <mergeCell ref="D135:D136"/>
    <mergeCell ref="A133:A134"/>
    <mergeCell ref="B133:B134"/>
    <mergeCell ref="C133:C134"/>
    <mergeCell ref="D133:D134"/>
    <mergeCell ref="E133:E134"/>
    <mergeCell ref="B135:B136"/>
    <mergeCell ref="E135:E136"/>
    <mergeCell ref="A124:A125"/>
    <mergeCell ref="A126:A127"/>
    <mergeCell ref="B126:B127"/>
    <mergeCell ref="C126:C127"/>
    <mergeCell ref="D126:D127"/>
    <mergeCell ref="E126:E127"/>
    <mergeCell ref="A128:A129"/>
    <mergeCell ref="B128:B129"/>
    <mergeCell ref="C128:C129"/>
    <mergeCell ref="D128:D129"/>
    <mergeCell ref="E128:E129"/>
    <mergeCell ref="A99:A100"/>
    <mergeCell ref="B99:B100"/>
    <mergeCell ref="C99:C100"/>
    <mergeCell ref="D99:D100"/>
    <mergeCell ref="E99:E100"/>
    <mergeCell ref="A101:A102"/>
    <mergeCell ref="B109:B111"/>
    <mergeCell ref="C109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1"/>
    <mergeCell ref="E109:E111"/>
    <mergeCell ref="A105:A106"/>
    <mergeCell ref="A107:A108"/>
    <mergeCell ref="B107:B108"/>
    <mergeCell ref="C107:C108"/>
    <mergeCell ref="D107:D108"/>
    <mergeCell ref="E107:E108"/>
    <mergeCell ref="A109:A111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0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6</v>
      </c>
      <c r="I9" s="25"/>
      <c r="J9" s="25"/>
      <c r="K9" s="26"/>
      <c r="L9" s="27"/>
      <c r="M9" s="26">
        <f t="shared" ref="M9:M261" si="0">N9+O9</f>
        <v>0</v>
      </c>
      <c r="N9" s="26"/>
      <c r="O9" s="28"/>
      <c r="P9" s="29">
        <v>7</v>
      </c>
      <c r="Q9" s="30">
        <v>18177.259999999998</v>
      </c>
      <c r="R9" s="27"/>
      <c r="S9" s="26">
        <f t="shared" ref="S9:S3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35" t="s">
        <v>25</v>
      </c>
      <c r="H10" s="66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223" t="s">
        <v>250</v>
      </c>
      <c r="G11" s="47" t="s">
        <v>24</v>
      </c>
      <c r="H11" s="48">
        <v>5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2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6</v>
      </c>
      <c r="I13" s="62">
        <v>4</v>
      </c>
      <c r="J13" s="62">
        <v>6</v>
      </c>
      <c r="K13" s="30">
        <v>11503.8</v>
      </c>
      <c r="L13" s="27"/>
      <c r="M13" s="26">
        <f t="shared" si="0"/>
        <v>0</v>
      </c>
      <c r="N13" s="26"/>
      <c r="O13" s="63"/>
      <c r="P13" s="64">
        <v>13</v>
      </c>
      <c r="Q13" s="65">
        <v>52910.82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68">
        <v>15752.2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6"/>
      <c r="B15" s="377" t="s">
        <v>31</v>
      </c>
      <c r="C15" s="377" t="s">
        <v>22</v>
      </c>
      <c r="D15" s="377" t="s">
        <v>32</v>
      </c>
      <c r="E15" s="377" t="s">
        <v>27</v>
      </c>
      <c r="F15" s="72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33" t="s">
        <v>213</v>
      </c>
      <c r="G16" s="289" t="s">
        <v>28</v>
      </c>
      <c r="H16" s="260">
        <v>2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/>
      <c r="D17" s="374"/>
      <c r="E17" s="374"/>
      <c r="F17" s="22"/>
      <c r="G17" s="23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1</v>
      </c>
      <c r="J19" s="266">
        <v>1</v>
      </c>
      <c r="K19" s="79">
        <v>633.92999999999995</v>
      </c>
      <c r="L19" s="80"/>
      <c r="M19" s="81">
        <f t="shared" si="0"/>
        <v>0</v>
      </c>
      <c r="N19" s="81"/>
      <c r="O19" s="219"/>
      <c r="P19" s="267">
        <v>5</v>
      </c>
      <c r="Q19" s="79">
        <v>7296.52</v>
      </c>
      <c r="R19" s="268">
        <v>1</v>
      </c>
      <c r="S19" s="81">
        <f t="shared" si="1"/>
        <v>1045.98</v>
      </c>
      <c r="T19" s="79">
        <v>1045.98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0</v>
      </c>
      <c r="T20" s="39"/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40</v>
      </c>
      <c r="E21" s="381" t="s">
        <v>41</v>
      </c>
      <c r="F21" s="223" t="s">
        <v>255</v>
      </c>
      <c r="G21" s="23" t="s">
        <v>24</v>
      </c>
      <c r="H21" s="48">
        <v>4</v>
      </c>
      <c r="I21" s="203">
        <v>2</v>
      </c>
      <c r="J21" s="203">
        <v>2</v>
      </c>
      <c r="K21" s="65">
        <v>2155.37</v>
      </c>
      <c r="L21" s="51"/>
      <c r="M21" s="50">
        <f t="shared" si="0"/>
        <v>0</v>
      </c>
      <c r="N21" s="50"/>
      <c r="O21" s="31"/>
      <c r="P21" s="53">
        <v>14</v>
      </c>
      <c r="Q21" s="30">
        <v>22822.54</v>
      </c>
      <c r="R21" s="205">
        <v>2</v>
      </c>
      <c r="S21" s="26">
        <f t="shared" si="1"/>
        <v>3564.82</v>
      </c>
      <c r="T21" s="30">
        <v>3564.82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5</v>
      </c>
      <c r="I23" s="62">
        <v>3</v>
      </c>
      <c r="J23" s="62">
        <v>3</v>
      </c>
      <c r="K23" s="62">
        <v>2554.9299999999998</v>
      </c>
      <c r="L23" s="27"/>
      <c r="M23" s="26">
        <f t="shared" si="0"/>
        <v>0</v>
      </c>
      <c r="N23" s="26"/>
      <c r="O23" s="31"/>
      <c r="P23" s="53">
        <v>3</v>
      </c>
      <c r="Q23" s="30">
        <v>4222.78</v>
      </c>
      <c r="R23" s="205">
        <v>1</v>
      </c>
      <c r="S23" s="26">
        <f t="shared" si="1"/>
        <v>1979.72</v>
      </c>
      <c r="T23" s="30">
        <v>1979.72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1</v>
      </c>
      <c r="Q24" s="68">
        <v>1921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6"/>
      <c r="B25" s="377" t="s">
        <v>44</v>
      </c>
      <c r="C25" s="377" t="s">
        <v>39</v>
      </c>
      <c r="D25" s="377" t="s">
        <v>258</v>
      </c>
      <c r="E25" s="377" t="s">
        <v>27</v>
      </c>
      <c r="F25" s="232" t="s">
        <v>259</v>
      </c>
      <c r="G25" s="95" t="s">
        <v>24</v>
      </c>
      <c r="H25" s="48">
        <v>9</v>
      </c>
      <c r="I25" s="203">
        <v>7</v>
      </c>
      <c r="J25" s="203">
        <v>10</v>
      </c>
      <c r="K25" s="65">
        <v>12631.46</v>
      </c>
      <c r="L25" s="51"/>
      <c r="M25" s="50">
        <f t="shared" si="0"/>
        <v>0</v>
      </c>
      <c r="N25" s="50"/>
      <c r="O25" s="31"/>
      <c r="P25" s="53">
        <v>11</v>
      </c>
      <c r="Q25" s="30">
        <v>15426.2</v>
      </c>
      <c r="R25" s="205">
        <v>4</v>
      </c>
      <c r="S25" s="26">
        <f t="shared" si="1"/>
        <v>6437.97</v>
      </c>
      <c r="T25" s="30">
        <v>6437.97</v>
      </c>
      <c r="U25" s="100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9"/>
      <c r="B26" s="380"/>
      <c r="C26" s="380"/>
      <c r="D26" s="380"/>
      <c r="E26" s="380"/>
      <c r="F26" s="221" t="s">
        <v>216</v>
      </c>
      <c r="G26" s="55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4302</v>
      </c>
      <c r="T26" s="68">
        <v>4302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60"/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3</v>
      </c>
      <c r="Q27" s="30">
        <v>5212.92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14247.38</v>
      </c>
      <c r="T28" s="114">
        <v>14247.38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/>
      <c r="D29" s="374"/>
      <c r="E29" s="374"/>
      <c r="F29" s="22"/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0</v>
      </c>
      <c r="T29" s="26"/>
      <c r="U29" s="2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4</v>
      </c>
      <c r="I31" s="203">
        <v>2</v>
      </c>
      <c r="J31" s="203">
        <v>2</v>
      </c>
      <c r="K31" s="65">
        <v>2091.96</v>
      </c>
      <c r="L31" s="51"/>
      <c r="M31" s="50">
        <f t="shared" si="0"/>
        <v>0</v>
      </c>
      <c r="N31" s="50"/>
      <c r="O31" s="31"/>
      <c r="P31" s="108">
        <v>8</v>
      </c>
      <c r="Q31" s="65">
        <v>22873.08</v>
      </c>
      <c r="R31" s="224">
        <v>7</v>
      </c>
      <c r="S31" s="50">
        <f t="shared" si="1"/>
        <v>19258.7</v>
      </c>
      <c r="T31" s="65">
        <v>19258.7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2</v>
      </c>
      <c r="J32" s="130">
        <v>2</v>
      </c>
      <c r="K32" s="114">
        <v>4802.5</v>
      </c>
      <c r="L32" s="44"/>
      <c r="M32" s="43">
        <f t="shared" si="0"/>
        <v>0</v>
      </c>
      <c r="N32" s="43"/>
      <c r="O32" s="45"/>
      <c r="P32" s="113">
        <v>2</v>
      </c>
      <c r="Q32" s="114">
        <v>2593.35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/>
      <c r="D33" s="374"/>
      <c r="E33" s="374"/>
      <c r="F33" s="22"/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7"/>
      <c r="S33" s="26">
        <f t="shared" ref="S33:S87" si="2">T33+U33</f>
        <v>0</v>
      </c>
      <c r="T33" s="26"/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1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1</v>
      </c>
      <c r="S35" s="50">
        <f t="shared" si="2"/>
        <v>3647.94</v>
      </c>
      <c r="T35" s="65">
        <v>1893.47</v>
      </c>
      <c r="U35" s="225">
        <v>1754.47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20" t="s">
        <v>221</v>
      </c>
      <c r="G36" s="35" t="s">
        <v>28</v>
      </c>
      <c r="H36" s="66">
        <v>3</v>
      </c>
      <c r="I36" s="37">
        <v>1</v>
      </c>
      <c r="J36" s="37">
        <v>1</v>
      </c>
      <c r="K36" s="68">
        <v>1152.5999999999999</v>
      </c>
      <c r="L36" s="40"/>
      <c r="M36" s="39">
        <f t="shared" si="0"/>
        <v>0</v>
      </c>
      <c r="N36" s="39"/>
      <c r="O36" s="41"/>
      <c r="P36" s="67">
        <v>2</v>
      </c>
      <c r="Q36" s="68">
        <v>9182.3799999999992</v>
      </c>
      <c r="R36" s="40"/>
      <c r="S36" s="39">
        <f t="shared" si="2"/>
        <v>276.14999999999998</v>
      </c>
      <c r="T36" s="68">
        <v>276.14999999999998</v>
      </c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53</v>
      </c>
      <c r="C37" s="381" t="s">
        <v>46</v>
      </c>
      <c r="D37" s="381" t="s">
        <v>54</v>
      </c>
      <c r="E37" s="381" t="s">
        <v>55</v>
      </c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123"/>
      <c r="Q37" s="50"/>
      <c r="R37" s="51"/>
      <c r="S37" s="50">
        <f t="shared" si="2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6"/>
      <c r="G38" s="227" t="s">
        <v>25</v>
      </c>
      <c r="H38" s="272"/>
      <c r="I38" s="261"/>
      <c r="J38" s="261"/>
      <c r="K38" s="211"/>
      <c r="L38" s="210"/>
      <c r="M38" s="211">
        <f t="shared" si="0"/>
        <v>0</v>
      </c>
      <c r="N38" s="211"/>
      <c r="O38" s="212"/>
      <c r="P38" s="273"/>
      <c r="Q38" s="211"/>
      <c r="R38" s="210"/>
      <c r="S38" s="211">
        <f t="shared" si="2"/>
        <v>0</v>
      </c>
      <c r="T38" s="211"/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372"/>
      <c r="B39" s="374" t="s">
        <v>357</v>
      </c>
      <c r="C39" s="374"/>
      <c r="D39" s="374"/>
      <c r="E39" s="374"/>
      <c r="F39" s="204"/>
      <c r="G39" s="213" t="s">
        <v>24</v>
      </c>
      <c r="H39" s="104"/>
      <c r="I39" s="25"/>
      <c r="J39" s="25"/>
      <c r="K39" s="26"/>
      <c r="L39" s="27"/>
      <c r="M39" s="26">
        <f t="shared" si="0"/>
        <v>0</v>
      </c>
      <c r="N39" s="26"/>
      <c r="O39" s="28"/>
      <c r="P39" s="214"/>
      <c r="Q39" s="30"/>
      <c r="R39" s="27"/>
      <c r="S39" s="26">
        <f t="shared" si="2"/>
        <v>0</v>
      </c>
      <c r="T39" s="26"/>
      <c r="U39" s="241"/>
      <c r="V39" s="4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32" ht="15.75" customHeight="1">
      <c r="A40" s="373"/>
      <c r="B40" s="375"/>
      <c r="C40" s="375"/>
      <c r="D40" s="375"/>
      <c r="E40" s="375"/>
      <c r="F40" s="220"/>
      <c r="G40" s="215" t="s">
        <v>28</v>
      </c>
      <c r="H40" s="117">
        <v>2</v>
      </c>
      <c r="I40" s="38"/>
      <c r="J40" s="38"/>
      <c r="K40" s="39"/>
      <c r="L40" s="40"/>
      <c r="M40" s="39">
        <f t="shared" si="0"/>
        <v>0</v>
      </c>
      <c r="N40" s="39"/>
      <c r="O40" s="41"/>
      <c r="P40" s="217"/>
      <c r="Q40" s="68"/>
      <c r="R40" s="40"/>
      <c r="S40" s="39">
        <f t="shared" si="2"/>
        <v>0</v>
      </c>
      <c r="T40" s="39"/>
      <c r="U40" s="234"/>
      <c r="V40" s="4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</row>
    <row r="41" spans="1:32" ht="15.75" customHeight="1">
      <c r="A41" s="376"/>
      <c r="B41" s="377" t="s">
        <v>56</v>
      </c>
      <c r="C41" s="377" t="s">
        <v>39</v>
      </c>
      <c r="D41" s="377" t="s">
        <v>281</v>
      </c>
      <c r="E41" s="377" t="s">
        <v>58</v>
      </c>
      <c r="F41" s="232" t="s">
        <v>283</v>
      </c>
      <c r="G41" s="95" t="s">
        <v>24</v>
      </c>
      <c r="H41" s="74"/>
      <c r="I41" s="96"/>
      <c r="J41" s="96"/>
      <c r="K41" s="81"/>
      <c r="L41" s="80"/>
      <c r="M41" s="81">
        <f t="shared" si="0"/>
        <v>0</v>
      </c>
      <c r="N41" s="81"/>
      <c r="O41" s="219"/>
      <c r="P41" s="267">
        <v>3</v>
      </c>
      <c r="Q41" s="79">
        <v>4264.95</v>
      </c>
      <c r="R41" s="268">
        <v>2</v>
      </c>
      <c r="S41" s="81">
        <f t="shared" si="2"/>
        <v>2055.75</v>
      </c>
      <c r="T41" s="79">
        <v>2055.75</v>
      </c>
      <c r="U41" s="269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2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6</v>
      </c>
      <c r="I43" s="203">
        <v>3</v>
      </c>
      <c r="J43" s="203">
        <v>3</v>
      </c>
      <c r="K43" s="65">
        <v>3861.41</v>
      </c>
      <c r="L43" s="51"/>
      <c r="M43" s="50">
        <f t="shared" si="0"/>
        <v>0</v>
      </c>
      <c r="N43" s="50"/>
      <c r="O43" s="52"/>
      <c r="P43" s="53">
        <v>18</v>
      </c>
      <c r="Q43" s="30">
        <v>69487.070000000007</v>
      </c>
      <c r="R43" s="205">
        <v>8</v>
      </c>
      <c r="S43" s="26">
        <f t="shared" si="2"/>
        <v>44991.43</v>
      </c>
      <c r="T43" s="30">
        <v>44991.43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226"/>
      <c r="G44" s="227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358</v>
      </c>
      <c r="C45" s="374"/>
      <c r="D45" s="374"/>
      <c r="E45" s="374"/>
      <c r="F45" s="60"/>
      <c r="G45" s="213" t="s">
        <v>24</v>
      </c>
      <c r="H45" s="104"/>
      <c r="I45" s="25"/>
      <c r="J45" s="25"/>
      <c r="K45" s="26"/>
      <c r="L45" s="27"/>
      <c r="M45" s="26">
        <f t="shared" si="0"/>
        <v>0</v>
      </c>
      <c r="N45" s="26"/>
      <c r="O45" s="28"/>
      <c r="P45" s="275"/>
      <c r="Q45" s="26"/>
      <c r="R45" s="27"/>
      <c r="S45" s="26">
        <f t="shared" si="2"/>
        <v>0</v>
      </c>
      <c r="T45" s="26"/>
      <c r="U45" s="2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34"/>
      <c r="G46" s="215" t="s">
        <v>28</v>
      </c>
      <c r="H46" s="117">
        <v>1</v>
      </c>
      <c r="I46" s="38"/>
      <c r="J46" s="38"/>
      <c r="K46" s="39"/>
      <c r="L46" s="40"/>
      <c r="M46" s="39">
        <f t="shared" si="0"/>
        <v>0</v>
      </c>
      <c r="N46" s="39"/>
      <c r="O46" s="41"/>
      <c r="P46" s="276"/>
      <c r="Q46" s="39"/>
      <c r="R46" s="40"/>
      <c r="S46" s="39">
        <f t="shared" si="2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6"/>
      <c r="B47" s="377" t="s">
        <v>60</v>
      </c>
      <c r="C47" s="377" t="s">
        <v>22</v>
      </c>
      <c r="D47" s="377" t="s">
        <v>61</v>
      </c>
      <c r="E47" s="403" t="s">
        <v>27</v>
      </c>
      <c r="F47" s="76"/>
      <c r="G47" s="95" t="s">
        <v>24</v>
      </c>
      <c r="H47" s="74"/>
      <c r="I47" s="96"/>
      <c r="J47" s="96"/>
      <c r="K47" s="81"/>
      <c r="L47" s="80"/>
      <c r="M47" s="81">
        <f t="shared" si="0"/>
        <v>0</v>
      </c>
      <c r="N47" s="81"/>
      <c r="O47" s="97"/>
      <c r="P47" s="277"/>
      <c r="Q47" s="81"/>
      <c r="R47" s="80"/>
      <c r="S47" s="81">
        <f t="shared" si="2"/>
        <v>0</v>
      </c>
      <c r="T47" s="81"/>
      <c r="U47" s="82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9"/>
      <c r="B48" s="380"/>
      <c r="C48" s="380"/>
      <c r="D48" s="380"/>
      <c r="E48" s="384"/>
      <c r="F48" s="54"/>
      <c r="G48" s="55" t="s">
        <v>28</v>
      </c>
      <c r="H48" s="102"/>
      <c r="I48" s="57"/>
      <c r="J48" s="57"/>
      <c r="K48" s="43"/>
      <c r="L48" s="44"/>
      <c r="M48" s="43">
        <f t="shared" si="0"/>
        <v>0</v>
      </c>
      <c r="N48" s="43"/>
      <c r="O48" s="58"/>
      <c r="P48" s="59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62</v>
      </c>
      <c r="C49" s="374" t="s">
        <v>22</v>
      </c>
      <c r="D49" s="374" t="s">
        <v>63</v>
      </c>
      <c r="E49" s="374" t="s">
        <v>27</v>
      </c>
      <c r="F49" s="22"/>
      <c r="G49" s="23" t="s">
        <v>24</v>
      </c>
      <c r="H49" s="24">
        <v>4</v>
      </c>
      <c r="I49" s="62">
        <v>2</v>
      </c>
      <c r="J49" s="62">
        <v>2</v>
      </c>
      <c r="K49" s="30">
        <v>1889.58</v>
      </c>
      <c r="L49" s="27"/>
      <c r="M49" s="26">
        <f t="shared" si="0"/>
        <v>0</v>
      </c>
      <c r="N49" s="26"/>
      <c r="O49" s="31"/>
      <c r="P49" s="108">
        <v>2</v>
      </c>
      <c r="Q49" s="65">
        <v>3734.91</v>
      </c>
      <c r="R49" s="51"/>
      <c r="S49" s="50">
        <f t="shared" si="2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35" t="s">
        <v>28</v>
      </c>
      <c r="H50" s="66">
        <v>4</v>
      </c>
      <c r="I50" s="38"/>
      <c r="J50" s="38"/>
      <c r="K50" s="39"/>
      <c r="L50" s="40"/>
      <c r="M50" s="39">
        <f t="shared" si="0"/>
        <v>0</v>
      </c>
      <c r="N50" s="39"/>
      <c r="O50" s="41"/>
      <c r="P50" s="115">
        <v>3</v>
      </c>
      <c r="Q50" s="68">
        <v>4105.8999999999996</v>
      </c>
      <c r="R50" s="40"/>
      <c r="S50" s="39">
        <f t="shared" si="2"/>
        <v>2209.1999999999998</v>
      </c>
      <c r="T50" s="68">
        <v>2209.1999999999998</v>
      </c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78">
        <v>1</v>
      </c>
      <c r="I51" s="49"/>
      <c r="J51" s="49"/>
      <c r="K51" s="50"/>
      <c r="L51" s="51"/>
      <c r="M51" s="50">
        <f t="shared" si="0"/>
        <v>0</v>
      </c>
      <c r="N51" s="50"/>
      <c r="O51" s="31"/>
      <c r="P51" s="53">
        <v>2</v>
      </c>
      <c r="Q51" s="30">
        <v>5899.35</v>
      </c>
      <c r="R51" s="27"/>
      <c r="S51" s="26">
        <f t="shared" si="2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6</v>
      </c>
      <c r="I53" s="62">
        <v>5</v>
      </c>
      <c r="J53" s="62">
        <v>5</v>
      </c>
      <c r="K53" s="30">
        <v>10100.629999999999</v>
      </c>
      <c r="L53" s="27"/>
      <c r="M53" s="26">
        <f t="shared" si="0"/>
        <v>0</v>
      </c>
      <c r="N53" s="26"/>
      <c r="O53" s="31"/>
      <c r="P53" s="53">
        <v>4</v>
      </c>
      <c r="Q53" s="30">
        <v>29603.16</v>
      </c>
      <c r="R53" s="205">
        <v>1</v>
      </c>
      <c r="S53" s="26">
        <f t="shared" si="2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4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2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284</v>
      </c>
      <c r="E55" s="381" t="s">
        <v>55</v>
      </c>
      <c r="F55" s="223" t="s">
        <v>285</v>
      </c>
      <c r="G55" s="47" t="s">
        <v>24</v>
      </c>
      <c r="H55" s="48">
        <v>7</v>
      </c>
      <c r="I55" s="203">
        <v>3</v>
      </c>
      <c r="J55" s="203">
        <v>4</v>
      </c>
      <c r="K55" s="65">
        <v>3534.63</v>
      </c>
      <c r="L55" s="51"/>
      <c r="M55" s="50">
        <f t="shared" si="0"/>
        <v>0</v>
      </c>
      <c r="N55" s="50"/>
      <c r="O55" s="31"/>
      <c r="P55" s="53">
        <v>31</v>
      </c>
      <c r="Q55" s="30">
        <v>70755.789999999994</v>
      </c>
      <c r="R55" s="205">
        <v>12</v>
      </c>
      <c r="S55" s="26">
        <f t="shared" si="2"/>
        <v>26448.86</v>
      </c>
      <c r="T55" s="30">
        <v>26448.86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226"/>
      <c r="G56" s="227" t="s">
        <v>25</v>
      </c>
      <c r="H56" s="272"/>
      <c r="I56" s="261"/>
      <c r="J56" s="261"/>
      <c r="K56" s="211"/>
      <c r="L56" s="210"/>
      <c r="M56" s="211">
        <f t="shared" si="0"/>
        <v>0</v>
      </c>
      <c r="N56" s="211"/>
      <c r="O56" s="212"/>
      <c r="P56" s="273"/>
      <c r="Q56" s="211"/>
      <c r="R56" s="210"/>
      <c r="S56" s="211">
        <f t="shared" si="2"/>
        <v>0</v>
      </c>
      <c r="T56" s="211"/>
      <c r="U56" s="21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361</v>
      </c>
      <c r="C57" s="374"/>
      <c r="D57" s="374"/>
      <c r="E57" s="374"/>
      <c r="F57" s="60"/>
      <c r="G57" s="213" t="s">
        <v>24</v>
      </c>
      <c r="H57" s="24"/>
      <c r="I57" s="62"/>
      <c r="J57" s="62"/>
      <c r="K57" s="30"/>
      <c r="L57" s="27"/>
      <c r="M57" s="26">
        <f t="shared" si="0"/>
        <v>0</v>
      </c>
      <c r="N57" s="26"/>
      <c r="O57" s="28"/>
      <c r="P57" s="214"/>
      <c r="Q57" s="30"/>
      <c r="R57" s="27"/>
      <c r="S57" s="26">
        <f t="shared" si="2"/>
        <v>0</v>
      </c>
      <c r="T57" s="26"/>
      <c r="U57" s="2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247"/>
      <c r="G58" s="279" t="s">
        <v>28</v>
      </c>
      <c r="H58" s="207">
        <v>1</v>
      </c>
      <c r="I58" s="208"/>
      <c r="J58" s="208"/>
      <c r="K58" s="209"/>
      <c r="L58" s="210"/>
      <c r="M58" s="211">
        <f t="shared" si="0"/>
        <v>0</v>
      </c>
      <c r="N58" s="211"/>
      <c r="O58" s="212"/>
      <c r="P58" s="280"/>
      <c r="Q58" s="209"/>
      <c r="R58" s="210"/>
      <c r="S58" s="211">
        <f t="shared" si="2"/>
        <v>0</v>
      </c>
      <c r="T58" s="211"/>
      <c r="U58" s="212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362</v>
      </c>
      <c r="C59" s="374"/>
      <c r="D59" s="374"/>
      <c r="E59" s="374"/>
      <c r="F59" s="404"/>
      <c r="G59" s="213" t="s">
        <v>24</v>
      </c>
      <c r="H59" s="24"/>
      <c r="I59" s="62"/>
      <c r="J59" s="62"/>
      <c r="K59" s="30"/>
      <c r="L59" s="27"/>
      <c r="M59" s="26">
        <f t="shared" si="0"/>
        <v>0</v>
      </c>
      <c r="N59" s="26"/>
      <c r="O59" s="28"/>
      <c r="P59" s="214"/>
      <c r="Q59" s="30"/>
      <c r="R59" s="27"/>
      <c r="S59" s="26">
        <f t="shared" si="2"/>
        <v>0</v>
      </c>
      <c r="T59" s="26"/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75"/>
      <c r="G60" s="215" t="s">
        <v>28</v>
      </c>
      <c r="H60" s="66">
        <v>3</v>
      </c>
      <c r="I60" s="37"/>
      <c r="J60" s="37"/>
      <c r="K60" s="68"/>
      <c r="L60" s="40"/>
      <c r="M60" s="39">
        <f t="shared" si="0"/>
        <v>0</v>
      </c>
      <c r="N60" s="39"/>
      <c r="O60" s="41"/>
      <c r="P60" s="217"/>
      <c r="Q60" s="68"/>
      <c r="R60" s="40"/>
      <c r="S60" s="39">
        <f t="shared" si="2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72</v>
      </c>
      <c r="C61" s="377" t="s">
        <v>22</v>
      </c>
      <c r="D61" s="377"/>
      <c r="E61" s="377" t="s">
        <v>27</v>
      </c>
      <c r="F61" s="76"/>
      <c r="G61" s="95" t="s">
        <v>24</v>
      </c>
      <c r="H61" s="281">
        <v>3</v>
      </c>
      <c r="I61" s="266">
        <v>1</v>
      </c>
      <c r="J61" s="266">
        <v>1</v>
      </c>
      <c r="K61" s="79">
        <v>768.4</v>
      </c>
      <c r="L61" s="80"/>
      <c r="M61" s="81">
        <f t="shared" si="0"/>
        <v>0</v>
      </c>
      <c r="N61" s="81"/>
      <c r="O61" s="219"/>
      <c r="P61" s="267">
        <v>3</v>
      </c>
      <c r="Q61" s="79">
        <v>3362.45</v>
      </c>
      <c r="R61" s="80"/>
      <c r="S61" s="81">
        <f t="shared" si="2"/>
        <v>0</v>
      </c>
      <c r="T61" s="81"/>
      <c r="U61" s="219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9"/>
      <c r="B62" s="380"/>
      <c r="C62" s="380"/>
      <c r="D62" s="380"/>
      <c r="E62" s="380"/>
      <c r="F62" s="233" t="s">
        <v>223</v>
      </c>
      <c r="G62" s="227" t="s">
        <v>28</v>
      </c>
      <c r="H62" s="112">
        <v>3</v>
      </c>
      <c r="I62" s="57"/>
      <c r="J62" s="57"/>
      <c r="K62" s="43"/>
      <c r="L62" s="128"/>
      <c r="M62" s="129">
        <f t="shared" si="0"/>
        <v>0</v>
      </c>
      <c r="N62" s="43"/>
      <c r="O62" s="45"/>
      <c r="P62" s="103"/>
      <c r="Q62" s="43"/>
      <c r="R62" s="128"/>
      <c r="S62" s="129">
        <f t="shared" si="2"/>
        <v>0</v>
      </c>
      <c r="T62" s="43"/>
      <c r="U62" s="4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73</v>
      </c>
      <c r="C63" s="374" t="s">
        <v>22</v>
      </c>
      <c r="D63" s="374"/>
      <c r="E63" s="374" t="s">
        <v>27</v>
      </c>
      <c r="F63" s="204" t="s">
        <v>209</v>
      </c>
      <c r="G63" s="176" t="s">
        <v>24</v>
      </c>
      <c r="H63" s="61">
        <v>2</v>
      </c>
      <c r="I63" s="62">
        <v>1</v>
      </c>
      <c r="J63" s="62">
        <v>1</v>
      </c>
      <c r="K63" s="30">
        <v>950.9</v>
      </c>
      <c r="L63" s="27"/>
      <c r="M63" s="26">
        <f t="shared" si="0"/>
        <v>0</v>
      </c>
      <c r="N63" s="26"/>
      <c r="O63" s="28"/>
      <c r="P63" s="29">
        <v>8</v>
      </c>
      <c r="Q63" s="30">
        <v>15651.3</v>
      </c>
      <c r="R63" s="205">
        <v>5</v>
      </c>
      <c r="S63" s="26">
        <f t="shared" si="2"/>
        <v>13580.02</v>
      </c>
      <c r="T63" s="30">
        <v>9062.41</v>
      </c>
      <c r="U63" s="241">
        <v>4517.6099999999997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105"/>
      <c r="G64" s="229" t="s">
        <v>28</v>
      </c>
      <c r="H64" s="106"/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2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74</v>
      </c>
      <c r="C65" s="377" t="s">
        <v>39</v>
      </c>
      <c r="D65" s="377" t="s">
        <v>264</v>
      </c>
      <c r="E65" s="377" t="s">
        <v>27</v>
      </c>
      <c r="F65" s="223" t="s">
        <v>265</v>
      </c>
      <c r="G65" s="95" t="s">
        <v>24</v>
      </c>
      <c r="H65" s="48">
        <v>2</v>
      </c>
      <c r="I65" s="49"/>
      <c r="J65" s="49"/>
      <c r="K65" s="50"/>
      <c r="L65" s="51"/>
      <c r="M65" s="50">
        <f t="shared" si="0"/>
        <v>0</v>
      </c>
      <c r="N65" s="50"/>
      <c r="O65" s="31"/>
      <c r="P65" s="108">
        <v>12</v>
      </c>
      <c r="Q65" s="65">
        <v>44651.57</v>
      </c>
      <c r="R65" s="224">
        <v>5</v>
      </c>
      <c r="S65" s="50">
        <f t="shared" si="2"/>
        <v>19918.689999999999</v>
      </c>
      <c r="T65" s="65">
        <v>19918.689999999999</v>
      </c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221" t="s">
        <v>286</v>
      </c>
      <c r="G66" s="55" t="s">
        <v>28</v>
      </c>
      <c r="H66" s="118"/>
      <c r="I66" s="130"/>
      <c r="J66" s="130"/>
      <c r="K66" s="43"/>
      <c r="L66" s="44"/>
      <c r="M66" s="43">
        <f t="shared" si="0"/>
        <v>0</v>
      </c>
      <c r="N66" s="43"/>
      <c r="O66" s="41"/>
      <c r="P66" s="113">
        <v>1</v>
      </c>
      <c r="Q66" s="114">
        <v>2881.5</v>
      </c>
      <c r="R66" s="44"/>
      <c r="S66" s="43">
        <f t="shared" si="2"/>
        <v>2881.5</v>
      </c>
      <c r="T66" s="114">
        <v>2881.5</v>
      </c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76</v>
      </c>
      <c r="C67" s="374" t="s">
        <v>22</v>
      </c>
      <c r="D67" s="374"/>
      <c r="E67" s="374" t="s">
        <v>77</v>
      </c>
      <c r="F67" s="22"/>
      <c r="G67" s="23" t="s">
        <v>24</v>
      </c>
      <c r="H67" s="61">
        <v>4</v>
      </c>
      <c r="I67" s="62">
        <v>1</v>
      </c>
      <c r="J67" s="62">
        <v>2</v>
      </c>
      <c r="K67" s="30">
        <v>2695.76</v>
      </c>
      <c r="L67" s="27"/>
      <c r="M67" s="26">
        <f t="shared" si="0"/>
        <v>0</v>
      </c>
      <c r="N67" s="26"/>
      <c r="O67" s="31"/>
      <c r="P67" s="29">
        <v>4</v>
      </c>
      <c r="Q67" s="30">
        <v>2984.28</v>
      </c>
      <c r="R67" s="27"/>
      <c r="S67" s="26">
        <f t="shared" si="2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220" t="s">
        <v>287</v>
      </c>
      <c r="G68" s="35" t="s">
        <v>28</v>
      </c>
      <c r="H68" s="117">
        <v>3</v>
      </c>
      <c r="I68" s="38"/>
      <c r="J68" s="38"/>
      <c r="K68" s="39"/>
      <c r="L68" s="40"/>
      <c r="M68" s="39">
        <f t="shared" si="0"/>
        <v>0</v>
      </c>
      <c r="N68" s="39"/>
      <c r="O68" s="41"/>
      <c r="P68" s="69"/>
      <c r="Q68" s="39"/>
      <c r="R68" s="40"/>
      <c r="S68" s="39">
        <f t="shared" si="2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78</v>
      </c>
      <c r="C69" s="381"/>
      <c r="D69" s="381"/>
      <c r="E69" s="381"/>
      <c r="F69" s="46"/>
      <c r="G69" s="47" t="s">
        <v>24</v>
      </c>
      <c r="H69" s="48">
        <v>1</v>
      </c>
      <c r="I69" s="203">
        <v>1</v>
      </c>
      <c r="J69" s="203">
        <v>1</v>
      </c>
      <c r="K69" s="65">
        <v>633.92999999999995</v>
      </c>
      <c r="L69" s="51"/>
      <c r="M69" s="50">
        <f t="shared" si="0"/>
        <v>0</v>
      </c>
      <c r="N69" s="50"/>
      <c r="O69" s="31"/>
      <c r="P69" s="123"/>
      <c r="Q69" s="50"/>
      <c r="R69" s="51"/>
      <c r="S69" s="50">
        <f t="shared" si="2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26"/>
      <c r="G70" s="55" t="s">
        <v>28</v>
      </c>
      <c r="H70" s="131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2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79</v>
      </c>
      <c r="C71" s="374" t="s">
        <v>22</v>
      </c>
      <c r="D71" s="374"/>
      <c r="E71" s="374" t="s">
        <v>50</v>
      </c>
      <c r="F71" s="22"/>
      <c r="G71" s="23" t="s">
        <v>24</v>
      </c>
      <c r="H71" s="61">
        <v>5</v>
      </c>
      <c r="I71" s="25"/>
      <c r="J71" s="25"/>
      <c r="K71" s="26"/>
      <c r="L71" s="27"/>
      <c r="M71" s="26">
        <f t="shared" si="0"/>
        <v>0</v>
      </c>
      <c r="N71" s="26"/>
      <c r="O71" s="31"/>
      <c r="P71" s="53">
        <v>1</v>
      </c>
      <c r="Q71" s="30">
        <v>1505.87</v>
      </c>
      <c r="R71" s="27"/>
      <c r="S71" s="26">
        <f t="shared" si="2"/>
        <v>0</v>
      </c>
      <c r="T71" s="26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25</v>
      </c>
      <c r="H72" s="117">
        <v>2</v>
      </c>
      <c r="I72" s="38"/>
      <c r="J72" s="38"/>
      <c r="K72" s="39"/>
      <c r="L72" s="40"/>
      <c r="M72" s="39">
        <f t="shared" si="0"/>
        <v>0</v>
      </c>
      <c r="N72" s="39"/>
      <c r="O72" s="41"/>
      <c r="P72" s="59"/>
      <c r="Q72" s="39"/>
      <c r="R72" s="40"/>
      <c r="S72" s="39">
        <f t="shared" si="2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80</v>
      </c>
      <c r="C73" s="381" t="s">
        <v>22</v>
      </c>
      <c r="D73" s="381"/>
      <c r="E73" s="381" t="s">
        <v>67</v>
      </c>
      <c r="F73" s="46"/>
      <c r="G73" s="47" t="s">
        <v>24</v>
      </c>
      <c r="H73" s="48">
        <v>6</v>
      </c>
      <c r="I73" s="203">
        <v>4</v>
      </c>
      <c r="J73" s="203">
        <v>4</v>
      </c>
      <c r="K73" s="65">
        <v>3878.5</v>
      </c>
      <c r="L73" s="51"/>
      <c r="M73" s="50">
        <f t="shared" si="0"/>
        <v>0</v>
      </c>
      <c r="N73" s="50"/>
      <c r="O73" s="31"/>
      <c r="P73" s="108">
        <v>6</v>
      </c>
      <c r="Q73" s="65">
        <v>19829.79</v>
      </c>
      <c r="R73" s="51"/>
      <c r="S73" s="50">
        <f t="shared" si="2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9"/>
      <c r="B74" s="380"/>
      <c r="C74" s="380"/>
      <c r="D74" s="380"/>
      <c r="E74" s="380"/>
      <c r="F74" s="226"/>
      <c r="G74" s="227" t="s">
        <v>28</v>
      </c>
      <c r="H74" s="118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2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81</v>
      </c>
      <c r="C75" s="374" t="s">
        <v>39</v>
      </c>
      <c r="D75" s="374" t="s">
        <v>224</v>
      </c>
      <c r="E75" s="374" t="s">
        <v>65</v>
      </c>
      <c r="F75" s="204" t="s">
        <v>225</v>
      </c>
      <c r="G75" s="176" t="s">
        <v>24</v>
      </c>
      <c r="H75" s="248">
        <v>14</v>
      </c>
      <c r="I75" s="62">
        <v>9</v>
      </c>
      <c r="J75" s="62">
        <v>12</v>
      </c>
      <c r="K75" s="30">
        <v>28236.43</v>
      </c>
      <c r="L75" s="27"/>
      <c r="M75" s="26">
        <f t="shared" si="0"/>
        <v>0</v>
      </c>
      <c r="N75" s="26"/>
      <c r="O75" s="31"/>
      <c r="P75" s="29">
        <v>21</v>
      </c>
      <c r="Q75" s="30">
        <v>62849.760000000002</v>
      </c>
      <c r="R75" s="205">
        <v>5</v>
      </c>
      <c r="S75" s="26">
        <f t="shared" si="2"/>
        <v>10367.34</v>
      </c>
      <c r="T75" s="30">
        <v>10367.34</v>
      </c>
      <c r="U75" s="225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247"/>
      <c r="G76" s="282" t="s">
        <v>28</v>
      </c>
      <c r="H76" s="283"/>
      <c r="I76" s="261"/>
      <c r="J76" s="261"/>
      <c r="K76" s="211"/>
      <c r="L76" s="210"/>
      <c r="M76" s="211">
        <f t="shared" si="0"/>
        <v>0</v>
      </c>
      <c r="N76" s="211"/>
      <c r="O76" s="212"/>
      <c r="P76" s="284"/>
      <c r="Q76" s="211"/>
      <c r="R76" s="210"/>
      <c r="S76" s="211">
        <f t="shared" si="2"/>
        <v>0</v>
      </c>
      <c r="T76" s="211"/>
      <c r="U76" s="212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365</v>
      </c>
      <c r="C77" s="374"/>
      <c r="D77" s="378"/>
      <c r="E77" s="374"/>
      <c r="F77" s="60"/>
      <c r="G77" s="213" t="s">
        <v>24</v>
      </c>
      <c r="H77" s="24"/>
      <c r="I77" s="62"/>
      <c r="J77" s="62"/>
      <c r="K77" s="30"/>
      <c r="L77" s="27"/>
      <c r="M77" s="26">
        <f t="shared" si="0"/>
        <v>0</v>
      </c>
      <c r="N77" s="26"/>
      <c r="O77" s="28"/>
      <c r="P77" s="214"/>
      <c r="Q77" s="30"/>
      <c r="R77" s="27"/>
      <c r="S77" s="26">
        <f t="shared" si="2"/>
        <v>0</v>
      </c>
      <c r="T77" s="26"/>
      <c r="U77" s="2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215" t="s">
        <v>28</v>
      </c>
      <c r="H78" s="66">
        <v>2</v>
      </c>
      <c r="I78" s="37"/>
      <c r="J78" s="37"/>
      <c r="K78" s="68"/>
      <c r="L78" s="40"/>
      <c r="M78" s="39">
        <f t="shared" si="0"/>
        <v>0</v>
      </c>
      <c r="N78" s="39"/>
      <c r="O78" s="41"/>
      <c r="P78" s="217"/>
      <c r="Q78" s="68"/>
      <c r="R78" s="40"/>
      <c r="S78" s="39">
        <f t="shared" si="2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6"/>
      <c r="B79" s="377" t="s">
        <v>82</v>
      </c>
      <c r="C79" s="377" t="s">
        <v>22</v>
      </c>
      <c r="D79" s="400"/>
      <c r="E79" s="377" t="s">
        <v>83</v>
      </c>
      <c r="F79" s="76"/>
      <c r="G79" s="95" t="s">
        <v>24</v>
      </c>
      <c r="H79" s="281">
        <v>6</v>
      </c>
      <c r="I79" s="266">
        <v>3</v>
      </c>
      <c r="J79" s="266">
        <v>4</v>
      </c>
      <c r="K79" s="79">
        <v>5917.36</v>
      </c>
      <c r="L79" s="80"/>
      <c r="M79" s="81">
        <f t="shared" si="0"/>
        <v>0</v>
      </c>
      <c r="N79" s="81"/>
      <c r="O79" s="219"/>
      <c r="P79" s="267">
        <v>9</v>
      </c>
      <c r="Q79" s="79">
        <v>14307.26</v>
      </c>
      <c r="R79" s="80"/>
      <c r="S79" s="81">
        <f t="shared" si="2"/>
        <v>0</v>
      </c>
      <c r="T79" s="81"/>
      <c r="U79" s="219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54"/>
      <c r="G80" s="55" t="s">
        <v>25</v>
      </c>
      <c r="H80" s="121">
        <v>1</v>
      </c>
      <c r="I80" s="130">
        <v>1</v>
      </c>
      <c r="J80" s="130">
        <v>1</v>
      </c>
      <c r="K80" s="114">
        <v>1344.7</v>
      </c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2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84</v>
      </c>
      <c r="C81" s="374"/>
      <c r="D81" s="378"/>
      <c r="E81" s="374"/>
      <c r="F81" s="60"/>
      <c r="G81" s="23" t="s">
        <v>24</v>
      </c>
      <c r="H81" s="119"/>
      <c r="I81" s="25"/>
      <c r="J81" s="25"/>
      <c r="K81" s="26"/>
      <c r="L81" s="27"/>
      <c r="M81" s="26">
        <f t="shared" si="0"/>
        <v>0</v>
      </c>
      <c r="N81" s="26"/>
      <c r="O81" s="31"/>
      <c r="P81" s="120"/>
      <c r="Q81" s="26"/>
      <c r="R81" s="27"/>
      <c r="S81" s="26">
        <f t="shared" si="2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132"/>
      <c r="G82" s="35" t="s">
        <v>28</v>
      </c>
      <c r="H82" s="36"/>
      <c r="I82" s="38"/>
      <c r="J82" s="38"/>
      <c r="K82" s="39"/>
      <c r="L82" s="40"/>
      <c r="M82" s="39">
        <f t="shared" si="0"/>
        <v>0</v>
      </c>
      <c r="N82" s="39"/>
      <c r="O82" s="41"/>
      <c r="P82" s="69"/>
      <c r="Q82" s="39"/>
      <c r="R82" s="40"/>
      <c r="S82" s="39">
        <f t="shared" si="2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85</v>
      </c>
      <c r="C83" s="381" t="s">
        <v>22</v>
      </c>
      <c r="D83" s="385"/>
      <c r="E83" s="381" t="s">
        <v>27</v>
      </c>
      <c r="F83" s="127"/>
      <c r="G83" s="47" t="s">
        <v>24</v>
      </c>
      <c r="H83" s="98"/>
      <c r="I83" s="49"/>
      <c r="J83" s="49"/>
      <c r="K83" s="50"/>
      <c r="L83" s="51"/>
      <c r="M83" s="50">
        <f t="shared" si="0"/>
        <v>0</v>
      </c>
      <c r="N83" s="50"/>
      <c r="O83" s="31"/>
      <c r="P83" s="108">
        <v>1</v>
      </c>
      <c r="Q83" s="65">
        <v>405.02</v>
      </c>
      <c r="R83" s="51"/>
      <c r="S83" s="50">
        <f t="shared" si="2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80"/>
      <c r="E84" s="380"/>
      <c r="F84" s="226"/>
      <c r="G84" s="227" t="s">
        <v>28</v>
      </c>
      <c r="H84" s="116"/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2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86</v>
      </c>
      <c r="C85" s="374" t="s">
        <v>39</v>
      </c>
      <c r="D85" s="374" t="s">
        <v>266</v>
      </c>
      <c r="E85" s="374" t="s">
        <v>23</v>
      </c>
      <c r="F85" s="204" t="s">
        <v>267</v>
      </c>
      <c r="G85" s="176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3</v>
      </c>
      <c r="Q85" s="30">
        <v>7652.33</v>
      </c>
      <c r="R85" s="205">
        <v>2</v>
      </c>
      <c r="S85" s="26">
        <f t="shared" si="2"/>
        <v>5673.46</v>
      </c>
      <c r="T85" s="30">
        <v>5673.46</v>
      </c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105"/>
      <c r="G86" s="229" t="s">
        <v>25</v>
      </c>
      <c r="H86" s="118"/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2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87</v>
      </c>
      <c r="C87" s="374" t="s">
        <v>39</v>
      </c>
      <c r="D87" s="374" t="s">
        <v>88</v>
      </c>
      <c r="E87" s="374" t="s">
        <v>89</v>
      </c>
      <c r="F87" s="232" t="s">
        <v>268</v>
      </c>
      <c r="G87" s="23" t="s">
        <v>24</v>
      </c>
      <c r="H87" s="61">
        <v>11</v>
      </c>
      <c r="I87" s="62">
        <v>2</v>
      </c>
      <c r="J87" s="62">
        <v>2</v>
      </c>
      <c r="K87" s="30">
        <v>4734.3</v>
      </c>
      <c r="L87" s="27"/>
      <c r="M87" s="26">
        <f t="shared" si="0"/>
        <v>0</v>
      </c>
      <c r="N87" s="26"/>
      <c r="O87" s="31"/>
      <c r="P87" s="53">
        <v>6</v>
      </c>
      <c r="Q87" s="30">
        <v>16855.12</v>
      </c>
      <c r="R87" s="205">
        <v>2</v>
      </c>
      <c r="S87" s="26">
        <f t="shared" si="2"/>
        <v>5094.8</v>
      </c>
      <c r="T87" s="30">
        <v>5094.8</v>
      </c>
      <c r="U87" s="225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220" t="s">
        <v>290</v>
      </c>
      <c r="G88" s="35" t="s">
        <v>25</v>
      </c>
      <c r="H88" s="117">
        <v>5</v>
      </c>
      <c r="I88" s="37">
        <v>1</v>
      </c>
      <c r="J88" s="37">
        <v>1</v>
      </c>
      <c r="K88" s="68">
        <v>1056.55</v>
      </c>
      <c r="L88" s="40"/>
      <c r="M88" s="39">
        <f t="shared" si="0"/>
        <v>0</v>
      </c>
      <c r="N88" s="39"/>
      <c r="O88" s="41"/>
      <c r="P88" s="115">
        <v>7</v>
      </c>
      <c r="Q88" s="68">
        <v>19517.36</v>
      </c>
      <c r="R88" s="285">
        <v>4</v>
      </c>
      <c r="S88" s="68">
        <v>10181.299999999999</v>
      </c>
      <c r="T88" s="68">
        <v>10181.299999999999</v>
      </c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90</v>
      </c>
      <c r="C89" s="374" t="s">
        <v>39</v>
      </c>
      <c r="D89" s="374" t="s">
        <v>91</v>
      </c>
      <c r="E89" s="374" t="s">
        <v>27</v>
      </c>
      <c r="F89" s="204" t="s">
        <v>291</v>
      </c>
      <c r="G89" s="176" t="s">
        <v>24</v>
      </c>
      <c r="H89" s="48">
        <v>2</v>
      </c>
      <c r="I89" s="203">
        <v>1</v>
      </c>
      <c r="J89" s="203">
        <v>1</v>
      </c>
      <c r="K89" s="65">
        <v>697.32</v>
      </c>
      <c r="L89" s="51"/>
      <c r="M89" s="50">
        <f t="shared" si="0"/>
        <v>0</v>
      </c>
      <c r="N89" s="50"/>
      <c r="O89" s="31"/>
      <c r="P89" s="108">
        <v>4</v>
      </c>
      <c r="Q89" s="65">
        <v>38740.769999999997</v>
      </c>
      <c r="R89" s="224">
        <v>1</v>
      </c>
      <c r="S89" s="50">
        <f t="shared" ref="S89:S128" si="3">T89+U89</f>
        <v>4050.2</v>
      </c>
      <c r="T89" s="65">
        <v>4050.2</v>
      </c>
      <c r="U89" s="225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220" t="s">
        <v>229</v>
      </c>
      <c r="G90" s="229" t="s">
        <v>28</v>
      </c>
      <c r="H90" s="133">
        <v>1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92</v>
      </c>
      <c r="C91" s="374" t="s">
        <v>22</v>
      </c>
      <c r="D91" s="374"/>
      <c r="E91" s="374" t="s">
        <v>27</v>
      </c>
      <c r="F91" s="232" t="s">
        <v>269</v>
      </c>
      <c r="G91" s="23" t="s">
        <v>24</v>
      </c>
      <c r="H91" s="98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6</v>
      </c>
      <c r="Q91" s="30">
        <v>31199.119999999999</v>
      </c>
      <c r="R91" s="205">
        <v>2</v>
      </c>
      <c r="S91" s="26">
        <f t="shared" si="3"/>
        <v>3751.96</v>
      </c>
      <c r="T91" s="30">
        <v>3751.96</v>
      </c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33" t="s">
        <v>230</v>
      </c>
      <c r="G92" s="227" t="s">
        <v>28</v>
      </c>
      <c r="H92" s="133">
        <v>1</v>
      </c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93</v>
      </c>
      <c r="C93" s="374" t="s">
        <v>22</v>
      </c>
      <c r="D93" s="374"/>
      <c r="E93" s="374" t="s">
        <v>27</v>
      </c>
      <c r="F93" s="22"/>
      <c r="G93" s="176" t="s">
        <v>24</v>
      </c>
      <c r="H93" s="151">
        <v>1</v>
      </c>
      <c r="I93" s="62">
        <v>1</v>
      </c>
      <c r="J93" s="62">
        <v>2</v>
      </c>
      <c r="K93" s="30">
        <v>4354.43</v>
      </c>
      <c r="L93" s="27"/>
      <c r="M93" s="26">
        <f t="shared" si="0"/>
        <v>0</v>
      </c>
      <c r="N93" s="26"/>
      <c r="O93" s="31"/>
      <c r="P93" s="53">
        <v>1</v>
      </c>
      <c r="Q93" s="30">
        <v>633.92999999999995</v>
      </c>
      <c r="R93" s="27"/>
      <c r="S93" s="26">
        <f t="shared" si="3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28</v>
      </c>
      <c r="H94" s="116"/>
      <c r="I94" s="57"/>
      <c r="J94" s="57"/>
      <c r="K94" s="43"/>
      <c r="L94" s="44"/>
      <c r="M94" s="43">
        <f t="shared" si="0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94</v>
      </c>
      <c r="C95" s="374" t="s">
        <v>39</v>
      </c>
      <c r="D95" s="374" t="s">
        <v>95</v>
      </c>
      <c r="E95" s="374" t="s">
        <v>96</v>
      </c>
      <c r="F95" s="232" t="s">
        <v>292</v>
      </c>
      <c r="G95" s="23" t="s">
        <v>24</v>
      </c>
      <c r="H95" s="48">
        <v>4</v>
      </c>
      <c r="I95" s="25"/>
      <c r="J95" s="25"/>
      <c r="K95" s="26"/>
      <c r="L95" s="27"/>
      <c r="M95" s="26">
        <f t="shared" si="0"/>
        <v>0</v>
      </c>
      <c r="N95" s="26"/>
      <c r="O95" s="31"/>
      <c r="P95" s="53">
        <v>16</v>
      </c>
      <c r="Q95" s="30">
        <v>34494.42</v>
      </c>
      <c r="R95" s="205">
        <v>4</v>
      </c>
      <c r="S95" s="26">
        <f t="shared" si="3"/>
        <v>9997.9500000000007</v>
      </c>
      <c r="T95" s="30">
        <v>9997.9500000000007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33" t="s">
        <v>293</v>
      </c>
      <c r="G96" s="250" t="s">
        <v>25</v>
      </c>
      <c r="H96" s="112">
        <v>4</v>
      </c>
      <c r="I96" s="130">
        <v>2</v>
      </c>
      <c r="J96" s="130">
        <v>2</v>
      </c>
      <c r="K96" s="114">
        <v>2305.1999999999998</v>
      </c>
      <c r="L96" s="44"/>
      <c r="M96" s="43">
        <f t="shared" si="0"/>
        <v>0</v>
      </c>
      <c r="N96" s="43"/>
      <c r="O96" s="41"/>
      <c r="P96" s="113">
        <v>3</v>
      </c>
      <c r="Q96" s="114">
        <v>7159.3</v>
      </c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97</v>
      </c>
      <c r="C97" s="374"/>
      <c r="D97" s="374"/>
      <c r="E97" s="374"/>
      <c r="F97" s="60"/>
      <c r="G97" s="176" t="s">
        <v>24</v>
      </c>
      <c r="H97" s="248">
        <v>2</v>
      </c>
      <c r="I97" s="62">
        <v>1</v>
      </c>
      <c r="J97" s="62">
        <v>1</v>
      </c>
      <c r="K97" s="30">
        <v>614.72</v>
      </c>
      <c r="L97" s="27"/>
      <c r="M97" s="26">
        <f t="shared" si="0"/>
        <v>0</v>
      </c>
      <c r="N97" s="26"/>
      <c r="O97" s="31"/>
      <c r="P97" s="53">
        <v>7</v>
      </c>
      <c r="Q97" s="30">
        <v>12035.94</v>
      </c>
      <c r="R97" s="27"/>
      <c r="S97" s="26">
        <f t="shared" si="3"/>
        <v>0</v>
      </c>
      <c r="T97" s="26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294</v>
      </c>
      <c r="G98" s="229" t="s">
        <v>28</v>
      </c>
      <c r="H98" s="251">
        <v>4</v>
      </c>
      <c r="I98" s="208">
        <v>3</v>
      </c>
      <c r="J98" s="208">
        <v>3</v>
      </c>
      <c r="K98" s="209">
        <v>4610.3999999999996</v>
      </c>
      <c r="L98" s="210"/>
      <c r="M98" s="211">
        <f t="shared" si="0"/>
        <v>1344.7</v>
      </c>
      <c r="N98" s="209">
        <v>1344.7</v>
      </c>
      <c r="O98" s="212"/>
      <c r="P98" s="103"/>
      <c r="Q98" s="43"/>
      <c r="R98" s="44"/>
      <c r="S98" s="43">
        <f t="shared" si="3"/>
        <v>2209.15</v>
      </c>
      <c r="T98" s="114">
        <v>2209.15</v>
      </c>
      <c r="U98" s="23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6"/>
      <c r="B99" s="377" t="s">
        <v>98</v>
      </c>
      <c r="C99" s="377" t="s">
        <v>39</v>
      </c>
      <c r="D99" s="377" t="s">
        <v>270</v>
      </c>
      <c r="E99" s="377" t="s">
        <v>99</v>
      </c>
      <c r="F99" s="232" t="s">
        <v>271</v>
      </c>
      <c r="G99" s="73" t="s">
        <v>24</v>
      </c>
      <c r="H99" s="24">
        <v>6</v>
      </c>
      <c r="I99" s="62">
        <v>4</v>
      </c>
      <c r="J99" s="62">
        <v>4</v>
      </c>
      <c r="K99" s="30">
        <v>4316.49</v>
      </c>
      <c r="L99" s="27"/>
      <c r="M99" s="26">
        <f t="shared" si="0"/>
        <v>0</v>
      </c>
      <c r="N99" s="26"/>
      <c r="O99" s="28"/>
      <c r="P99" s="214">
        <v>11</v>
      </c>
      <c r="Q99" s="30">
        <v>48272.61</v>
      </c>
      <c r="R99" s="205">
        <v>2</v>
      </c>
      <c r="S99" s="26">
        <f t="shared" si="3"/>
        <v>1456.12</v>
      </c>
      <c r="T99" s="30">
        <v>1456.12</v>
      </c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20" t="s">
        <v>295</v>
      </c>
      <c r="G100" s="215" t="s">
        <v>28</v>
      </c>
      <c r="H100" s="66">
        <v>3</v>
      </c>
      <c r="I100" s="286">
        <v>1</v>
      </c>
      <c r="J100" s="286">
        <v>1</v>
      </c>
      <c r="K100" s="287">
        <v>1921</v>
      </c>
      <c r="L100" s="288"/>
      <c r="M100" s="39">
        <f t="shared" si="0"/>
        <v>0</v>
      </c>
      <c r="N100" s="39"/>
      <c r="O100" s="41"/>
      <c r="P100" s="217">
        <v>2</v>
      </c>
      <c r="Q100" s="37">
        <v>3361.75</v>
      </c>
      <c r="R100" s="40"/>
      <c r="S100" s="39">
        <f t="shared" si="3"/>
        <v>1056.55</v>
      </c>
      <c r="T100" s="68">
        <v>1056.55</v>
      </c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100</v>
      </c>
      <c r="C101" s="374" t="s">
        <v>39</v>
      </c>
      <c r="D101" s="381" t="s">
        <v>296</v>
      </c>
      <c r="E101" s="381" t="s">
        <v>27</v>
      </c>
      <c r="F101" s="223" t="s">
        <v>297</v>
      </c>
      <c r="G101" s="47" t="s">
        <v>24</v>
      </c>
      <c r="H101" s="218"/>
      <c r="I101" s="96"/>
      <c r="J101" s="96"/>
      <c r="K101" s="81"/>
      <c r="L101" s="80"/>
      <c r="M101" s="81">
        <f t="shared" si="0"/>
        <v>0</v>
      </c>
      <c r="N101" s="81"/>
      <c r="O101" s="219"/>
      <c r="P101" s="108">
        <v>2</v>
      </c>
      <c r="Q101" s="65">
        <v>22972.83</v>
      </c>
      <c r="R101" s="224">
        <v>1</v>
      </c>
      <c r="S101" s="50">
        <f t="shared" si="3"/>
        <v>7049.72</v>
      </c>
      <c r="T101" s="65">
        <v>7049.72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298</v>
      </c>
      <c r="G102" s="35" t="s">
        <v>28</v>
      </c>
      <c r="H102" s="133">
        <v>3</v>
      </c>
      <c r="I102" s="38"/>
      <c r="J102" s="38"/>
      <c r="K102" s="39"/>
      <c r="L102" s="40"/>
      <c r="M102" s="39">
        <f t="shared" si="0"/>
        <v>0</v>
      </c>
      <c r="N102" s="39"/>
      <c r="O102" s="41"/>
      <c r="P102" s="59"/>
      <c r="Q102" s="39"/>
      <c r="R102" s="40"/>
      <c r="S102" s="39">
        <f t="shared" si="3"/>
        <v>0</v>
      </c>
      <c r="T102" s="39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82"/>
      <c r="B103" s="381" t="s">
        <v>102</v>
      </c>
      <c r="C103" s="381" t="s">
        <v>22</v>
      </c>
      <c r="D103" s="381"/>
      <c r="E103" s="381" t="s">
        <v>67</v>
      </c>
      <c r="F103" s="223" t="s">
        <v>272</v>
      </c>
      <c r="G103" s="23" t="s">
        <v>24</v>
      </c>
      <c r="H103" s="48">
        <v>5</v>
      </c>
      <c r="I103" s="203">
        <v>2</v>
      </c>
      <c r="J103" s="203">
        <v>2</v>
      </c>
      <c r="K103" s="65">
        <v>1916.98</v>
      </c>
      <c r="L103" s="51"/>
      <c r="M103" s="50">
        <f t="shared" si="0"/>
        <v>0</v>
      </c>
      <c r="N103" s="50"/>
      <c r="O103" s="31"/>
      <c r="P103" s="108">
        <v>8</v>
      </c>
      <c r="Q103" s="65">
        <v>17533.16</v>
      </c>
      <c r="R103" s="224">
        <v>2</v>
      </c>
      <c r="S103" s="50">
        <f t="shared" si="3"/>
        <v>2175.5100000000002</v>
      </c>
      <c r="T103" s="65">
        <v>2175.5100000000002</v>
      </c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21" t="s">
        <v>299</v>
      </c>
      <c r="G104" s="55" t="s">
        <v>28</v>
      </c>
      <c r="H104" s="153">
        <v>7</v>
      </c>
      <c r="I104" s="130">
        <v>2</v>
      </c>
      <c r="J104" s="130">
        <v>2</v>
      </c>
      <c r="K104" s="114">
        <v>2443.1999999999998</v>
      </c>
      <c r="L104" s="128"/>
      <c r="M104" s="50">
        <f t="shared" si="0"/>
        <v>0</v>
      </c>
      <c r="N104" s="43"/>
      <c r="O104" s="41"/>
      <c r="P104" s="113">
        <v>2</v>
      </c>
      <c r="Q104" s="114">
        <v>8007.8</v>
      </c>
      <c r="R104" s="44"/>
      <c r="S104" s="43">
        <f t="shared" si="3"/>
        <v>4358.2</v>
      </c>
      <c r="T104" s="114">
        <v>4358.2</v>
      </c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103</v>
      </c>
      <c r="C105" s="374" t="s">
        <v>22</v>
      </c>
      <c r="D105" s="374"/>
      <c r="E105" s="374" t="s">
        <v>67</v>
      </c>
      <c r="F105" s="22"/>
      <c r="G105" s="23" t="s">
        <v>24</v>
      </c>
      <c r="H105" s="48">
        <v>2</v>
      </c>
      <c r="I105" s="62">
        <v>1</v>
      </c>
      <c r="J105" s="62">
        <v>1</v>
      </c>
      <c r="K105" s="30">
        <v>1133.98</v>
      </c>
      <c r="L105" s="27"/>
      <c r="M105" s="26">
        <f t="shared" si="0"/>
        <v>0</v>
      </c>
      <c r="N105" s="26"/>
      <c r="O105" s="31"/>
      <c r="P105" s="53">
        <v>5</v>
      </c>
      <c r="Q105" s="30">
        <v>7208.15</v>
      </c>
      <c r="R105" s="27"/>
      <c r="S105" s="26">
        <f t="shared" si="3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300</v>
      </c>
      <c r="G106" s="35" t="s">
        <v>28</v>
      </c>
      <c r="H106" s="133">
        <v>2</v>
      </c>
      <c r="I106" s="37">
        <v>1</v>
      </c>
      <c r="J106" s="37">
        <v>1</v>
      </c>
      <c r="K106" s="68">
        <v>1580.8</v>
      </c>
      <c r="L106" s="40"/>
      <c r="M106" s="39">
        <f t="shared" si="0"/>
        <v>0</v>
      </c>
      <c r="N106" s="39"/>
      <c r="O106" s="41"/>
      <c r="P106" s="115">
        <v>1</v>
      </c>
      <c r="Q106" s="68">
        <v>1377.7</v>
      </c>
      <c r="R106" s="40"/>
      <c r="S106" s="39">
        <f t="shared" si="3"/>
        <v>0</v>
      </c>
      <c r="T106" s="39"/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104</v>
      </c>
      <c r="C107" s="381" t="s">
        <v>39</v>
      </c>
      <c r="D107" s="381" t="s">
        <v>301</v>
      </c>
      <c r="E107" s="381" t="s">
        <v>27</v>
      </c>
      <c r="F107" s="223" t="s">
        <v>302</v>
      </c>
      <c r="G107" s="23" t="s">
        <v>24</v>
      </c>
      <c r="H107" s="48">
        <v>6</v>
      </c>
      <c r="I107" s="203">
        <v>3</v>
      </c>
      <c r="J107" s="203">
        <v>3</v>
      </c>
      <c r="K107" s="65">
        <v>5531.12</v>
      </c>
      <c r="L107" s="51"/>
      <c r="M107" s="50">
        <f t="shared" si="0"/>
        <v>0</v>
      </c>
      <c r="N107" s="50"/>
      <c r="O107" s="31"/>
      <c r="P107" s="108">
        <v>11</v>
      </c>
      <c r="Q107" s="65">
        <v>34339.61</v>
      </c>
      <c r="R107" s="224">
        <v>3</v>
      </c>
      <c r="S107" s="50">
        <f t="shared" si="3"/>
        <v>6809.92</v>
      </c>
      <c r="T107" s="65">
        <v>6809.92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9"/>
      <c r="B108" s="380"/>
      <c r="C108" s="380"/>
      <c r="D108" s="380"/>
      <c r="E108" s="380"/>
      <c r="F108" s="54"/>
      <c r="G108" s="55" t="s">
        <v>28</v>
      </c>
      <c r="H108" s="116"/>
      <c r="I108" s="57"/>
      <c r="J108" s="57"/>
      <c r="K108" s="43"/>
      <c r="L108" s="44"/>
      <c r="M108" s="43">
        <f t="shared" si="0"/>
        <v>0</v>
      </c>
      <c r="N108" s="43"/>
      <c r="O108" s="41"/>
      <c r="P108" s="103"/>
      <c r="Q108" s="43"/>
      <c r="R108" s="44"/>
      <c r="S108" s="43">
        <f t="shared" si="3"/>
        <v>0</v>
      </c>
      <c r="T108" s="43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2"/>
      <c r="B109" s="374" t="s">
        <v>106</v>
      </c>
      <c r="C109" s="374" t="s">
        <v>22</v>
      </c>
      <c r="D109" s="374" t="s">
        <v>107</v>
      </c>
      <c r="E109" s="374" t="s">
        <v>27</v>
      </c>
      <c r="F109" s="22"/>
      <c r="G109" s="23" t="s">
        <v>24</v>
      </c>
      <c r="H109" s="48">
        <v>1</v>
      </c>
      <c r="I109" s="25"/>
      <c r="J109" s="25"/>
      <c r="K109" s="26"/>
      <c r="L109" s="27"/>
      <c r="M109" s="26">
        <f t="shared" si="0"/>
        <v>0</v>
      </c>
      <c r="N109" s="26"/>
      <c r="O109" s="31"/>
      <c r="P109" s="53">
        <v>6</v>
      </c>
      <c r="Q109" s="30">
        <v>20735.55</v>
      </c>
      <c r="R109" s="27"/>
      <c r="S109" s="26">
        <f t="shared" si="3"/>
        <v>0</v>
      </c>
      <c r="T109" s="26"/>
      <c r="U109" s="3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33" t="s">
        <v>233</v>
      </c>
      <c r="G110" s="227" t="s">
        <v>28</v>
      </c>
      <c r="H110" s="153">
        <v>1</v>
      </c>
      <c r="I110" s="57"/>
      <c r="J110" s="57"/>
      <c r="K110" s="43"/>
      <c r="L110" s="44"/>
      <c r="M110" s="43">
        <f t="shared" si="0"/>
        <v>0</v>
      </c>
      <c r="N110" s="43"/>
      <c r="O110" s="41"/>
      <c r="P110" s="103"/>
      <c r="Q110" s="43"/>
      <c r="R110" s="44"/>
      <c r="S110" s="43">
        <f t="shared" si="3"/>
        <v>0</v>
      </c>
      <c r="T110" s="57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108</v>
      </c>
      <c r="C111" s="374" t="s">
        <v>46</v>
      </c>
      <c r="D111" s="374" t="s">
        <v>109</v>
      </c>
      <c r="E111" s="374" t="s">
        <v>27</v>
      </c>
      <c r="F111" s="204" t="s">
        <v>273</v>
      </c>
      <c r="G111" s="176" t="s">
        <v>24</v>
      </c>
      <c r="H111" s="151">
        <v>1</v>
      </c>
      <c r="I111" s="25"/>
      <c r="J111" s="25"/>
      <c r="K111" s="26"/>
      <c r="L111" s="27"/>
      <c r="M111" s="26">
        <f t="shared" si="0"/>
        <v>0</v>
      </c>
      <c r="N111" s="26"/>
      <c r="O111" s="31"/>
      <c r="P111" s="53">
        <v>6</v>
      </c>
      <c r="Q111" s="30">
        <v>26300.45</v>
      </c>
      <c r="R111" s="205">
        <v>3</v>
      </c>
      <c r="S111" s="26">
        <f t="shared" si="3"/>
        <v>13277.84</v>
      </c>
      <c r="T111" s="30">
        <v>13277.84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7"/>
      <c r="B112" s="386"/>
      <c r="C112" s="386"/>
      <c r="D112" s="386"/>
      <c r="E112" s="386"/>
      <c r="F112" s="235" t="s">
        <v>234</v>
      </c>
      <c r="G112" s="252" t="s">
        <v>28</v>
      </c>
      <c r="H112" s="48">
        <v>3</v>
      </c>
      <c r="I112" s="246">
        <v>1</v>
      </c>
      <c r="J112" s="246">
        <v>1</v>
      </c>
      <c r="K112" s="158">
        <v>576.29999999999995</v>
      </c>
      <c r="L112" s="143"/>
      <c r="M112" s="142">
        <f t="shared" si="0"/>
        <v>0</v>
      </c>
      <c r="N112" s="142"/>
      <c r="O112" s="45"/>
      <c r="P112" s="157">
        <v>3</v>
      </c>
      <c r="Q112" s="158">
        <v>6513.21</v>
      </c>
      <c r="R112" s="143"/>
      <c r="S112" s="142">
        <f t="shared" si="3"/>
        <v>0</v>
      </c>
      <c r="T112" s="142"/>
      <c r="U112" s="4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145"/>
      <c r="G113" s="253" t="s">
        <v>25</v>
      </c>
      <c r="H113" s="147"/>
      <c r="I113" s="38"/>
      <c r="J113" s="38"/>
      <c r="K113" s="39"/>
      <c r="L113" s="40"/>
      <c r="M113" s="39">
        <f t="shared" si="0"/>
        <v>0</v>
      </c>
      <c r="N113" s="39"/>
      <c r="O113" s="41"/>
      <c r="P113" s="59"/>
      <c r="Q113" s="39"/>
      <c r="R113" s="40"/>
      <c r="S113" s="39">
        <f t="shared" si="3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6"/>
      <c r="B114" s="377" t="s">
        <v>110</v>
      </c>
      <c r="C114" s="377" t="s">
        <v>22</v>
      </c>
      <c r="D114" s="377"/>
      <c r="E114" s="377" t="s">
        <v>67</v>
      </c>
      <c r="F114" s="232" t="s">
        <v>274</v>
      </c>
      <c r="G114" s="23" t="s">
        <v>24</v>
      </c>
      <c r="H114" s="48">
        <v>2</v>
      </c>
      <c r="I114" s="49"/>
      <c r="J114" s="49"/>
      <c r="K114" s="50"/>
      <c r="L114" s="51"/>
      <c r="M114" s="50">
        <f t="shared" si="0"/>
        <v>0</v>
      </c>
      <c r="N114" s="50"/>
      <c r="O114" s="31"/>
      <c r="P114" s="108">
        <v>3</v>
      </c>
      <c r="Q114" s="65">
        <v>8558.75</v>
      </c>
      <c r="R114" s="224">
        <v>1</v>
      </c>
      <c r="S114" s="50">
        <f t="shared" si="3"/>
        <v>3034.34</v>
      </c>
      <c r="T114" s="65">
        <v>3034.34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54"/>
      <c r="G115" s="55" t="s">
        <v>28</v>
      </c>
      <c r="H115" s="116"/>
      <c r="I115" s="57"/>
      <c r="J115" s="57"/>
      <c r="K115" s="43"/>
      <c r="L115" s="44"/>
      <c r="M115" s="43">
        <f t="shared" si="0"/>
        <v>0</v>
      </c>
      <c r="N115" s="43"/>
      <c r="O115" s="41"/>
      <c r="P115" s="103"/>
      <c r="Q115" s="43"/>
      <c r="R115" s="44"/>
      <c r="S115" s="43">
        <f t="shared" si="3"/>
        <v>0</v>
      </c>
      <c r="T115" s="43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111</v>
      </c>
      <c r="C116" s="374" t="s">
        <v>22</v>
      </c>
      <c r="D116" s="374"/>
      <c r="E116" s="374" t="s">
        <v>112</v>
      </c>
      <c r="F116" s="22"/>
      <c r="G116" s="23" t="s">
        <v>24</v>
      </c>
      <c r="H116" s="48">
        <v>3</v>
      </c>
      <c r="I116" s="62">
        <v>2</v>
      </c>
      <c r="J116" s="62">
        <v>2</v>
      </c>
      <c r="K116" s="30">
        <v>1719.3</v>
      </c>
      <c r="L116" s="27"/>
      <c r="M116" s="26">
        <f t="shared" si="0"/>
        <v>0</v>
      </c>
      <c r="N116" s="26"/>
      <c r="O116" s="31"/>
      <c r="P116" s="53">
        <v>4</v>
      </c>
      <c r="Q116" s="30">
        <v>3732.5</v>
      </c>
      <c r="R116" s="27"/>
      <c r="S116" s="26">
        <f t="shared" si="3"/>
        <v>0</v>
      </c>
      <c r="T116" s="26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9"/>
      <c r="B117" s="380"/>
      <c r="C117" s="380"/>
      <c r="D117" s="380"/>
      <c r="E117" s="380"/>
      <c r="F117" s="233" t="s">
        <v>235</v>
      </c>
      <c r="G117" s="227" t="s">
        <v>28</v>
      </c>
      <c r="H117" s="133">
        <v>1</v>
      </c>
      <c r="I117" s="57"/>
      <c r="J117" s="57"/>
      <c r="K117" s="43"/>
      <c r="L117" s="44"/>
      <c r="M117" s="43">
        <f t="shared" si="0"/>
        <v>0</v>
      </c>
      <c r="N117" s="43"/>
      <c r="O117" s="41"/>
      <c r="P117" s="103"/>
      <c r="Q117" s="43"/>
      <c r="R117" s="44"/>
      <c r="S117" s="43">
        <f t="shared" si="3"/>
        <v>0</v>
      </c>
      <c r="T117" s="43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113</v>
      </c>
      <c r="C118" s="374" t="s">
        <v>39</v>
      </c>
      <c r="D118" s="374" t="s">
        <v>114</v>
      </c>
      <c r="E118" s="374" t="s">
        <v>27</v>
      </c>
      <c r="F118" s="204" t="s">
        <v>305</v>
      </c>
      <c r="G118" s="176" t="s">
        <v>24</v>
      </c>
      <c r="H118" s="48">
        <v>7</v>
      </c>
      <c r="I118" s="62">
        <v>3</v>
      </c>
      <c r="J118" s="62">
        <v>5</v>
      </c>
      <c r="K118" s="30">
        <v>6736.48</v>
      </c>
      <c r="L118" s="27"/>
      <c r="M118" s="26">
        <f t="shared" si="0"/>
        <v>0</v>
      </c>
      <c r="N118" s="26"/>
      <c r="O118" s="31"/>
      <c r="P118" s="53">
        <v>10</v>
      </c>
      <c r="Q118" s="30">
        <v>27295.01</v>
      </c>
      <c r="R118" s="205">
        <v>2</v>
      </c>
      <c r="S118" s="26">
        <f t="shared" si="3"/>
        <v>7729.47</v>
      </c>
      <c r="T118" s="30">
        <v>7729.47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220" t="s">
        <v>306</v>
      </c>
      <c r="G119" s="229" t="s">
        <v>28</v>
      </c>
      <c r="H119" s="56">
        <v>2</v>
      </c>
      <c r="I119" s="130">
        <v>1</v>
      </c>
      <c r="J119" s="130">
        <v>1</v>
      </c>
      <c r="K119" s="114">
        <v>1152.5999999999999</v>
      </c>
      <c r="L119" s="44"/>
      <c r="M119" s="43">
        <f t="shared" si="0"/>
        <v>0</v>
      </c>
      <c r="N119" s="43"/>
      <c r="O119" s="45"/>
      <c r="P119" s="113">
        <v>2</v>
      </c>
      <c r="Q119" s="114">
        <v>5186.7</v>
      </c>
      <c r="R119" s="44"/>
      <c r="S119" s="43">
        <f t="shared" si="3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115</v>
      </c>
      <c r="C120" s="374" t="s">
        <v>22</v>
      </c>
      <c r="D120" s="374"/>
      <c r="E120" s="374" t="s">
        <v>27</v>
      </c>
      <c r="F120" s="22"/>
      <c r="G120" s="23" t="s">
        <v>24</v>
      </c>
      <c r="H120" s="104"/>
      <c r="I120" s="25"/>
      <c r="J120" s="25"/>
      <c r="K120" s="26"/>
      <c r="L120" s="148"/>
      <c r="M120" s="149">
        <f t="shared" si="0"/>
        <v>0</v>
      </c>
      <c r="N120" s="26"/>
      <c r="O120" s="100"/>
      <c r="P120" s="120"/>
      <c r="Q120" s="26"/>
      <c r="R120" s="27"/>
      <c r="S120" s="26">
        <f t="shared" si="3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35" t="s">
        <v>28</v>
      </c>
      <c r="H121" s="106"/>
      <c r="I121" s="38"/>
      <c r="J121" s="38"/>
      <c r="K121" s="39"/>
      <c r="L121" s="40"/>
      <c r="M121" s="39">
        <f t="shared" si="0"/>
        <v>0</v>
      </c>
      <c r="N121" s="39"/>
      <c r="O121" s="41"/>
      <c r="P121" s="69"/>
      <c r="Q121" s="39"/>
      <c r="R121" s="40"/>
      <c r="S121" s="39">
        <f t="shared" si="3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82"/>
      <c r="B122" s="381" t="s">
        <v>116</v>
      </c>
      <c r="C122" s="381" t="s">
        <v>22</v>
      </c>
      <c r="D122" s="381"/>
      <c r="E122" s="381" t="s">
        <v>27</v>
      </c>
      <c r="F122" s="223" t="s">
        <v>307</v>
      </c>
      <c r="G122" s="47" t="s">
        <v>24</v>
      </c>
      <c r="H122" s="61">
        <v>3</v>
      </c>
      <c r="I122" s="62">
        <v>3</v>
      </c>
      <c r="J122" s="62">
        <v>3</v>
      </c>
      <c r="K122" s="30">
        <v>3189.98</v>
      </c>
      <c r="L122" s="27"/>
      <c r="M122" s="26">
        <f t="shared" si="0"/>
        <v>0</v>
      </c>
      <c r="N122" s="26"/>
      <c r="O122" s="100"/>
      <c r="P122" s="64">
        <v>2</v>
      </c>
      <c r="Q122" s="65">
        <v>3540.18</v>
      </c>
      <c r="R122" s="224">
        <v>1</v>
      </c>
      <c r="S122" s="50">
        <f t="shared" si="3"/>
        <v>2272.3200000000002</v>
      </c>
      <c r="T122" s="65">
        <v>2272.3200000000002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75"/>
      <c r="C123" s="375"/>
      <c r="D123" s="375"/>
      <c r="E123" s="375"/>
      <c r="F123" s="34"/>
      <c r="G123" s="35" t="s">
        <v>28</v>
      </c>
      <c r="H123" s="116"/>
      <c r="I123" s="38"/>
      <c r="J123" s="38"/>
      <c r="K123" s="39"/>
      <c r="L123" s="40"/>
      <c r="M123" s="39">
        <f t="shared" si="0"/>
        <v>0</v>
      </c>
      <c r="N123" s="39"/>
      <c r="O123" s="41"/>
      <c r="P123" s="69"/>
      <c r="Q123" s="39"/>
      <c r="R123" s="40"/>
      <c r="S123" s="39">
        <f t="shared" si="3"/>
        <v>0</v>
      </c>
      <c r="T123" s="39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82"/>
      <c r="B124" s="381" t="s">
        <v>117</v>
      </c>
      <c r="C124" s="381" t="s">
        <v>22</v>
      </c>
      <c r="D124" s="381"/>
      <c r="E124" s="381" t="s">
        <v>67</v>
      </c>
      <c r="F124" s="223" t="s">
        <v>308</v>
      </c>
      <c r="G124" s="23" t="s">
        <v>24</v>
      </c>
      <c r="H124" s="48">
        <v>8</v>
      </c>
      <c r="I124" s="203">
        <v>4</v>
      </c>
      <c r="J124" s="203">
        <v>5</v>
      </c>
      <c r="K124" s="65">
        <v>15263.87</v>
      </c>
      <c r="L124" s="51"/>
      <c r="M124" s="50">
        <f t="shared" si="0"/>
        <v>0</v>
      </c>
      <c r="N124" s="50"/>
      <c r="O124" s="31"/>
      <c r="P124" s="108">
        <v>19</v>
      </c>
      <c r="Q124" s="65">
        <v>62215.98</v>
      </c>
      <c r="R124" s="224">
        <v>3</v>
      </c>
      <c r="S124" s="50">
        <f t="shared" si="3"/>
        <v>10009.61</v>
      </c>
      <c r="T124" s="65">
        <v>10009.61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26"/>
      <c r="G125" s="227" t="s">
        <v>28</v>
      </c>
      <c r="H125" s="116"/>
      <c r="I125" s="57"/>
      <c r="J125" s="57"/>
      <c r="K125" s="43"/>
      <c r="L125" s="44"/>
      <c r="M125" s="43">
        <f t="shared" si="0"/>
        <v>0</v>
      </c>
      <c r="N125" s="43"/>
      <c r="O125" s="41"/>
      <c r="P125" s="103"/>
      <c r="Q125" s="43"/>
      <c r="R125" s="44"/>
      <c r="S125" s="43">
        <f t="shared" si="3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118</v>
      </c>
      <c r="C126" s="374" t="s">
        <v>39</v>
      </c>
      <c r="D126" s="374" t="s">
        <v>309</v>
      </c>
      <c r="E126" s="374" t="s">
        <v>27</v>
      </c>
      <c r="F126" s="204" t="s">
        <v>310</v>
      </c>
      <c r="G126" s="176" t="s">
        <v>24</v>
      </c>
      <c r="H126" s="151">
        <v>5</v>
      </c>
      <c r="I126" s="25"/>
      <c r="J126" s="25"/>
      <c r="K126" s="26"/>
      <c r="L126" s="27"/>
      <c r="M126" s="26">
        <f t="shared" si="0"/>
        <v>0</v>
      </c>
      <c r="N126" s="26"/>
      <c r="O126" s="31"/>
      <c r="P126" s="53">
        <v>13</v>
      </c>
      <c r="Q126" s="30">
        <v>46879.51</v>
      </c>
      <c r="R126" s="205">
        <v>6</v>
      </c>
      <c r="S126" s="26">
        <f t="shared" si="3"/>
        <v>21153.67</v>
      </c>
      <c r="T126" s="30">
        <v>21153.67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152"/>
      <c r="G127" s="229" t="s">
        <v>28</v>
      </c>
      <c r="H127" s="116"/>
      <c r="I127" s="38"/>
      <c r="J127" s="38"/>
      <c r="K127" s="39"/>
      <c r="L127" s="40"/>
      <c r="M127" s="39">
        <f t="shared" si="0"/>
        <v>0</v>
      </c>
      <c r="N127" s="39"/>
      <c r="O127" s="41"/>
      <c r="P127" s="5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119</v>
      </c>
      <c r="C128" s="374" t="s">
        <v>39</v>
      </c>
      <c r="D128" s="374" t="s">
        <v>311</v>
      </c>
      <c r="E128" s="374" t="s">
        <v>121</v>
      </c>
      <c r="F128" s="232" t="s">
        <v>312</v>
      </c>
      <c r="G128" s="23" t="s">
        <v>24</v>
      </c>
      <c r="H128" s="151">
        <v>5</v>
      </c>
      <c r="I128" s="62">
        <v>3</v>
      </c>
      <c r="J128" s="62">
        <v>3</v>
      </c>
      <c r="K128" s="30">
        <v>2221.61</v>
      </c>
      <c r="L128" s="27"/>
      <c r="M128" s="26">
        <f t="shared" si="0"/>
        <v>0</v>
      </c>
      <c r="N128" s="26"/>
      <c r="O128" s="31"/>
      <c r="P128" s="53">
        <v>21</v>
      </c>
      <c r="Q128" s="30">
        <v>32606.92</v>
      </c>
      <c r="R128" s="205">
        <v>4</v>
      </c>
      <c r="S128" s="26">
        <f t="shared" si="3"/>
        <v>4998.1400000000003</v>
      </c>
      <c r="T128" s="30">
        <v>4998.1400000000003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80"/>
      <c r="C129" s="380"/>
      <c r="D129" s="380"/>
      <c r="E129" s="380"/>
      <c r="F129" s="233" t="s">
        <v>313</v>
      </c>
      <c r="G129" s="227" t="s">
        <v>25</v>
      </c>
      <c r="H129" s="153">
        <v>2</v>
      </c>
      <c r="I129" s="130">
        <v>2</v>
      </c>
      <c r="J129" s="130">
        <v>2</v>
      </c>
      <c r="K129" s="114">
        <v>2401.25</v>
      </c>
      <c r="L129" s="44"/>
      <c r="M129" s="43">
        <f t="shared" si="0"/>
        <v>0</v>
      </c>
      <c r="N129" s="43"/>
      <c r="O129" s="41"/>
      <c r="P129" s="113">
        <v>3</v>
      </c>
      <c r="Q129" s="114">
        <v>7299.8</v>
      </c>
      <c r="R129" s="270">
        <v>1</v>
      </c>
      <c r="S129" s="114">
        <v>4034.1</v>
      </c>
      <c r="T129" s="114">
        <v>4034.1</v>
      </c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2"/>
      <c r="B130" s="374" t="s">
        <v>122</v>
      </c>
      <c r="C130" s="374" t="s">
        <v>39</v>
      </c>
      <c r="D130" s="374" t="s">
        <v>123</v>
      </c>
      <c r="E130" s="374" t="s">
        <v>55</v>
      </c>
      <c r="F130" s="204" t="s">
        <v>236</v>
      </c>
      <c r="G130" s="176" t="s">
        <v>24</v>
      </c>
      <c r="H130" s="48">
        <v>6</v>
      </c>
      <c r="I130" s="62">
        <v>4</v>
      </c>
      <c r="J130" s="62">
        <v>5</v>
      </c>
      <c r="K130" s="30">
        <v>5859.73</v>
      </c>
      <c r="L130" s="27"/>
      <c r="M130" s="26">
        <f t="shared" si="0"/>
        <v>0</v>
      </c>
      <c r="N130" s="26"/>
      <c r="O130" s="31"/>
      <c r="P130" s="53">
        <v>14</v>
      </c>
      <c r="Q130" s="30">
        <v>68482.759999999995</v>
      </c>
      <c r="R130" s="205">
        <v>6</v>
      </c>
      <c r="S130" s="26">
        <f t="shared" ref="S130:S171" si="4">T130+U130</f>
        <v>29991.43</v>
      </c>
      <c r="T130" s="30">
        <v>15352.72</v>
      </c>
      <c r="U130" s="225">
        <v>14638.71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34"/>
      <c r="G131" s="229" t="s">
        <v>25</v>
      </c>
      <c r="H131" s="116"/>
      <c r="I131" s="38"/>
      <c r="J131" s="38"/>
      <c r="K131" s="39"/>
      <c r="L131" s="40"/>
      <c r="M131" s="39">
        <f t="shared" si="0"/>
        <v>0</v>
      </c>
      <c r="N131" s="39"/>
      <c r="O131" s="41"/>
      <c r="P131" s="59"/>
      <c r="Q131" s="39"/>
      <c r="R131" s="40"/>
      <c r="S131" s="39">
        <f t="shared" si="4"/>
        <v>0</v>
      </c>
      <c r="T131" s="39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6"/>
      <c r="B132" s="377" t="s">
        <v>124</v>
      </c>
      <c r="C132" s="377" t="s">
        <v>39</v>
      </c>
      <c r="D132" s="377" t="s">
        <v>314</v>
      </c>
      <c r="E132" s="377" t="s">
        <v>27</v>
      </c>
      <c r="F132" s="232" t="s">
        <v>237</v>
      </c>
      <c r="G132" s="23" t="s">
        <v>24</v>
      </c>
      <c r="H132" s="48">
        <v>8</v>
      </c>
      <c r="I132" s="203">
        <v>2</v>
      </c>
      <c r="J132" s="203">
        <v>3</v>
      </c>
      <c r="K132" s="65">
        <v>2736.46</v>
      </c>
      <c r="L132" s="51"/>
      <c r="M132" s="50">
        <f t="shared" si="0"/>
        <v>0</v>
      </c>
      <c r="N132" s="50"/>
      <c r="O132" s="31"/>
      <c r="P132" s="108">
        <v>35</v>
      </c>
      <c r="Q132" s="65">
        <v>208956.88</v>
      </c>
      <c r="R132" s="224">
        <v>7</v>
      </c>
      <c r="S132" s="50">
        <f t="shared" si="4"/>
        <v>74062.510000000009</v>
      </c>
      <c r="T132" s="65">
        <v>50185.66</v>
      </c>
      <c r="U132" s="225">
        <v>23876.85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7"/>
      <c r="B133" s="386"/>
      <c r="C133" s="386"/>
      <c r="D133" s="386"/>
      <c r="E133" s="386"/>
      <c r="F133" s="135"/>
      <c r="G133" s="154" t="s">
        <v>25</v>
      </c>
      <c r="H133" s="98"/>
      <c r="I133" s="155"/>
      <c r="J133" s="155"/>
      <c r="K133" s="239" t="s">
        <v>43</v>
      </c>
      <c r="L133" s="128"/>
      <c r="M133" s="129">
        <f t="shared" si="0"/>
        <v>0</v>
      </c>
      <c r="N133" s="129"/>
      <c r="O133" s="45"/>
      <c r="P133" s="156"/>
      <c r="Q133" s="129"/>
      <c r="R133" s="128"/>
      <c r="S133" s="129">
        <f t="shared" si="4"/>
        <v>0</v>
      </c>
      <c r="T133" s="129"/>
      <c r="U133" s="4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28</v>
      </c>
      <c r="H134" s="111"/>
      <c r="I134" s="57"/>
      <c r="J134" s="57"/>
      <c r="K134" s="43"/>
      <c r="L134" s="44"/>
      <c r="M134" s="43">
        <f t="shared" si="0"/>
        <v>0</v>
      </c>
      <c r="N134" s="43"/>
      <c r="O134" s="41"/>
      <c r="P134" s="113">
        <v>1</v>
      </c>
      <c r="Q134" s="43"/>
      <c r="R134" s="44"/>
      <c r="S134" s="43">
        <f t="shared" si="4"/>
        <v>2305.1999999999998</v>
      </c>
      <c r="T134" s="114"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126</v>
      </c>
      <c r="C135" s="374" t="s">
        <v>22</v>
      </c>
      <c r="D135" s="378"/>
      <c r="E135" s="374" t="s">
        <v>65</v>
      </c>
      <c r="F135" s="150"/>
      <c r="G135" s="23" t="s">
        <v>24</v>
      </c>
      <c r="H135" s="151">
        <v>1</v>
      </c>
      <c r="I135" s="62">
        <v>1</v>
      </c>
      <c r="J135" s="62">
        <v>1</v>
      </c>
      <c r="K135" s="30">
        <v>384.2</v>
      </c>
      <c r="L135" s="27"/>
      <c r="M135" s="26">
        <f t="shared" si="0"/>
        <v>0</v>
      </c>
      <c r="N135" s="26"/>
      <c r="O135" s="31"/>
      <c r="P135" s="53">
        <v>15</v>
      </c>
      <c r="Q135" s="30">
        <v>11948.95</v>
      </c>
      <c r="R135" s="27"/>
      <c r="S135" s="26">
        <f t="shared" si="4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254" t="s">
        <v>316</v>
      </c>
      <c r="G136" s="35" t="s">
        <v>28</v>
      </c>
      <c r="H136" s="153">
        <v>3</v>
      </c>
      <c r="I136" s="37">
        <v>2</v>
      </c>
      <c r="J136" s="37">
        <v>2</v>
      </c>
      <c r="K136" s="68">
        <v>2305.1999999999998</v>
      </c>
      <c r="L136" s="40"/>
      <c r="M136" s="39">
        <f t="shared" si="0"/>
        <v>0</v>
      </c>
      <c r="N136" s="39"/>
      <c r="O136" s="41"/>
      <c r="P136" s="115">
        <v>1</v>
      </c>
      <c r="Q136" s="68">
        <v>700</v>
      </c>
      <c r="R136" s="40"/>
      <c r="S136" s="39">
        <f t="shared" si="4"/>
        <v>0</v>
      </c>
      <c r="T136" s="39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82"/>
      <c r="B137" s="381" t="s">
        <v>127</v>
      </c>
      <c r="C137" s="381" t="s">
        <v>22</v>
      </c>
      <c r="D137" s="381"/>
      <c r="E137" s="381" t="s">
        <v>67</v>
      </c>
      <c r="F137" s="46"/>
      <c r="G137" s="47" t="s">
        <v>24</v>
      </c>
      <c r="H137" s="48">
        <v>5</v>
      </c>
      <c r="I137" s="203">
        <v>3</v>
      </c>
      <c r="J137" s="203">
        <v>3</v>
      </c>
      <c r="K137" s="65">
        <v>3609.92</v>
      </c>
      <c r="L137" s="51"/>
      <c r="M137" s="50">
        <f t="shared" si="0"/>
        <v>0</v>
      </c>
      <c r="N137" s="50"/>
      <c r="O137" s="31"/>
      <c r="P137" s="108">
        <v>7</v>
      </c>
      <c r="Q137" s="65">
        <v>28166.25</v>
      </c>
      <c r="R137" s="51"/>
      <c r="S137" s="50">
        <f t="shared" si="4"/>
        <v>0</v>
      </c>
      <c r="T137" s="50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221" t="s">
        <v>317</v>
      </c>
      <c r="G138" s="55" t="s">
        <v>28</v>
      </c>
      <c r="H138" s="153">
        <v>7</v>
      </c>
      <c r="I138" s="37">
        <v>1</v>
      </c>
      <c r="J138" s="37">
        <v>1</v>
      </c>
      <c r="K138" s="68">
        <v>1578.8</v>
      </c>
      <c r="L138" s="40"/>
      <c r="M138" s="39">
        <f t="shared" si="0"/>
        <v>0</v>
      </c>
      <c r="N138" s="39"/>
      <c r="O138" s="41"/>
      <c r="P138" s="115">
        <v>1</v>
      </c>
      <c r="Q138" s="68">
        <v>11053.9</v>
      </c>
      <c r="R138" s="40"/>
      <c r="S138" s="39">
        <f t="shared" si="4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82"/>
      <c r="B139" s="381" t="s">
        <v>128</v>
      </c>
      <c r="C139" s="381" t="s">
        <v>39</v>
      </c>
      <c r="D139" s="381" t="s">
        <v>129</v>
      </c>
      <c r="E139" s="381" t="s">
        <v>121</v>
      </c>
      <c r="F139" s="60"/>
      <c r="G139" s="23" t="s">
        <v>24</v>
      </c>
      <c r="H139" s="107"/>
      <c r="I139" s="49"/>
      <c r="J139" s="127"/>
      <c r="K139" s="50"/>
      <c r="L139" s="51"/>
      <c r="M139" s="50">
        <f t="shared" si="0"/>
        <v>0</v>
      </c>
      <c r="N139" s="50"/>
      <c r="O139" s="31"/>
      <c r="P139" s="108">
        <v>1</v>
      </c>
      <c r="Q139" s="65">
        <v>14638.71</v>
      </c>
      <c r="R139" s="51"/>
      <c r="S139" s="50">
        <f t="shared" si="4"/>
        <v>0</v>
      </c>
      <c r="T139" s="50"/>
      <c r="U139" s="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9"/>
      <c r="B140" s="380"/>
      <c r="C140" s="380"/>
      <c r="D140" s="380"/>
      <c r="E140" s="380"/>
      <c r="F140" s="247"/>
      <c r="G140" s="227" t="s">
        <v>25</v>
      </c>
      <c r="H140" s="153">
        <v>1</v>
      </c>
      <c r="I140" s="57"/>
      <c r="J140" s="57"/>
      <c r="K140" s="43"/>
      <c r="L140" s="44"/>
      <c r="M140" s="43">
        <f t="shared" si="0"/>
        <v>0</v>
      </c>
      <c r="N140" s="43"/>
      <c r="O140" s="41"/>
      <c r="P140" s="103"/>
      <c r="Q140" s="43"/>
      <c r="R140" s="44"/>
      <c r="S140" s="43">
        <f t="shared" si="4"/>
        <v>0</v>
      </c>
      <c r="T140" s="43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130</v>
      </c>
      <c r="C141" s="374" t="s">
        <v>22</v>
      </c>
      <c r="D141" s="374"/>
      <c r="E141" s="374" t="s">
        <v>131</v>
      </c>
      <c r="F141" s="22"/>
      <c r="G141" s="176" t="s">
        <v>24</v>
      </c>
      <c r="H141" s="48">
        <v>1</v>
      </c>
      <c r="I141" s="25"/>
      <c r="J141" s="25"/>
      <c r="K141" s="26"/>
      <c r="L141" s="27"/>
      <c r="M141" s="26">
        <f t="shared" si="0"/>
        <v>0</v>
      </c>
      <c r="N141" s="26"/>
      <c r="O141" s="31"/>
      <c r="P141" s="53">
        <v>3</v>
      </c>
      <c r="Q141" s="30">
        <v>5532.03</v>
      </c>
      <c r="R141" s="27"/>
      <c r="S141" s="26">
        <f t="shared" si="4"/>
        <v>0</v>
      </c>
      <c r="T141" s="26"/>
      <c r="U141" s="3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75"/>
      <c r="C142" s="375"/>
      <c r="D142" s="375"/>
      <c r="E142" s="375"/>
      <c r="F142" s="34"/>
      <c r="G142" s="229" t="s">
        <v>25</v>
      </c>
      <c r="H142" s="112">
        <v>5</v>
      </c>
      <c r="I142" s="130">
        <v>2</v>
      </c>
      <c r="J142" s="130">
        <v>2</v>
      </c>
      <c r="K142" s="114">
        <v>1728.9</v>
      </c>
      <c r="L142" s="44"/>
      <c r="M142" s="43">
        <f t="shared" si="0"/>
        <v>0</v>
      </c>
      <c r="N142" s="43"/>
      <c r="O142" s="41"/>
      <c r="P142" s="113">
        <v>1</v>
      </c>
      <c r="Q142" s="114">
        <v>3457.8</v>
      </c>
      <c r="R142" s="44"/>
      <c r="S142" s="43">
        <f t="shared" si="4"/>
        <v>0</v>
      </c>
      <c r="T142" s="43"/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132</v>
      </c>
      <c r="C143" s="374" t="s">
        <v>39</v>
      </c>
      <c r="D143" s="374" t="s">
        <v>238</v>
      </c>
      <c r="E143" s="377" t="s">
        <v>136</v>
      </c>
      <c r="F143" s="232" t="s">
        <v>239</v>
      </c>
      <c r="G143" s="23" t="s">
        <v>24</v>
      </c>
      <c r="H143" s="61">
        <v>5</v>
      </c>
      <c r="I143" s="62">
        <v>3</v>
      </c>
      <c r="J143" s="62">
        <v>3</v>
      </c>
      <c r="K143" s="30">
        <v>2891.11</v>
      </c>
      <c r="L143" s="27"/>
      <c r="M143" s="26">
        <f t="shared" si="0"/>
        <v>0</v>
      </c>
      <c r="N143" s="26"/>
      <c r="O143" s="31"/>
      <c r="P143" s="53">
        <v>10</v>
      </c>
      <c r="Q143" s="30">
        <v>28200</v>
      </c>
      <c r="R143" s="205">
        <v>1</v>
      </c>
      <c r="S143" s="26">
        <f t="shared" si="4"/>
        <v>8445.0499999999993</v>
      </c>
      <c r="T143" s="30">
        <v>2697.08</v>
      </c>
      <c r="U143" s="225">
        <v>5747.97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87"/>
      <c r="B144" s="386"/>
      <c r="C144" s="386"/>
      <c r="D144" s="386"/>
      <c r="E144" s="386"/>
      <c r="F144" s="237" t="s">
        <v>240</v>
      </c>
      <c r="G144" s="154" t="s">
        <v>28</v>
      </c>
      <c r="H144" s="112">
        <v>8</v>
      </c>
      <c r="I144" s="271">
        <v>1</v>
      </c>
      <c r="J144" s="271">
        <v>1</v>
      </c>
      <c r="K144" s="239">
        <v>1728.9</v>
      </c>
      <c r="L144" s="128"/>
      <c r="M144" s="129">
        <f t="shared" si="0"/>
        <v>0</v>
      </c>
      <c r="N144" s="129"/>
      <c r="O144" s="45"/>
      <c r="P144" s="238">
        <v>7</v>
      </c>
      <c r="Q144" s="239">
        <v>11775.73</v>
      </c>
      <c r="R144" s="128"/>
      <c r="S144" s="129">
        <f t="shared" si="4"/>
        <v>288.14999999999998</v>
      </c>
      <c r="T144" s="239">
        <v>288.14999999999998</v>
      </c>
      <c r="U144" s="45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3"/>
      <c r="B145" s="375"/>
      <c r="C145" s="375"/>
      <c r="D145" s="375"/>
      <c r="E145" s="375"/>
      <c r="F145" s="126"/>
      <c r="G145" s="55" t="s">
        <v>25</v>
      </c>
      <c r="H145" s="131"/>
      <c r="I145" s="57"/>
      <c r="J145" s="57"/>
      <c r="K145" s="43"/>
      <c r="L145" s="44"/>
      <c r="M145" s="43">
        <f t="shared" si="0"/>
        <v>0</v>
      </c>
      <c r="N145" s="43"/>
      <c r="O145" s="41"/>
      <c r="P145" s="103"/>
      <c r="Q145" s="43"/>
      <c r="R145" s="44"/>
      <c r="S145" s="43">
        <f t="shared" si="4"/>
        <v>0</v>
      </c>
      <c r="T145" s="43"/>
      <c r="U145" s="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2"/>
      <c r="B146" s="374" t="s">
        <v>133</v>
      </c>
      <c r="C146" s="374"/>
      <c r="D146" s="374"/>
      <c r="E146" s="381" t="s">
        <v>23</v>
      </c>
      <c r="F146" s="22"/>
      <c r="G146" s="23" t="s">
        <v>24</v>
      </c>
      <c r="H146" s="61">
        <v>5</v>
      </c>
      <c r="I146" s="25"/>
      <c r="J146" s="25"/>
      <c r="K146" s="26"/>
      <c r="L146" s="27"/>
      <c r="M146" s="26">
        <f t="shared" si="0"/>
        <v>0</v>
      </c>
      <c r="N146" s="26"/>
      <c r="O146" s="31"/>
      <c r="P146" s="99"/>
      <c r="Q146" s="26"/>
      <c r="R146" s="27"/>
      <c r="S146" s="26">
        <f t="shared" si="4"/>
        <v>0</v>
      </c>
      <c r="T146" s="26"/>
      <c r="U146" s="3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3"/>
      <c r="B147" s="375"/>
      <c r="C147" s="375"/>
      <c r="D147" s="375"/>
      <c r="E147" s="375"/>
      <c r="F147" s="34"/>
      <c r="G147" s="35" t="s">
        <v>25</v>
      </c>
      <c r="H147" s="106"/>
      <c r="I147" s="38"/>
      <c r="J147" s="38"/>
      <c r="K147" s="39"/>
      <c r="L147" s="40"/>
      <c r="M147" s="39">
        <f t="shared" si="0"/>
        <v>0</v>
      </c>
      <c r="N147" s="39"/>
      <c r="O147" s="41"/>
      <c r="P147" s="59"/>
      <c r="Q147" s="39"/>
      <c r="R147" s="40"/>
      <c r="S147" s="39">
        <f t="shared" si="4"/>
        <v>0</v>
      </c>
      <c r="T147" s="39"/>
      <c r="U147" s="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2"/>
      <c r="B148" s="374" t="s">
        <v>134</v>
      </c>
      <c r="C148" s="374" t="s">
        <v>39</v>
      </c>
      <c r="D148" s="374" t="s">
        <v>280</v>
      </c>
      <c r="E148" s="374" t="s">
        <v>136</v>
      </c>
      <c r="F148" s="204" t="s">
        <v>282</v>
      </c>
      <c r="G148" s="176" t="s">
        <v>24</v>
      </c>
      <c r="H148" s="48">
        <v>4</v>
      </c>
      <c r="I148" s="203">
        <v>3</v>
      </c>
      <c r="J148" s="203">
        <v>3</v>
      </c>
      <c r="K148" s="65">
        <v>6564.06</v>
      </c>
      <c r="L148" s="51"/>
      <c r="M148" s="50">
        <f t="shared" si="0"/>
        <v>0</v>
      </c>
      <c r="N148" s="50"/>
      <c r="O148" s="31"/>
      <c r="P148" s="108">
        <v>4</v>
      </c>
      <c r="Q148" s="65">
        <v>22015.89</v>
      </c>
      <c r="R148" s="224">
        <v>2</v>
      </c>
      <c r="S148" s="50">
        <f t="shared" si="4"/>
        <v>3694.33</v>
      </c>
      <c r="T148" s="65">
        <v>3694.33</v>
      </c>
      <c r="U148" s="3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7"/>
      <c r="B149" s="386"/>
      <c r="C149" s="386"/>
      <c r="D149" s="386"/>
      <c r="E149" s="386"/>
      <c r="F149" s="235" t="s">
        <v>321</v>
      </c>
      <c r="G149" s="252" t="s">
        <v>28</v>
      </c>
      <c r="H149" s="151">
        <v>6</v>
      </c>
      <c r="I149" s="139"/>
      <c r="J149" s="139"/>
      <c r="K149" s="142"/>
      <c r="L149" s="143"/>
      <c r="M149" s="142">
        <f t="shared" si="0"/>
        <v>0</v>
      </c>
      <c r="N149" s="142"/>
      <c r="O149" s="45"/>
      <c r="P149" s="157">
        <v>4</v>
      </c>
      <c r="Q149" s="158">
        <v>8625.2900000000009</v>
      </c>
      <c r="R149" s="51"/>
      <c r="S149" s="50">
        <f t="shared" si="4"/>
        <v>6224.04</v>
      </c>
      <c r="T149" s="158">
        <v>6224.04</v>
      </c>
      <c r="U149" s="4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8"/>
      <c r="I150" s="57"/>
      <c r="J150" s="57"/>
      <c r="K150" s="43"/>
      <c r="L150" s="44"/>
      <c r="M150" s="43">
        <f t="shared" si="0"/>
        <v>0</v>
      </c>
      <c r="N150" s="43"/>
      <c r="O150" s="41"/>
      <c r="P150" s="103"/>
      <c r="Q150" s="43"/>
      <c r="R150" s="44"/>
      <c r="S150" s="43">
        <f t="shared" si="4"/>
        <v>0</v>
      </c>
      <c r="T150" s="43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137</v>
      </c>
      <c r="C151" s="377" t="s">
        <v>39</v>
      </c>
      <c r="D151" s="374" t="s">
        <v>322</v>
      </c>
      <c r="E151" s="377" t="s">
        <v>27</v>
      </c>
      <c r="F151" s="232" t="s">
        <v>323</v>
      </c>
      <c r="G151" s="23" t="s">
        <v>24</v>
      </c>
      <c r="H151" s="24">
        <v>5</v>
      </c>
      <c r="I151" s="62">
        <v>1</v>
      </c>
      <c r="J151" s="62">
        <v>1</v>
      </c>
      <c r="K151" s="30">
        <v>947.05</v>
      </c>
      <c r="L151" s="27"/>
      <c r="M151" s="26">
        <f t="shared" si="0"/>
        <v>0</v>
      </c>
      <c r="N151" s="26"/>
      <c r="O151" s="31"/>
      <c r="P151" s="53">
        <v>1</v>
      </c>
      <c r="Q151" s="30">
        <v>576.29999999999995</v>
      </c>
      <c r="R151" s="205">
        <v>1</v>
      </c>
      <c r="S151" s="26">
        <f t="shared" si="4"/>
        <v>576.29999999999995</v>
      </c>
      <c r="T151" s="30">
        <v>576.29999999999995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80"/>
      <c r="F152" s="220" t="s">
        <v>241</v>
      </c>
      <c r="G152" s="35" t="s">
        <v>28</v>
      </c>
      <c r="H152" s="66">
        <v>4</v>
      </c>
      <c r="I152" s="38"/>
      <c r="J152" s="38"/>
      <c r="K152" s="39"/>
      <c r="L152" s="40"/>
      <c r="M152" s="39">
        <f t="shared" si="0"/>
        <v>0</v>
      </c>
      <c r="N152" s="39"/>
      <c r="O152" s="41"/>
      <c r="P152" s="115">
        <v>2</v>
      </c>
      <c r="Q152" s="68">
        <v>3265.7</v>
      </c>
      <c r="R152" s="40"/>
      <c r="S152" s="39">
        <f t="shared" si="4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138</v>
      </c>
      <c r="C153" s="374" t="s">
        <v>22</v>
      </c>
      <c r="D153" s="374"/>
      <c r="E153" s="374" t="s">
        <v>27</v>
      </c>
      <c r="F153" s="204" t="s">
        <v>324</v>
      </c>
      <c r="G153" s="176" t="s">
        <v>24</v>
      </c>
      <c r="H153" s="151">
        <v>4</v>
      </c>
      <c r="I153" s="203">
        <v>1</v>
      </c>
      <c r="J153" s="203">
        <v>1</v>
      </c>
      <c r="K153" s="65">
        <v>576.29999999999995</v>
      </c>
      <c r="L153" s="51"/>
      <c r="M153" s="50">
        <f t="shared" si="0"/>
        <v>0</v>
      </c>
      <c r="N153" s="50"/>
      <c r="O153" s="31"/>
      <c r="P153" s="108">
        <v>8</v>
      </c>
      <c r="Q153" s="65">
        <v>16335.71</v>
      </c>
      <c r="R153" s="224">
        <v>7</v>
      </c>
      <c r="S153" s="50">
        <f t="shared" si="4"/>
        <v>11686.89</v>
      </c>
      <c r="T153" s="65">
        <v>11686.89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220" t="s">
        <v>242</v>
      </c>
      <c r="G154" s="229" t="s">
        <v>28</v>
      </c>
      <c r="H154" s="133">
        <v>6</v>
      </c>
      <c r="I154" s="130">
        <v>2</v>
      </c>
      <c r="J154" s="130">
        <v>2</v>
      </c>
      <c r="K154" s="114">
        <v>3880.42</v>
      </c>
      <c r="L154" s="44"/>
      <c r="M154" s="43">
        <f t="shared" si="0"/>
        <v>0</v>
      </c>
      <c r="N154" s="43"/>
      <c r="O154" s="41"/>
      <c r="P154" s="113">
        <v>3</v>
      </c>
      <c r="Q154" s="114">
        <v>7203.75</v>
      </c>
      <c r="R154" s="44"/>
      <c r="S154" s="43">
        <f t="shared" si="4"/>
        <v>4802.5</v>
      </c>
      <c r="T154" s="114">
        <v>4802.5</v>
      </c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139</v>
      </c>
      <c r="C155" s="374" t="s">
        <v>22</v>
      </c>
      <c r="D155" s="374"/>
      <c r="E155" s="374" t="s">
        <v>67</v>
      </c>
      <c r="F155" s="232" t="s">
        <v>325</v>
      </c>
      <c r="G155" s="23" t="s">
        <v>24</v>
      </c>
      <c r="H155" s="151">
        <v>4</v>
      </c>
      <c r="I155" s="62">
        <v>3</v>
      </c>
      <c r="J155" s="62">
        <v>3</v>
      </c>
      <c r="K155" s="30">
        <v>6365.22</v>
      </c>
      <c r="L155" s="27"/>
      <c r="M155" s="26">
        <f t="shared" si="0"/>
        <v>0</v>
      </c>
      <c r="N155" s="26"/>
      <c r="O155" s="31"/>
      <c r="P155" s="53">
        <v>9</v>
      </c>
      <c r="Q155" s="30">
        <v>20468.02</v>
      </c>
      <c r="R155" s="205">
        <v>2</v>
      </c>
      <c r="S155" s="26">
        <f t="shared" si="4"/>
        <v>5290.28</v>
      </c>
      <c r="T155" s="30">
        <v>5290.28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221" t="s">
        <v>326</v>
      </c>
      <c r="G156" s="55" t="s">
        <v>28</v>
      </c>
      <c r="H156" s="112">
        <v>4</v>
      </c>
      <c r="I156" s="57"/>
      <c r="J156" s="57"/>
      <c r="K156" s="43"/>
      <c r="L156" s="44"/>
      <c r="M156" s="43">
        <f t="shared" si="0"/>
        <v>0</v>
      </c>
      <c r="N156" s="43"/>
      <c r="O156" s="45"/>
      <c r="P156" s="113">
        <v>2</v>
      </c>
      <c r="Q156" s="114">
        <v>3976.1</v>
      </c>
      <c r="R156" s="44"/>
      <c r="S156" s="43">
        <f t="shared" si="4"/>
        <v>6269.7</v>
      </c>
      <c r="T156" s="114">
        <v>6269.7</v>
      </c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2"/>
      <c r="B157" s="374" t="s">
        <v>140</v>
      </c>
      <c r="C157" s="374"/>
      <c r="D157" s="374"/>
      <c r="E157" s="374"/>
      <c r="F157" s="60"/>
      <c r="G157" s="23" t="s">
        <v>24</v>
      </c>
      <c r="H157" s="24">
        <v>2</v>
      </c>
      <c r="I157" s="62">
        <v>1</v>
      </c>
      <c r="J157" s="62">
        <v>1</v>
      </c>
      <c r="K157" s="30">
        <v>1045.98</v>
      </c>
      <c r="L157" s="27"/>
      <c r="M157" s="26">
        <f t="shared" si="0"/>
        <v>0</v>
      </c>
      <c r="N157" s="26"/>
      <c r="O157" s="159"/>
      <c r="P157" s="53">
        <v>3</v>
      </c>
      <c r="Q157" s="30">
        <v>20168.78</v>
      </c>
      <c r="R157" s="27"/>
      <c r="S157" s="26">
        <f t="shared" si="4"/>
        <v>0</v>
      </c>
      <c r="T157" s="26"/>
      <c r="U157" s="2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220" t="s">
        <v>243</v>
      </c>
      <c r="G158" s="35" t="s">
        <v>28</v>
      </c>
      <c r="H158" s="66">
        <v>4</v>
      </c>
      <c r="I158" s="37">
        <v>1</v>
      </c>
      <c r="J158" s="37">
        <v>1</v>
      </c>
      <c r="K158" s="68">
        <v>1728</v>
      </c>
      <c r="L158" s="40"/>
      <c r="M158" s="39">
        <f t="shared" si="0"/>
        <v>0</v>
      </c>
      <c r="N158" s="39"/>
      <c r="O158" s="58"/>
      <c r="P158" s="115">
        <v>2</v>
      </c>
      <c r="Q158" s="68">
        <v>2420.46</v>
      </c>
      <c r="R158" s="40"/>
      <c r="S158" s="39">
        <f t="shared" si="4"/>
        <v>0</v>
      </c>
      <c r="T158" s="39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2"/>
      <c r="B159" s="381" t="s">
        <v>141</v>
      </c>
      <c r="C159" s="381" t="s">
        <v>22</v>
      </c>
      <c r="D159" s="381"/>
      <c r="E159" s="381" t="s">
        <v>27</v>
      </c>
      <c r="F159" s="127"/>
      <c r="G159" s="47" t="s">
        <v>24</v>
      </c>
      <c r="H159" s="151">
        <v>2</v>
      </c>
      <c r="I159" s="49"/>
      <c r="J159" s="49"/>
      <c r="K159" s="50"/>
      <c r="L159" s="51"/>
      <c r="M159" s="50">
        <f t="shared" si="0"/>
        <v>0</v>
      </c>
      <c r="N159" s="50"/>
      <c r="O159" s="31"/>
      <c r="P159" s="108">
        <v>1</v>
      </c>
      <c r="Q159" s="65">
        <v>2497.3000000000002</v>
      </c>
      <c r="R159" s="51"/>
      <c r="S159" s="50">
        <f t="shared" si="4"/>
        <v>0</v>
      </c>
      <c r="T159" s="50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54"/>
      <c r="G160" s="55" t="s">
        <v>28</v>
      </c>
      <c r="H160" s="118"/>
      <c r="I160" s="57"/>
      <c r="J160" s="57"/>
      <c r="K160" s="43"/>
      <c r="L160" s="44"/>
      <c r="M160" s="43">
        <f t="shared" si="0"/>
        <v>0</v>
      </c>
      <c r="N160" s="43"/>
      <c r="O160" s="45"/>
      <c r="P160" s="103"/>
      <c r="Q160" s="43"/>
      <c r="R160" s="44"/>
      <c r="S160" s="43">
        <f t="shared" si="4"/>
        <v>0</v>
      </c>
      <c r="T160" s="43"/>
      <c r="U160" s="4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142</v>
      </c>
      <c r="C161" s="374"/>
      <c r="D161" s="374"/>
      <c r="E161" s="374" t="s">
        <v>27</v>
      </c>
      <c r="F161" s="22"/>
      <c r="G161" s="23" t="s">
        <v>24</v>
      </c>
      <c r="H161" s="24">
        <v>2</v>
      </c>
      <c r="I161" s="62">
        <v>2</v>
      </c>
      <c r="J161" s="62">
        <v>2</v>
      </c>
      <c r="K161" s="30">
        <v>524.91</v>
      </c>
      <c r="L161" s="27"/>
      <c r="M161" s="26">
        <f t="shared" si="0"/>
        <v>0</v>
      </c>
      <c r="N161" s="26"/>
      <c r="O161" s="28"/>
      <c r="P161" s="53">
        <v>1</v>
      </c>
      <c r="Q161" s="30">
        <v>412.05</v>
      </c>
      <c r="R161" s="27"/>
      <c r="S161" s="26">
        <f t="shared" si="4"/>
        <v>0</v>
      </c>
      <c r="T161" s="26"/>
      <c r="U161" s="2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105"/>
      <c r="G162" s="35" t="s">
        <v>28</v>
      </c>
      <c r="H162" s="36"/>
      <c r="I162" s="38"/>
      <c r="J162" s="38"/>
      <c r="K162" s="39"/>
      <c r="L162" s="40"/>
      <c r="M162" s="39">
        <f t="shared" si="0"/>
        <v>0</v>
      </c>
      <c r="N162" s="39"/>
      <c r="O162" s="41"/>
      <c r="P162" s="59"/>
      <c r="Q162" s="39"/>
      <c r="R162" s="40"/>
      <c r="S162" s="39">
        <f t="shared" si="4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82"/>
      <c r="B163" s="381" t="s">
        <v>143</v>
      </c>
      <c r="C163" s="381" t="s">
        <v>39</v>
      </c>
      <c r="D163" s="381" t="s">
        <v>327</v>
      </c>
      <c r="E163" s="381" t="s">
        <v>145</v>
      </c>
      <c r="F163" s="223" t="s">
        <v>215</v>
      </c>
      <c r="G163" s="47" t="s">
        <v>24</v>
      </c>
      <c r="H163" s="151">
        <v>2</v>
      </c>
      <c r="I163" s="49"/>
      <c r="J163" s="49"/>
      <c r="K163" s="50"/>
      <c r="L163" s="51"/>
      <c r="M163" s="50">
        <f t="shared" si="0"/>
        <v>0</v>
      </c>
      <c r="N163" s="50"/>
      <c r="O163" s="31"/>
      <c r="P163" s="108">
        <v>10</v>
      </c>
      <c r="Q163" s="65">
        <v>34619.06</v>
      </c>
      <c r="R163" s="224">
        <v>4</v>
      </c>
      <c r="S163" s="50">
        <f t="shared" si="4"/>
        <v>16502.04</v>
      </c>
      <c r="T163" s="65">
        <v>14714.18</v>
      </c>
      <c r="U163" s="225">
        <v>1787.86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9"/>
      <c r="B164" s="380"/>
      <c r="C164" s="380"/>
      <c r="D164" s="380"/>
      <c r="E164" s="380"/>
      <c r="F164" s="233" t="s">
        <v>244</v>
      </c>
      <c r="G164" s="227" t="s">
        <v>28</v>
      </c>
      <c r="H164" s="133">
        <v>5</v>
      </c>
      <c r="I164" s="130">
        <v>1</v>
      </c>
      <c r="J164" s="130">
        <v>1</v>
      </c>
      <c r="K164" s="114">
        <v>2497.3000000000002</v>
      </c>
      <c r="L164" s="128"/>
      <c r="M164" s="50">
        <f t="shared" si="0"/>
        <v>0</v>
      </c>
      <c r="N164" s="43"/>
      <c r="O164" s="41"/>
      <c r="P164" s="113">
        <v>1</v>
      </c>
      <c r="Q164" s="114">
        <v>5426.7</v>
      </c>
      <c r="R164" s="44"/>
      <c r="S164" s="43">
        <f t="shared" si="4"/>
        <v>576.29999999999995</v>
      </c>
      <c r="T164" s="114">
        <v>576.29999999999995</v>
      </c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146</v>
      </c>
      <c r="C165" s="374" t="s">
        <v>39</v>
      </c>
      <c r="D165" s="374" t="s">
        <v>328</v>
      </c>
      <c r="E165" s="374" t="s">
        <v>27</v>
      </c>
      <c r="F165" s="204" t="s">
        <v>329</v>
      </c>
      <c r="G165" s="176" t="s">
        <v>24</v>
      </c>
      <c r="H165" s="48">
        <v>1</v>
      </c>
      <c r="I165" s="62">
        <v>1</v>
      </c>
      <c r="J165" s="62">
        <v>1</v>
      </c>
      <c r="K165" s="30">
        <v>1477.25</v>
      </c>
      <c r="L165" s="27"/>
      <c r="M165" s="26">
        <f t="shared" si="0"/>
        <v>0</v>
      </c>
      <c r="N165" s="26"/>
      <c r="O165" s="31"/>
      <c r="P165" s="53">
        <v>8</v>
      </c>
      <c r="Q165" s="30">
        <v>17730.189999999999</v>
      </c>
      <c r="R165" s="205">
        <v>1</v>
      </c>
      <c r="S165" s="26">
        <f t="shared" si="4"/>
        <v>1267.8599999999999</v>
      </c>
      <c r="T165" s="30">
        <v>1267.8599999999999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 t="s">
        <v>330</v>
      </c>
      <c r="G166" s="229" t="s">
        <v>28</v>
      </c>
      <c r="H166" s="153">
        <v>1</v>
      </c>
      <c r="I166" s="57"/>
      <c r="J166" s="57"/>
      <c r="K166" s="43"/>
      <c r="L166" s="44"/>
      <c r="M166" s="43">
        <f t="shared" si="0"/>
        <v>0</v>
      </c>
      <c r="N166" s="43"/>
      <c r="O166" s="41"/>
      <c r="P166" s="115">
        <v>3</v>
      </c>
      <c r="Q166" s="68">
        <v>16520.599999999999</v>
      </c>
      <c r="R166" s="40"/>
      <c r="S166" s="39">
        <f t="shared" si="4"/>
        <v>576.29999999999995</v>
      </c>
      <c r="T166" s="68">
        <v>576.29999999999995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148</v>
      </c>
      <c r="C167" s="374" t="s">
        <v>39</v>
      </c>
      <c r="D167" s="374" t="s">
        <v>149</v>
      </c>
      <c r="E167" s="374" t="s">
        <v>27</v>
      </c>
      <c r="F167" s="232" t="s">
        <v>218</v>
      </c>
      <c r="G167" s="23" t="s">
        <v>24</v>
      </c>
      <c r="H167" s="48">
        <v>11</v>
      </c>
      <c r="I167" s="62">
        <v>8</v>
      </c>
      <c r="J167" s="204">
        <v>9</v>
      </c>
      <c r="K167" s="30">
        <v>11351.58</v>
      </c>
      <c r="L167" s="27"/>
      <c r="M167" s="26">
        <f t="shared" si="0"/>
        <v>0</v>
      </c>
      <c r="N167" s="26"/>
      <c r="O167" s="31"/>
      <c r="P167" s="108">
        <v>18</v>
      </c>
      <c r="Q167" s="65">
        <v>51516.03</v>
      </c>
      <c r="R167" s="224">
        <v>5</v>
      </c>
      <c r="S167" s="50">
        <f t="shared" si="4"/>
        <v>17249.09</v>
      </c>
      <c r="T167" s="65">
        <v>17249.09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47"/>
      <c r="G168" s="227" t="s">
        <v>28</v>
      </c>
      <c r="H168" s="292">
        <v>1</v>
      </c>
      <c r="I168" s="261"/>
      <c r="J168" s="261"/>
      <c r="K168" s="211"/>
      <c r="L168" s="210"/>
      <c r="M168" s="211">
        <f t="shared" si="0"/>
        <v>0</v>
      </c>
      <c r="N168" s="211"/>
      <c r="O168" s="212"/>
      <c r="P168" s="262">
        <v>1</v>
      </c>
      <c r="Q168" s="209">
        <v>576.29999999999995</v>
      </c>
      <c r="R168" s="210"/>
      <c r="S168" s="211">
        <f t="shared" si="4"/>
        <v>1921</v>
      </c>
      <c r="T168" s="209">
        <v>1921</v>
      </c>
      <c r="U168" s="212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373</v>
      </c>
      <c r="C169" s="374"/>
      <c r="D169" s="374"/>
      <c r="E169" s="374"/>
      <c r="F169" s="22"/>
      <c r="G169" s="213" t="s">
        <v>24</v>
      </c>
      <c r="H169" s="104"/>
      <c r="I169" s="25"/>
      <c r="J169" s="25"/>
      <c r="K169" s="162"/>
      <c r="L169" s="163"/>
      <c r="M169" s="162">
        <f t="shared" si="0"/>
        <v>0</v>
      </c>
      <c r="N169" s="162"/>
      <c r="O169" s="28"/>
      <c r="P169" s="275"/>
      <c r="Q169" s="26"/>
      <c r="R169" s="27"/>
      <c r="S169" s="26">
        <f t="shared" si="4"/>
        <v>0</v>
      </c>
      <c r="T169" s="26"/>
      <c r="U169" s="2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105"/>
      <c r="G170" s="215" t="s">
        <v>28</v>
      </c>
      <c r="H170" s="117">
        <v>2</v>
      </c>
      <c r="I170" s="38"/>
      <c r="J170" s="38"/>
      <c r="K170" s="164"/>
      <c r="L170" s="165"/>
      <c r="M170" s="164">
        <f t="shared" si="0"/>
        <v>0</v>
      </c>
      <c r="N170" s="164"/>
      <c r="O170" s="41"/>
      <c r="P170" s="276"/>
      <c r="Q170" s="39"/>
      <c r="R170" s="40"/>
      <c r="S170" s="39">
        <f t="shared" si="4"/>
        <v>0</v>
      </c>
      <c r="T170" s="39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6"/>
      <c r="B171" s="402" t="s">
        <v>150</v>
      </c>
      <c r="C171" s="377" t="s">
        <v>39</v>
      </c>
      <c r="D171" s="377" t="s">
        <v>151</v>
      </c>
      <c r="E171" s="377" t="s">
        <v>152</v>
      </c>
      <c r="F171" s="72"/>
      <c r="G171" s="95" t="s">
        <v>24</v>
      </c>
      <c r="H171" s="74"/>
      <c r="I171" s="96"/>
      <c r="J171" s="96"/>
      <c r="K171" s="293"/>
      <c r="L171" s="294"/>
      <c r="M171" s="293">
        <f t="shared" si="0"/>
        <v>0</v>
      </c>
      <c r="N171" s="293"/>
      <c r="O171" s="82"/>
      <c r="P171" s="295"/>
      <c r="Q171" s="81"/>
      <c r="R171" s="80"/>
      <c r="S171" s="81">
        <f t="shared" si="4"/>
        <v>0</v>
      </c>
      <c r="T171" s="81"/>
      <c r="U171" s="82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89"/>
      <c r="C172" s="375"/>
      <c r="D172" s="375"/>
      <c r="E172" s="375"/>
      <c r="F172" s="220" t="s">
        <v>331</v>
      </c>
      <c r="G172" s="35" t="s">
        <v>25</v>
      </c>
      <c r="H172" s="106"/>
      <c r="I172" s="38"/>
      <c r="J172" s="38"/>
      <c r="K172" s="164"/>
      <c r="L172" s="165"/>
      <c r="M172" s="164">
        <f t="shared" si="0"/>
        <v>0</v>
      </c>
      <c r="N172" s="164"/>
      <c r="O172" s="41"/>
      <c r="P172" s="67">
        <v>3</v>
      </c>
      <c r="Q172" s="68">
        <v>10841.33</v>
      </c>
      <c r="R172" s="285">
        <v>3</v>
      </c>
      <c r="S172" s="68">
        <v>10841.33</v>
      </c>
      <c r="T172" s="68">
        <v>10841.33</v>
      </c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153</v>
      </c>
      <c r="C173" s="374" t="s">
        <v>39</v>
      </c>
      <c r="D173" s="381" t="s">
        <v>332</v>
      </c>
      <c r="E173" s="381" t="s">
        <v>27</v>
      </c>
      <c r="F173" s="223" t="s">
        <v>333</v>
      </c>
      <c r="G173" s="47" t="s">
        <v>24</v>
      </c>
      <c r="H173" s="48">
        <v>6</v>
      </c>
      <c r="I173" s="203">
        <v>4</v>
      </c>
      <c r="J173" s="203">
        <v>5</v>
      </c>
      <c r="K173" s="242">
        <v>10428.26</v>
      </c>
      <c r="L173" s="167"/>
      <c r="M173" s="166">
        <f t="shared" si="0"/>
        <v>0</v>
      </c>
      <c r="N173" s="166"/>
      <c r="O173" s="31"/>
      <c r="P173" s="108">
        <v>5</v>
      </c>
      <c r="Q173" s="65">
        <v>16635.98</v>
      </c>
      <c r="R173" s="224">
        <v>4</v>
      </c>
      <c r="S173" s="50">
        <f t="shared" ref="S173:S192" si="5">T173+U173</f>
        <v>15452.64</v>
      </c>
      <c r="T173" s="65">
        <v>15452.64</v>
      </c>
      <c r="U173" s="225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9"/>
      <c r="B174" s="380"/>
      <c r="C174" s="375"/>
      <c r="D174" s="380"/>
      <c r="E174" s="380"/>
      <c r="F174" s="34"/>
      <c r="G174" s="35" t="s">
        <v>28</v>
      </c>
      <c r="H174" s="111"/>
      <c r="I174" s="57"/>
      <c r="J174" s="57"/>
      <c r="K174" s="43"/>
      <c r="L174" s="44"/>
      <c r="M174" s="43">
        <f t="shared" si="0"/>
        <v>0</v>
      </c>
      <c r="N174" s="43"/>
      <c r="O174" s="41"/>
      <c r="P174" s="103"/>
      <c r="Q174" s="43"/>
      <c r="R174" s="44"/>
      <c r="S174" s="43">
        <f t="shared" si="5"/>
        <v>1921</v>
      </c>
      <c r="T174" s="114">
        <v>1921</v>
      </c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155</v>
      </c>
      <c r="C175" s="374" t="s">
        <v>22</v>
      </c>
      <c r="D175" s="374"/>
      <c r="E175" s="374" t="s">
        <v>37</v>
      </c>
      <c r="F175" s="223" t="s">
        <v>245</v>
      </c>
      <c r="G175" s="23" t="s">
        <v>24</v>
      </c>
      <c r="H175" s="48">
        <v>3</v>
      </c>
      <c r="I175" s="25"/>
      <c r="J175" s="25"/>
      <c r="K175" s="26"/>
      <c r="L175" s="27"/>
      <c r="M175" s="26">
        <f t="shared" si="0"/>
        <v>0</v>
      </c>
      <c r="N175" s="26"/>
      <c r="O175" s="31"/>
      <c r="P175" s="53">
        <v>4</v>
      </c>
      <c r="Q175" s="30">
        <v>10125.48</v>
      </c>
      <c r="R175" s="205">
        <v>1</v>
      </c>
      <c r="S175" s="26">
        <f t="shared" si="5"/>
        <v>3759.09</v>
      </c>
      <c r="T175" s="30">
        <v>3759.09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35" t="s">
        <v>28</v>
      </c>
      <c r="H176" s="116"/>
      <c r="I176" s="38"/>
      <c r="J176" s="38"/>
      <c r="K176" s="39"/>
      <c r="L176" s="40"/>
      <c r="M176" s="39">
        <f t="shared" si="0"/>
        <v>0</v>
      </c>
      <c r="N176" s="39"/>
      <c r="O176" s="41"/>
      <c r="P176" s="59"/>
      <c r="Q176" s="39"/>
      <c r="R176" s="40"/>
      <c r="S176" s="39">
        <f t="shared" si="5"/>
        <v>0</v>
      </c>
      <c r="T176" s="39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82"/>
      <c r="B177" s="381" t="s">
        <v>156</v>
      </c>
      <c r="C177" s="381" t="s">
        <v>22</v>
      </c>
      <c r="D177" s="385"/>
      <c r="E177" s="381" t="s">
        <v>27</v>
      </c>
      <c r="F177" s="126"/>
      <c r="G177" s="23" t="s">
        <v>24</v>
      </c>
      <c r="H177" s="98"/>
      <c r="I177" s="49"/>
      <c r="J177" s="49"/>
      <c r="K177" s="50"/>
      <c r="L177" s="51"/>
      <c r="M177" s="50">
        <f t="shared" si="0"/>
        <v>0</v>
      </c>
      <c r="N177" s="50"/>
      <c r="O177" s="31"/>
      <c r="P177" s="108">
        <v>1</v>
      </c>
      <c r="Q177" s="65">
        <v>11832.5</v>
      </c>
      <c r="R177" s="51"/>
      <c r="S177" s="50">
        <f t="shared" si="5"/>
        <v>0</v>
      </c>
      <c r="T177" s="50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9"/>
      <c r="B178" s="380"/>
      <c r="C178" s="380"/>
      <c r="D178" s="380"/>
      <c r="E178" s="380"/>
      <c r="F178" s="54"/>
      <c r="G178" s="55" t="s">
        <v>28</v>
      </c>
      <c r="H178" s="118"/>
      <c r="I178" s="57"/>
      <c r="J178" s="57"/>
      <c r="K178" s="43"/>
      <c r="L178" s="44"/>
      <c r="M178" s="43">
        <f t="shared" si="0"/>
        <v>0</v>
      </c>
      <c r="N178" s="43"/>
      <c r="O178" s="41"/>
      <c r="P178" s="103"/>
      <c r="Q178" s="43"/>
      <c r="R178" s="44"/>
      <c r="S178" s="43">
        <f t="shared" si="5"/>
        <v>0</v>
      </c>
      <c r="T178" s="43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157</v>
      </c>
      <c r="C179" s="390"/>
      <c r="D179" s="374"/>
      <c r="E179" s="374"/>
      <c r="F179" s="22"/>
      <c r="G179" s="23" t="s">
        <v>24</v>
      </c>
      <c r="H179" s="104"/>
      <c r="I179" s="25"/>
      <c r="J179" s="25"/>
      <c r="K179" s="26"/>
      <c r="L179" s="27"/>
      <c r="M179" s="26">
        <f t="shared" si="0"/>
        <v>0</v>
      </c>
      <c r="N179" s="26"/>
      <c r="O179" s="31"/>
      <c r="P179" s="120"/>
      <c r="Q179" s="26"/>
      <c r="R179" s="27"/>
      <c r="S179" s="26">
        <f t="shared" si="5"/>
        <v>0</v>
      </c>
      <c r="T179" s="26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35" t="s">
        <v>28</v>
      </c>
      <c r="H180" s="106"/>
      <c r="I180" s="38"/>
      <c r="J180" s="38"/>
      <c r="K180" s="39"/>
      <c r="L180" s="40"/>
      <c r="M180" s="39">
        <f t="shared" si="0"/>
        <v>0</v>
      </c>
      <c r="N180" s="39"/>
      <c r="O180" s="41"/>
      <c r="P180" s="69"/>
      <c r="Q180" s="39"/>
      <c r="R180" s="40"/>
      <c r="S180" s="39">
        <f t="shared" si="5"/>
        <v>0</v>
      </c>
      <c r="T180" s="39"/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158</v>
      </c>
      <c r="C181" s="374" t="s">
        <v>39</v>
      </c>
      <c r="D181" s="374" t="s">
        <v>288</v>
      </c>
      <c r="E181" s="374" t="s">
        <v>27</v>
      </c>
      <c r="F181" s="204" t="s">
        <v>289</v>
      </c>
      <c r="G181" s="176" t="s">
        <v>24</v>
      </c>
      <c r="H181" s="48">
        <v>7</v>
      </c>
      <c r="I181" s="203">
        <v>5</v>
      </c>
      <c r="J181" s="203">
        <v>5</v>
      </c>
      <c r="K181" s="65">
        <v>7557.22</v>
      </c>
      <c r="L181" s="51"/>
      <c r="M181" s="50">
        <f t="shared" si="0"/>
        <v>0</v>
      </c>
      <c r="N181" s="50"/>
      <c r="O181" s="31"/>
      <c r="P181" s="108">
        <v>5</v>
      </c>
      <c r="Q181" s="65">
        <v>8066.29</v>
      </c>
      <c r="R181" s="224">
        <v>1</v>
      </c>
      <c r="S181" s="50">
        <f t="shared" si="5"/>
        <v>2627.93</v>
      </c>
      <c r="T181" s="65">
        <v>2627.93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220" t="s">
        <v>334</v>
      </c>
      <c r="G182" s="229" t="s">
        <v>28</v>
      </c>
      <c r="H182" s="117">
        <v>1</v>
      </c>
      <c r="I182" s="38"/>
      <c r="J182" s="38"/>
      <c r="K182" s="39"/>
      <c r="L182" s="40"/>
      <c r="M182" s="39">
        <f t="shared" si="0"/>
        <v>0</v>
      </c>
      <c r="N182" s="39"/>
      <c r="O182" s="41"/>
      <c r="P182" s="59"/>
      <c r="Q182" s="39"/>
      <c r="R182" s="40"/>
      <c r="S182" s="39">
        <f t="shared" si="5"/>
        <v>1152.5999999999999</v>
      </c>
      <c r="T182" s="68">
        <v>1152.5999999999999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377" t="s">
        <v>159</v>
      </c>
      <c r="C183" s="377" t="s">
        <v>22</v>
      </c>
      <c r="D183" s="377"/>
      <c r="E183" s="377" t="s">
        <v>160</v>
      </c>
      <c r="F183" s="232" t="s">
        <v>246</v>
      </c>
      <c r="G183" s="95" t="s">
        <v>24</v>
      </c>
      <c r="H183" s="48">
        <v>5</v>
      </c>
      <c r="I183" s="203">
        <v>3</v>
      </c>
      <c r="J183" s="203">
        <v>4</v>
      </c>
      <c r="K183" s="65">
        <v>5908.22</v>
      </c>
      <c r="L183" s="51"/>
      <c r="M183" s="50">
        <f t="shared" si="0"/>
        <v>0</v>
      </c>
      <c r="N183" s="50"/>
      <c r="O183" s="31"/>
      <c r="P183" s="108">
        <v>21</v>
      </c>
      <c r="Q183" s="65">
        <v>33307.06</v>
      </c>
      <c r="R183" s="224">
        <v>9</v>
      </c>
      <c r="S183" s="50">
        <f t="shared" si="5"/>
        <v>12661.42</v>
      </c>
      <c r="T183" s="65">
        <v>12661.42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54"/>
      <c r="G184" s="55" t="s">
        <v>28</v>
      </c>
      <c r="H184" s="112">
        <v>2</v>
      </c>
      <c r="I184" s="130">
        <v>1</v>
      </c>
      <c r="J184" s="130">
        <v>1</v>
      </c>
      <c r="K184" s="114">
        <v>1056.55</v>
      </c>
      <c r="L184" s="128"/>
      <c r="M184" s="50">
        <f t="shared" si="0"/>
        <v>0</v>
      </c>
      <c r="N184" s="43"/>
      <c r="O184" s="41"/>
      <c r="P184" s="113">
        <v>3</v>
      </c>
      <c r="Q184" s="114">
        <v>5551.69</v>
      </c>
      <c r="R184" s="44"/>
      <c r="S184" s="43">
        <f t="shared" si="5"/>
        <v>0</v>
      </c>
      <c r="T184" s="43"/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2"/>
      <c r="B185" s="374" t="s">
        <v>161</v>
      </c>
      <c r="C185" s="374"/>
      <c r="D185" s="374"/>
      <c r="E185" s="374"/>
      <c r="F185" s="60"/>
      <c r="G185" s="23" t="s">
        <v>24</v>
      </c>
      <c r="H185" s="24">
        <v>3</v>
      </c>
      <c r="I185" s="25"/>
      <c r="J185" s="25"/>
      <c r="K185" s="26"/>
      <c r="L185" s="27"/>
      <c r="M185" s="26">
        <f t="shared" si="0"/>
        <v>0</v>
      </c>
      <c r="N185" s="26"/>
      <c r="O185" s="31"/>
      <c r="P185" s="53">
        <v>3</v>
      </c>
      <c r="Q185" s="30">
        <v>8280.19</v>
      </c>
      <c r="R185" s="27"/>
      <c r="S185" s="26">
        <f t="shared" si="5"/>
        <v>0</v>
      </c>
      <c r="T185" s="26"/>
      <c r="U185" s="3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92"/>
      <c r="F186" s="34"/>
      <c r="G186" s="35" t="s">
        <v>28</v>
      </c>
      <c r="H186" s="66">
        <v>4</v>
      </c>
      <c r="I186" s="38"/>
      <c r="J186" s="38"/>
      <c r="K186" s="39"/>
      <c r="L186" s="40"/>
      <c r="M186" s="39">
        <f t="shared" si="0"/>
        <v>0</v>
      </c>
      <c r="N186" s="39"/>
      <c r="O186" s="41"/>
      <c r="P186" s="59"/>
      <c r="Q186" s="39"/>
      <c r="R186" s="40"/>
      <c r="S186" s="39">
        <f t="shared" si="5"/>
        <v>0</v>
      </c>
      <c r="T186" s="39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82"/>
      <c r="B187" s="381" t="s">
        <v>162</v>
      </c>
      <c r="C187" s="381" t="s">
        <v>39</v>
      </c>
      <c r="D187" s="381" t="s">
        <v>163</v>
      </c>
      <c r="E187" s="374" t="s">
        <v>27</v>
      </c>
      <c r="F187" s="135"/>
      <c r="G187" s="47" t="s">
        <v>24</v>
      </c>
      <c r="H187" s="98"/>
      <c r="I187" s="49"/>
      <c r="J187" s="49"/>
      <c r="K187" s="50"/>
      <c r="L187" s="51"/>
      <c r="M187" s="50">
        <f t="shared" si="0"/>
        <v>0</v>
      </c>
      <c r="N187" s="50"/>
      <c r="O187" s="31"/>
      <c r="P187" s="123"/>
      <c r="Q187" s="50"/>
      <c r="R187" s="51"/>
      <c r="S187" s="50">
        <f t="shared" si="5"/>
        <v>0</v>
      </c>
      <c r="T187" s="50"/>
      <c r="U187" s="3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87"/>
      <c r="B188" s="386"/>
      <c r="C188" s="386"/>
      <c r="D188" s="386"/>
      <c r="E188" s="386"/>
      <c r="F188" s="54"/>
      <c r="G188" s="47" t="s">
        <v>25</v>
      </c>
      <c r="H188" s="98"/>
      <c r="I188" s="49"/>
      <c r="J188" s="49"/>
      <c r="K188" s="50"/>
      <c r="L188" s="51"/>
      <c r="M188" s="50">
        <f t="shared" si="0"/>
        <v>0</v>
      </c>
      <c r="N188" s="50"/>
      <c r="O188" s="45"/>
      <c r="P188" s="123"/>
      <c r="Q188" s="50"/>
      <c r="R188" s="51"/>
      <c r="S188" s="50">
        <f t="shared" si="5"/>
        <v>0</v>
      </c>
      <c r="T188" s="50"/>
      <c r="U188" s="45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9"/>
      <c r="B189" s="380"/>
      <c r="C189" s="380"/>
      <c r="D189" s="380"/>
      <c r="E189" s="380"/>
      <c r="F189" s="54"/>
      <c r="G189" s="55" t="s">
        <v>28</v>
      </c>
      <c r="H189" s="116"/>
      <c r="I189" s="57"/>
      <c r="J189" s="57"/>
      <c r="K189" s="43"/>
      <c r="L189" s="44"/>
      <c r="M189" s="43">
        <f t="shared" si="0"/>
        <v>0</v>
      </c>
      <c r="N189" s="43"/>
      <c r="O189" s="41"/>
      <c r="P189" s="113">
        <v>1</v>
      </c>
      <c r="Q189" s="114">
        <v>4602.5</v>
      </c>
      <c r="R189" s="44"/>
      <c r="S189" s="43">
        <f t="shared" si="5"/>
        <v>4602.5</v>
      </c>
      <c r="T189" s="114">
        <v>4602.5</v>
      </c>
      <c r="U189" s="23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164</v>
      </c>
      <c r="C190" s="374" t="s">
        <v>22</v>
      </c>
      <c r="D190" s="374"/>
      <c r="E190" s="374" t="s">
        <v>27</v>
      </c>
      <c r="F190" s="22"/>
      <c r="G190" s="23" t="s">
        <v>24</v>
      </c>
      <c r="H190" s="98"/>
      <c r="I190" s="25"/>
      <c r="J190" s="25"/>
      <c r="K190" s="26"/>
      <c r="L190" s="27"/>
      <c r="M190" s="26">
        <f t="shared" si="0"/>
        <v>0</v>
      </c>
      <c r="N190" s="26"/>
      <c r="O190" s="31"/>
      <c r="P190" s="99"/>
      <c r="Q190" s="26"/>
      <c r="R190" s="27"/>
      <c r="S190" s="26">
        <f t="shared" si="5"/>
        <v>0</v>
      </c>
      <c r="T190" s="26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221" t="s">
        <v>335</v>
      </c>
      <c r="G191" s="55" t="s">
        <v>28</v>
      </c>
      <c r="H191" s="56">
        <v>2</v>
      </c>
      <c r="I191" s="57"/>
      <c r="J191" s="57"/>
      <c r="K191" s="43"/>
      <c r="L191" s="44"/>
      <c r="M191" s="43">
        <f t="shared" si="0"/>
        <v>0</v>
      </c>
      <c r="N191" s="43"/>
      <c r="O191" s="41"/>
      <c r="P191" s="113">
        <v>3</v>
      </c>
      <c r="Q191" s="114">
        <v>4898.55</v>
      </c>
      <c r="R191" s="44"/>
      <c r="S191" s="43">
        <f t="shared" si="5"/>
        <v>4034.1</v>
      </c>
      <c r="T191" s="114">
        <v>4034.1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165</v>
      </c>
      <c r="C192" s="374"/>
      <c r="D192" s="374"/>
      <c r="E192" s="374"/>
      <c r="F192" s="22"/>
      <c r="G192" s="23" t="s">
        <v>24</v>
      </c>
      <c r="H192" s="119"/>
      <c r="I192" s="25"/>
      <c r="J192" s="25"/>
      <c r="K192" s="26"/>
      <c r="L192" s="27"/>
      <c r="M192" s="26">
        <f t="shared" si="0"/>
        <v>0</v>
      </c>
      <c r="N192" s="26"/>
      <c r="O192" s="31"/>
      <c r="P192" s="99"/>
      <c r="Q192" s="26"/>
      <c r="R192" s="27"/>
      <c r="S192" s="26">
        <f t="shared" si="5"/>
        <v>0</v>
      </c>
      <c r="T192" s="26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34"/>
      <c r="G193" s="35" t="s">
        <v>25</v>
      </c>
      <c r="H193" s="36"/>
      <c r="I193" s="38"/>
      <c r="J193" s="38"/>
      <c r="K193" s="39"/>
      <c r="L193" s="40"/>
      <c r="M193" s="39">
        <f t="shared" si="0"/>
        <v>0</v>
      </c>
      <c r="N193" s="39"/>
      <c r="O193" s="41"/>
      <c r="P193" s="115">
        <v>1</v>
      </c>
      <c r="Q193" s="68">
        <v>288.14999999999998</v>
      </c>
      <c r="R193" s="285">
        <v>1</v>
      </c>
      <c r="S193" s="68">
        <v>288.14999999999998</v>
      </c>
      <c r="T193" s="68">
        <v>288.14999999999998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166</v>
      </c>
      <c r="C194" s="381" t="s">
        <v>22</v>
      </c>
      <c r="D194" s="381"/>
      <c r="E194" s="381" t="s">
        <v>27</v>
      </c>
      <c r="F194" s="46"/>
      <c r="G194" s="47" t="s">
        <v>24</v>
      </c>
      <c r="H194" s="98"/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3</v>
      </c>
      <c r="Q194" s="65">
        <v>12689.15</v>
      </c>
      <c r="R194" s="51"/>
      <c r="S194" s="50">
        <f t="shared" ref="S194:S208" si="6">T194+U194</f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26"/>
      <c r="G195" s="55" t="s">
        <v>28</v>
      </c>
      <c r="H195" s="118"/>
      <c r="I195" s="57"/>
      <c r="J195" s="57"/>
      <c r="K195" s="43"/>
      <c r="L195" s="44"/>
      <c r="M195" s="43">
        <f t="shared" si="0"/>
        <v>0</v>
      </c>
      <c r="N195" s="43"/>
      <c r="O195" s="45"/>
      <c r="P195" s="103"/>
      <c r="Q195" s="43"/>
      <c r="R195" s="44"/>
      <c r="S195" s="43">
        <f t="shared" si="6"/>
        <v>0</v>
      </c>
      <c r="T195" s="43"/>
      <c r="U195" s="4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168"/>
      <c r="B196" s="374" t="s">
        <v>167</v>
      </c>
      <c r="C196" s="169"/>
      <c r="D196" s="381" t="s">
        <v>168</v>
      </c>
      <c r="E196" s="169"/>
      <c r="F196" s="170"/>
      <c r="G196" s="23" t="s">
        <v>24</v>
      </c>
      <c r="H196" s="24">
        <v>1</v>
      </c>
      <c r="I196" s="62">
        <v>1</v>
      </c>
      <c r="J196" s="62">
        <v>1</v>
      </c>
      <c r="K196" s="30">
        <v>576.29999999999995</v>
      </c>
      <c r="L196" s="27"/>
      <c r="M196" s="26">
        <f t="shared" si="0"/>
        <v>0</v>
      </c>
      <c r="N196" s="26"/>
      <c r="O196" s="159"/>
      <c r="P196" s="99"/>
      <c r="Q196" s="26"/>
      <c r="R196" s="27"/>
      <c r="S196" s="26">
        <f t="shared" si="6"/>
        <v>0</v>
      </c>
      <c r="T196" s="26"/>
      <c r="U196" s="28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171"/>
      <c r="B197" s="375"/>
      <c r="C197" s="172"/>
      <c r="D197" s="375"/>
      <c r="E197" s="172"/>
      <c r="F197" s="240" t="s">
        <v>247</v>
      </c>
      <c r="G197" s="35" t="s">
        <v>28</v>
      </c>
      <c r="H197" s="66">
        <v>3</v>
      </c>
      <c r="I197" s="37"/>
      <c r="J197" s="37"/>
      <c r="K197" s="39"/>
      <c r="L197" s="40"/>
      <c r="M197" s="39">
        <f t="shared" si="0"/>
        <v>0</v>
      </c>
      <c r="N197" s="39"/>
      <c r="O197" s="58"/>
      <c r="P197" s="244">
        <v>2</v>
      </c>
      <c r="Q197" s="245">
        <v>5186.7</v>
      </c>
      <c r="R197" s="40"/>
      <c r="S197" s="39">
        <f t="shared" si="6"/>
        <v>4034.1</v>
      </c>
      <c r="T197" s="68">
        <v>4034.1</v>
      </c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169</v>
      </c>
      <c r="C198" s="374" t="s">
        <v>22</v>
      </c>
      <c r="D198" s="374"/>
      <c r="E198" s="374" t="s">
        <v>27</v>
      </c>
      <c r="F198" s="22"/>
      <c r="G198" s="176" t="s">
        <v>24</v>
      </c>
      <c r="H198" s="98"/>
      <c r="I198" s="49"/>
      <c r="J198" s="49"/>
      <c r="K198" s="50"/>
      <c r="L198" s="51"/>
      <c r="M198" s="50">
        <f t="shared" si="0"/>
        <v>0</v>
      </c>
      <c r="N198" s="50"/>
      <c r="O198" s="31"/>
      <c r="P198" s="123"/>
      <c r="Q198" s="50"/>
      <c r="R198" s="51"/>
      <c r="S198" s="50">
        <f t="shared" si="6"/>
        <v>0</v>
      </c>
      <c r="T198" s="50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0" t="s">
        <v>336</v>
      </c>
      <c r="G199" s="229" t="s">
        <v>28</v>
      </c>
      <c r="H199" s="153">
        <v>1</v>
      </c>
      <c r="I199" s="57"/>
      <c r="J199" s="57"/>
      <c r="K199" s="43"/>
      <c r="L199" s="44"/>
      <c r="M199" s="43">
        <f t="shared" si="0"/>
        <v>0</v>
      </c>
      <c r="N199" s="43"/>
      <c r="O199" s="41"/>
      <c r="P199" s="103"/>
      <c r="Q199" s="43"/>
      <c r="R199" s="128"/>
      <c r="S199" s="50">
        <f t="shared" si="6"/>
        <v>0</v>
      </c>
      <c r="T199" s="43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170</v>
      </c>
      <c r="C200" s="374" t="s">
        <v>22</v>
      </c>
      <c r="D200" s="374"/>
      <c r="E200" s="374" t="s">
        <v>160</v>
      </c>
      <c r="F200" s="232" t="s">
        <v>248</v>
      </c>
      <c r="G200" s="23" t="s">
        <v>24</v>
      </c>
      <c r="H200" s="48">
        <v>4</v>
      </c>
      <c r="I200" s="62">
        <v>3</v>
      </c>
      <c r="J200" s="62">
        <v>4</v>
      </c>
      <c r="K200" s="30">
        <v>5413.52</v>
      </c>
      <c r="L200" s="27"/>
      <c r="M200" s="26">
        <f t="shared" si="0"/>
        <v>0</v>
      </c>
      <c r="N200" s="26"/>
      <c r="O200" s="31"/>
      <c r="P200" s="53">
        <v>13</v>
      </c>
      <c r="Q200" s="30">
        <v>34299.050000000003</v>
      </c>
      <c r="R200" s="205">
        <v>2</v>
      </c>
      <c r="S200" s="26">
        <f t="shared" si="6"/>
        <v>5534.4</v>
      </c>
      <c r="T200" s="30">
        <v>5534.4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105"/>
      <c r="G201" s="35" t="s">
        <v>28</v>
      </c>
      <c r="H201" s="116"/>
      <c r="I201" s="38"/>
      <c r="J201" s="38"/>
      <c r="K201" s="39"/>
      <c r="L201" s="40"/>
      <c r="M201" s="39">
        <f t="shared" si="0"/>
        <v>0</v>
      </c>
      <c r="N201" s="39"/>
      <c r="O201" s="41"/>
      <c r="P201" s="59"/>
      <c r="Q201" s="39"/>
      <c r="R201" s="40"/>
      <c r="S201" s="39">
        <f t="shared" si="6"/>
        <v>0</v>
      </c>
      <c r="T201" s="39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171</v>
      </c>
      <c r="C202" s="374" t="s">
        <v>22</v>
      </c>
      <c r="D202" s="374"/>
      <c r="E202" s="374" t="s">
        <v>27</v>
      </c>
      <c r="F202" s="22"/>
      <c r="G202" s="176" t="s">
        <v>24</v>
      </c>
      <c r="H202" s="48">
        <v>2</v>
      </c>
      <c r="I202" s="49"/>
      <c r="J202" s="49"/>
      <c r="K202" s="50"/>
      <c r="L202" s="51"/>
      <c r="M202" s="50">
        <f t="shared" si="0"/>
        <v>0</v>
      </c>
      <c r="N202" s="50"/>
      <c r="O202" s="31"/>
      <c r="P202" s="108">
        <v>5</v>
      </c>
      <c r="Q202" s="65">
        <v>16087.92</v>
      </c>
      <c r="R202" s="51"/>
      <c r="S202" s="50">
        <f t="shared" si="6"/>
        <v>0</v>
      </c>
      <c r="T202" s="50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0" t="s">
        <v>337</v>
      </c>
      <c r="G203" s="229" t="s">
        <v>28</v>
      </c>
      <c r="H203" s="133">
        <v>3</v>
      </c>
      <c r="I203" s="57"/>
      <c r="J203" s="57"/>
      <c r="K203" s="43"/>
      <c r="L203" s="128"/>
      <c r="M203" s="50">
        <f t="shared" si="0"/>
        <v>0</v>
      </c>
      <c r="N203" s="43"/>
      <c r="O203" s="41"/>
      <c r="P203" s="103"/>
      <c r="Q203" s="43"/>
      <c r="R203" s="44"/>
      <c r="S203" s="43">
        <f t="shared" si="6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172</v>
      </c>
      <c r="C204" s="377" t="s">
        <v>39</v>
      </c>
      <c r="D204" s="374" t="s">
        <v>303</v>
      </c>
      <c r="E204" s="374" t="s">
        <v>121</v>
      </c>
      <c r="F204" s="232" t="s">
        <v>304</v>
      </c>
      <c r="G204" s="23" t="s">
        <v>24</v>
      </c>
      <c r="H204" s="48">
        <v>5</v>
      </c>
      <c r="I204" s="62">
        <v>2</v>
      </c>
      <c r="J204" s="62">
        <v>2</v>
      </c>
      <c r="K204" s="30">
        <v>806.82</v>
      </c>
      <c r="L204" s="27"/>
      <c r="M204" s="26">
        <f t="shared" si="0"/>
        <v>0</v>
      </c>
      <c r="N204" s="26"/>
      <c r="O204" s="31"/>
      <c r="P204" s="53">
        <v>25</v>
      </c>
      <c r="Q204" s="30">
        <v>34901.07</v>
      </c>
      <c r="R204" s="205">
        <v>4</v>
      </c>
      <c r="S204" s="26">
        <f t="shared" si="6"/>
        <v>6109.65</v>
      </c>
      <c r="T204" s="30">
        <v>6109.65</v>
      </c>
      <c r="U204" s="30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80"/>
      <c r="D205" s="375"/>
      <c r="E205" s="375"/>
      <c r="F205" s="54"/>
      <c r="G205" s="55" t="s">
        <v>25</v>
      </c>
      <c r="H205" s="102"/>
      <c r="I205" s="57"/>
      <c r="J205" s="57"/>
      <c r="K205" s="43"/>
      <c r="L205" s="44"/>
      <c r="M205" s="43">
        <f t="shared" si="0"/>
        <v>0</v>
      </c>
      <c r="N205" s="43"/>
      <c r="O205" s="41"/>
      <c r="P205" s="113">
        <v>1</v>
      </c>
      <c r="Q205" s="114">
        <v>1728.9</v>
      </c>
      <c r="R205" s="44"/>
      <c r="S205" s="43">
        <f t="shared" si="6"/>
        <v>0</v>
      </c>
      <c r="T205" s="43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173</v>
      </c>
      <c r="C206" s="374"/>
      <c r="D206" s="374" t="s">
        <v>338</v>
      </c>
      <c r="E206" s="374"/>
      <c r="F206" s="22"/>
      <c r="G206" s="23" t="s">
        <v>24</v>
      </c>
      <c r="H206" s="61">
        <v>15</v>
      </c>
      <c r="I206" s="25"/>
      <c r="J206" s="25"/>
      <c r="K206" s="26"/>
      <c r="L206" s="27"/>
      <c r="M206" s="26">
        <f t="shared" si="0"/>
        <v>0</v>
      </c>
      <c r="N206" s="26"/>
      <c r="O206" s="31"/>
      <c r="P206" s="53">
        <v>6</v>
      </c>
      <c r="Q206" s="30">
        <v>5292.88</v>
      </c>
      <c r="R206" s="27"/>
      <c r="S206" s="26">
        <f t="shared" si="6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0" t="s">
        <v>339</v>
      </c>
      <c r="G207" s="35" t="s">
        <v>25</v>
      </c>
      <c r="H207" s="117">
        <v>4</v>
      </c>
      <c r="I207" s="37">
        <v>1</v>
      </c>
      <c r="J207" s="37">
        <v>1</v>
      </c>
      <c r="K207" s="68">
        <v>1152.5999999999999</v>
      </c>
      <c r="L207" s="40"/>
      <c r="M207" s="39">
        <f t="shared" si="0"/>
        <v>0</v>
      </c>
      <c r="N207" s="39"/>
      <c r="O207" s="41"/>
      <c r="P207" s="115">
        <v>2</v>
      </c>
      <c r="Q207" s="68">
        <v>4942.5</v>
      </c>
      <c r="R207" s="40"/>
      <c r="S207" s="39">
        <f t="shared" si="6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174</v>
      </c>
      <c r="C208" s="374" t="s">
        <v>39</v>
      </c>
      <c r="D208" s="374" t="s">
        <v>175</v>
      </c>
      <c r="E208" s="374" t="s">
        <v>176</v>
      </c>
      <c r="F208" s="22"/>
      <c r="G208" s="176" t="s">
        <v>24</v>
      </c>
      <c r="H208" s="48">
        <v>7</v>
      </c>
      <c r="I208" s="203">
        <v>3</v>
      </c>
      <c r="J208" s="203">
        <v>3</v>
      </c>
      <c r="K208" s="65">
        <v>3530.8</v>
      </c>
      <c r="L208" s="51"/>
      <c r="M208" s="50">
        <f t="shared" si="0"/>
        <v>0</v>
      </c>
      <c r="N208" s="50"/>
      <c r="O208" s="31"/>
      <c r="P208" s="108">
        <v>14</v>
      </c>
      <c r="Q208" s="65">
        <v>43637.85</v>
      </c>
      <c r="R208" s="51"/>
      <c r="S208" s="50">
        <f t="shared" si="6"/>
        <v>0</v>
      </c>
      <c r="T208" s="50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340</v>
      </c>
      <c r="G209" s="229" t="s">
        <v>25</v>
      </c>
      <c r="H209" s="111"/>
      <c r="I209" s="57"/>
      <c r="J209" s="57"/>
      <c r="K209" s="43"/>
      <c r="L209" s="44"/>
      <c r="M209" s="43">
        <f t="shared" si="0"/>
        <v>0</v>
      </c>
      <c r="N209" s="43"/>
      <c r="O209" s="41"/>
      <c r="P209" s="113">
        <v>4</v>
      </c>
      <c r="Q209" s="114">
        <v>22216.240000000002</v>
      </c>
      <c r="R209" s="270">
        <v>2</v>
      </c>
      <c r="S209" s="114">
        <v>13811.2</v>
      </c>
      <c r="T209" s="114">
        <v>13811.2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177</v>
      </c>
      <c r="C210" s="377" t="s">
        <v>39</v>
      </c>
      <c r="D210" s="374" t="s">
        <v>226</v>
      </c>
      <c r="E210" s="374" t="s">
        <v>27</v>
      </c>
      <c r="F210" s="204" t="s">
        <v>227</v>
      </c>
      <c r="G210" s="23" t="s">
        <v>24</v>
      </c>
      <c r="H210" s="48">
        <v>2</v>
      </c>
      <c r="I210" s="62">
        <v>1</v>
      </c>
      <c r="J210" s="62">
        <v>1</v>
      </c>
      <c r="K210" s="30">
        <v>609.15</v>
      </c>
      <c r="L210" s="27"/>
      <c r="M210" s="26">
        <f t="shared" si="0"/>
        <v>0</v>
      </c>
      <c r="N210" s="26"/>
      <c r="O210" s="31"/>
      <c r="P210" s="53">
        <v>14</v>
      </c>
      <c r="Q210" s="30">
        <v>45509.18</v>
      </c>
      <c r="R210" s="205">
        <v>3</v>
      </c>
      <c r="S210" s="26">
        <f t="shared" ref="S210:S254" si="7">T210+U210</f>
        <v>7081.87</v>
      </c>
      <c r="T210" s="30">
        <v>7081.87</v>
      </c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80"/>
      <c r="D211" s="375"/>
      <c r="E211" s="375"/>
      <c r="F211" s="126"/>
      <c r="G211" s="55" t="s">
        <v>28</v>
      </c>
      <c r="H211" s="118"/>
      <c r="I211" s="57"/>
      <c r="J211" s="57"/>
      <c r="K211" s="43"/>
      <c r="L211" s="44"/>
      <c r="M211" s="43">
        <f t="shared" si="0"/>
        <v>0</v>
      </c>
      <c r="N211" s="43"/>
      <c r="O211" s="41"/>
      <c r="P211" s="103"/>
      <c r="Q211" s="43"/>
      <c r="R211" s="44"/>
      <c r="S211" s="43">
        <f t="shared" si="7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178</v>
      </c>
      <c r="C212" s="374"/>
      <c r="D212" s="374"/>
      <c r="E212" s="374"/>
      <c r="F212" s="22"/>
      <c r="G212" s="176" t="s">
        <v>24</v>
      </c>
      <c r="H212" s="61">
        <v>1</v>
      </c>
      <c r="I212" s="25"/>
      <c r="J212" s="25"/>
      <c r="K212" s="26"/>
      <c r="L212" s="27"/>
      <c r="M212" s="26">
        <f t="shared" si="0"/>
        <v>0</v>
      </c>
      <c r="N212" s="26"/>
      <c r="O212" s="31"/>
      <c r="P212" s="120"/>
      <c r="Q212" s="26"/>
      <c r="R212" s="27"/>
      <c r="S212" s="26">
        <f t="shared" si="7"/>
        <v>0</v>
      </c>
      <c r="T212" s="26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26"/>
      <c r="G213" s="177" t="s">
        <v>28</v>
      </c>
      <c r="H213" s="131"/>
      <c r="I213" s="57"/>
      <c r="J213" s="57"/>
      <c r="K213" s="43"/>
      <c r="L213" s="44"/>
      <c r="M213" s="43">
        <f t="shared" si="0"/>
        <v>0</v>
      </c>
      <c r="N213" s="43"/>
      <c r="O213" s="45"/>
      <c r="P213" s="42"/>
      <c r="Q213" s="43"/>
      <c r="R213" s="44"/>
      <c r="S213" s="43">
        <f t="shared" si="7"/>
        <v>0</v>
      </c>
      <c r="T213" s="43"/>
      <c r="U213" s="45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179</v>
      </c>
      <c r="C214" s="374"/>
      <c r="D214" s="374"/>
      <c r="E214" s="374" t="s">
        <v>27</v>
      </c>
      <c r="F214" s="22"/>
      <c r="G214" s="23" t="s">
        <v>24</v>
      </c>
      <c r="H214" s="61">
        <v>2</v>
      </c>
      <c r="I214" s="25"/>
      <c r="J214" s="25"/>
      <c r="K214" s="26"/>
      <c r="L214" s="27"/>
      <c r="M214" s="26">
        <f t="shared" si="0"/>
        <v>0</v>
      </c>
      <c r="N214" s="26"/>
      <c r="O214" s="28"/>
      <c r="P214" s="120"/>
      <c r="Q214" s="26"/>
      <c r="R214" s="27"/>
      <c r="S214" s="26">
        <f t="shared" si="7"/>
        <v>0</v>
      </c>
      <c r="T214" s="26"/>
      <c r="U214" s="28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6"/>
      <c r="G215" s="227" t="s">
        <v>28</v>
      </c>
      <c r="H215" s="298"/>
      <c r="I215" s="261"/>
      <c r="J215" s="261"/>
      <c r="K215" s="211"/>
      <c r="L215" s="210"/>
      <c r="M215" s="211">
        <f t="shared" si="0"/>
        <v>0</v>
      </c>
      <c r="N215" s="211"/>
      <c r="O215" s="212"/>
      <c r="P215" s="284"/>
      <c r="Q215" s="211"/>
      <c r="R215" s="210"/>
      <c r="S215" s="211">
        <f t="shared" si="7"/>
        <v>0</v>
      </c>
      <c r="T215" s="211"/>
      <c r="U215" s="21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378</v>
      </c>
      <c r="C216" s="374"/>
      <c r="D216" s="374"/>
      <c r="E216" s="374"/>
      <c r="F216" s="204"/>
      <c r="G216" s="213" t="s">
        <v>24</v>
      </c>
      <c r="H216" s="61"/>
      <c r="I216" s="62"/>
      <c r="J216" s="62"/>
      <c r="K216" s="30"/>
      <c r="L216" s="27"/>
      <c r="M216" s="26">
        <f t="shared" si="0"/>
        <v>0</v>
      </c>
      <c r="N216" s="26"/>
      <c r="O216" s="28"/>
      <c r="P216" s="214"/>
      <c r="Q216" s="30"/>
      <c r="R216" s="205"/>
      <c r="S216" s="26">
        <f t="shared" si="7"/>
        <v>0</v>
      </c>
      <c r="T216" s="30"/>
      <c r="U216" s="2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/>
      <c r="G217" s="215" t="s">
        <v>28</v>
      </c>
      <c r="H217" s="117">
        <v>2</v>
      </c>
      <c r="I217" s="37"/>
      <c r="J217" s="37"/>
      <c r="K217" s="68"/>
      <c r="L217" s="40"/>
      <c r="M217" s="39">
        <f t="shared" si="0"/>
        <v>0</v>
      </c>
      <c r="N217" s="39"/>
      <c r="O217" s="41"/>
      <c r="P217" s="217"/>
      <c r="Q217" s="68"/>
      <c r="R217" s="285"/>
      <c r="S217" s="39">
        <f t="shared" si="7"/>
        <v>0</v>
      </c>
      <c r="T217" s="68"/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6"/>
      <c r="B218" s="377" t="s">
        <v>180</v>
      </c>
      <c r="C218" s="377" t="s">
        <v>46</v>
      </c>
      <c r="D218" s="377" t="s">
        <v>181</v>
      </c>
      <c r="E218" s="377" t="s">
        <v>27</v>
      </c>
      <c r="F218" s="232" t="s">
        <v>228</v>
      </c>
      <c r="G218" s="95" t="s">
        <v>24</v>
      </c>
      <c r="H218" s="265">
        <v>6</v>
      </c>
      <c r="I218" s="266">
        <v>3</v>
      </c>
      <c r="J218" s="266">
        <v>3</v>
      </c>
      <c r="K218" s="79">
        <v>1527.2</v>
      </c>
      <c r="L218" s="80"/>
      <c r="M218" s="81">
        <f t="shared" si="0"/>
        <v>0</v>
      </c>
      <c r="N218" s="81"/>
      <c r="O218" s="219"/>
      <c r="P218" s="267">
        <v>10</v>
      </c>
      <c r="Q218" s="79">
        <v>31753.040000000001</v>
      </c>
      <c r="R218" s="268">
        <v>8</v>
      </c>
      <c r="S218" s="81">
        <f t="shared" si="7"/>
        <v>31034.59</v>
      </c>
      <c r="T218" s="79">
        <v>28968.84</v>
      </c>
      <c r="U218" s="269">
        <v>2065.75</v>
      </c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9"/>
      <c r="B219" s="380"/>
      <c r="C219" s="380"/>
      <c r="D219" s="380"/>
      <c r="E219" s="380"/>
      <c r="F219" s="54"/>
      <c r="G219" s="55" t="s">
        <v>28</v>
      </c>
      <c r="H219" s="116"/>
      <c r="I219" s="57"/>
      <c r="J219" s="57"/>
      <c r="K219" s="43"/>
      <c r="L219" s="128"/>
      <c r="M219" s="50">
        <f t="shared" si="0"/>
        <v>0</v>
      </c>
      <c r="N219" s="43"/>
      <c r="O219" s="41"/>
      <c r="P219" s="113">
        <v>1</v>
      </c>
      <c r="Q219" s="114">
        <v>2209.1999999999998</v>
      </c>
      <c r="R219" s="44"/>
      <c r="S219" s="43">
        <f t="shared" si="7"/>
        <v>2209.1999999999998</v>
      </c>
      <c r="T219" s="114">
        <v>2209.1999999999998</v>
      </c>
      <c r="U219" s="45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6.5" customHeight="1">
      <c r="A220" s="372"/>
      <c r="B220" s="374" t="s">
        <v>182</v>
      </c>
      <c r="C220" s="374" t="s">
        <v>46</v>
      </c>
      <c r="D220" s="374" t="s">
        <v>181</v>
      </c>
      <c r="E220" s="374" t="s">
        <v>27</v>
      </c>
      <c r="F220" s="22"/>
      <c r="G220" s="23" t="s">
        <v>24</v>
      </c>
      <c r="H220" s="48">
        <v>9</v>
      </c>
      <c r="I220" s="62">
        <v>9</v>
      </c>
      <c r="J220" s="62">
        <v>10</v>
      </c>
      <c r="K220" s="30">
        <v>14606.92</v>
      </c>
      <c r="L220" s="27"/>
      <c r="M220" s="26">
        <f t="shared" si="0"/>
        <v>0</v>
      </c>
      <c r="N220" s="26"/>
      <c r="O220" s="31"/>
      <c r="P220" s="53">
        <v>6</v>
      </c>
      <c r="Q220" s="30">
        <v>31478.57</v>
      </c>
      <c r="R220" s="27"/>
      <c r="S220" s="26">
        <f t="shared" si="7"/>
        <v>0</v>
      </c>
      <c r="T220" s="26"/>
      <c r="U220" s="100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6.5" customHeight="1">
      <c r="A221" s="373"/>
      <c r="B221" s="375"/>
      <c r="C221" s="375"/>
      <c r="D221" s="375"/>
      <c r="E221" s="375"/>
      <c r="F221" s="34"/>
      <c r="G221" s="35" t="s">
        <v>28</v>
      </c>
      <c r="H221" s="116"/>
      <c r="I221" s="38"/>
      <c r="J221" s="38"/>
      <c r="K221" s="39"/>
      <c r="L221" s="40"/>
      <c r="M221" s="39">
        <f t="shared" si="0"/>
        <v>0</v>
      </c>
      <c r="N221" s="39"/>
      <c r="O221" s="41"/>
      <c r="P221" s="59"/>
      <c r="Q221" s="39"/>
      <c r="R221" s="40"/>
      <c r="S221" s="39">
        <f t="shared" si="7"/>
        <v>0</v>
      </c>
      <c r="T221" s="39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6.5" customHeight="1">
      <c r="A222" s="382"/>
      <c r="B222" s="381" t="s">
        <v>183</v>
      </c>
      <c r="C222" s="381" t="s">
        <v>22</v>
      </c>
      <c r="D222" s="381"/>
      <c r="E222" s="381" t="s">
        <v>99</v>
      </c>
      <c r="F222" s="127"/>
      <c r="G222" s="23" t="s">
        <v>24</v>
      </c>
      <c r="H222" s="48">
        <v>2</v>
      </c>
      <c r="I222" s="49"/>
      <c r="J222" s="49"/>
      <c r="K222" s="50"/>
      <c r="L222" s="51"/>
      <c r="M222" s="50">
        <f t="shared" si="0"/>
        <v>0</v>
      </c>
      <c r="N222" s="50"/>
      <c r="O222" s="31"/>
      <c r="P222" s="108">
        <v>7</v>
      </c>
      <c r="Q222" s="65">
        <v>8094.01</v>
      </c>
      <c r="R222" s="51"/>
      <c r="S222" s="50">
        <f t="shared" si="7"/>
        <v>0</v>
      </c>
      <c r="T222" s="50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6.5" customHeight="1">
      <c r="A223" s="379"/>
      <c r="B223" s="380"/>
      <c r="C223" s="380"/>
      <c r="D223" s="380"/>
      <c r="E223" s="380"/>
      <c r="F223" s="221" t="s">
        <v>252</v>
      </c>
      <c r="G223" s="55" t="s">
        <v>28</v>
      </c>
      <c r="H223" s="133">
        <v>5</v>
      </c>
      <c r="I223" s="57"/>
      <c r="J223" s="57"/>
      <c r="K223" s="43"/>
      <c r="L223" s="44"/>
      <c r="M223" s="43">
        <f t="shared" si="0"/>
        <v>0</v>
      </c>
      <c r="N223" s="43"/>
      <c r="O223" s="41"/>
      <c r="P223" s="113">
        <v>1</v>
      </c>
      <c r="Q223" s="114">
        <v>4034.1</v>
      </c>
      <c r="R223" s="44"/>
      <c r="S223" s="43">
        <f t="shared" si="7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6.5" customHeight="1">
      <c r="A224" s="372"/>
      <c r="B224" s="374" t="s">
        <v>184</v>
      </c>
      <c r="C224" s="374" t="s">
        <v>22</v>
      </c>
      <c r="D224" s="374"/>
      <c r="E224" s="374" t="s">
        <v>27</v>
      </c>
      <c r="F224" s="60"/>
      <c r="G224" s="23" t="s">
        <v>24</v>
      </c>
      <c r="H224" s="107"/>
      <c r="I224" s="25"/>
      <c r="J224" s="25"/>
      <c r="K224" s="26"/>
      <c r="L224" s="27"/>
      <c r="M224" s="26">
        <f t="shared" si="0"/>
        <v>0</v>
      </c>
      <c r="N224" s="26"/>
      <c r="O224" s="31"/>
      <c r="P224" s="99"/>
      <c r="Q224" s="26"/>
      <c r="R224" s="27"/>
      <c r="S224" s="26">
        <f t="shared" si="7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6.5" customHeight="1">
      <c r="A225" s="379"/>
      <c r="B225" s="380"/>
      <c r="C225" s="380"/>
      <c r="D225" s="380"/>
      <c r="E225" s="380"/>
      <c r="F225" s="233" t="s">
        <v>253</v>
      </c>
      <c r="G225" s="227" t="s">
        <v>28</v>
      </c>
      <c r="H225" s="153">
        <v>2</v>
      </c>
      <c r="I225" s="57"/>
      <c r="J225" s="57"/>
      <c r="K225" s="43"/>
      <c r="L225" s="44"/>
      <c r="M225" s="43">
        <f t="shared" si="0"/>
        <v>0</v>
      </c>
      <c r="N225" s="43"/>
      <c r="O225" s="41"/>
      <c r="P225" s="113">
        <v>2</v>
      </c>
      <c r="Q225" s="114">
        <v>2958.34</v>
      </c>
      <c r="R225" s="44"/>
      <c r="S225" s="43">
        <f t="shared" si="7"/>
        <v>2958.34</v>
      </c>
      <c r="T225" s="114">
        <v>2958.34</v>
      </c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6.5" customHeight="1">
      <c r="A226" s="372"/>
      <c r="B226" s="374" t="s">
        <v>185</v>
      </c>
      <c r="C226" s="374" t="s">
        <v>22</v>
      </c>
      <c r="D226" s="374"/>
      <c r="E226" s="374" t="s">
        <v>27</v>
      </c>
      <c r="F226" s="204" t="s">
        <v>341</v>
      </c>
      <c r="G226" s="176" t="s">
        <v>24</v>
      </c>
      <c r="H226" s="98"/>
      <c r="I226" s="25"/>
      <c r="J226" s="25"/>
      <c r="K226" s="26"/>
      <c r="L226" s="27"/>
      <c r="M226" s="26">
        <f t="shared" si="0"/>
        <v>0</v>
      </c>
      <c r="N226" s="26"/>
      <c r="O226" s="31"/>
      <c r="P226" s="53">
        <v>2</v>
      </c>
      <c r="Q226" s="30">
        <v>2633.4</v>
      </c>
      <c r="R226" s="27"/>
      <c r="S226" s="26">
        <f t="shared" si="7"/>
        <v>1288.7</v>
      </c>
      <c r="T226" s="26"/>
      <c r="U226" s="225">
        <v>1288.7</v>
      </c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342</v>
      </c>
      <c r="G227" s="229" t="s">
        <v>28</v>
      </c>
      <c r="H227" s="133">
        <v>1</v>
      </c>
      <c r="I227" s="57"/>
      <c r="J227" s="57"/>
      <c r="K227" s="43"/>
      <c r="L227" s="44"/>
      <c r="M227" s="43">
        <f t="shared" si="0"/>
        <v>0</v>
      </c>
      <c r="N227" s="43"/>
      <c r="O227" s="41"/>
      <c r="P227" s="113">
        <v>1</v>
      </c>
      <c r="Q227" s="114">
        <v>2994.47</v>
      </c>
      <c r="R227" s="44"/>
      <c r="S227" s="43">
        <f t="shared" si="7"/>
        <v>0</v>
      </c>
      <c r="T227" s="43"/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186</v>
      </c>
      <c r="C228" s="374" t="s">
        <v>22</v>
      </c>
      <c r="D228" s="374"/>
      <c r="E228" s="374" t="s">
        <v>99</v>
      </c>
      <c r="F228" s="232" t="s">
        <v>315</v>
      </c>
      <c r="G228" s="23" t="s">
        <v>24</v>
      </c>
      <c r="H228" s="48">
        <v>1</v>
      </c>
      <c r="I228" s="25"/>
      <c r="J228" s="25"/>
      <c r="K228" s="26"/>
      <c r="L228" s="27"/>
      <c r="M228" s="26">
        <f t="shared" si="0"/>
        <v>0</v>
      </c>
      <c r="N228" s="26"/>
      <c r="O228" s="31"/>
      <c r="P228" s="53">
        <v>12</v>
      </c>
      <c r="Q228" s="30">
        <v>23364.69</v>
      </c>
      <c r="R228" s="205">
        <v>3</v>
      </c>
      <c r="S228" s="26">
        <f t="shared" si="7"/>
        <v>6447.76</v>
      </c>
      <c r="T228" s="30">
        <v>6447.76</v>
      </c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 t="s">
        <v>254</v>
      </c>
      <c r="G229" s="35" t="s">
        <v>28</v>
      </c>
      <c r="H229" s="153">
        <v>5</v>
      </c>
      <c r="I229" s="38"/>
      <c r="J229" s="38"/>
      <c r="K229" s="39"/>
      <c r="L229" s="40"/>
      <c r="M229" s="39">
        <f t="shared" si="0"/>
        <v>0</v>
      </c>
      <c r="N229" s="39"/>
      <c r="O229" s="41"/>
      <c r="P229" s="59"/>
      <c r="Q229" s="39"/>
      <c r="R229" s="40"/>
      <c r="S229" s="39">
        <f t="shared" si="7"/>
        <v>0</v>
      </c>
      <c r="T229" s="39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82"/>
      <c r="B230" s="381" t="s">
        <v>187</v>
      </c>
      <c r="C230" s="381" t="s">
        <v>22</v>
      </c>
      <c r="D230" s="381"/>
      <c r="E230" s="381" t="s">
        <v>131</v>
      </c>
      <c r="F230" s="223" t="s">
        <v>343</v>
      </c>
      <c r="G230" s="23" t="s">
        <v>24</v>
      </c>
      <c r="H230" s="48">
        <v>10</v>
      </c>
      <c r="I230" s="203">
        <v>4</v>
      </c>
      <c r="J230" s="203">
        <v>5</v>
      </c>
      <c r="K230" s="65">
        <v>6509.6</v>
      </c>
      <c r="L230" s="51"/>
      <c r="M230" s="50">
        <f t="shared" si="0"/>
        <v>0</v>
      </c>
      <c r="N230" s="50"/>
      <c r="O230" s="31"/>
      <c r="P230" s="108">
        <v>15</v>
      </c>
      <c r="Q230" s="65">
        <v>38060.720000000001</v>
      </c>
      <c r="R230" s="224">
        <v>1</v>
      </c>
      <c r="S230" s="50">
        <f t="shared" si="7"/>
        <v>1046.6300000000001</v>
      </c>
      <c r="T230" s="65">
        <v>1046.6300000000001</v>
      </c>
      <c r="U230" s="225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25</v>
      </c>
      <c r="H231" s="111"/>
      <c r="I231" s="57"/>
      <c r="J231" s="57"/>
      <c r="K231" s="43"/>
      <c r="L231" s="44"/>
      <c r="M231" s="43">
        <f t="shared" si="0"/>
        <v>0</v>
      </c>
      <c r="N231" s="43"/>
      <c r="O231" s="41"/>
      <c r="P231" s="113">
        <v>1</v>
      </c>
      <c r="Q231" s="114">
        <v>2996.76</v>
      </c>
      <c r="R231" s="44"/>
      <c r="S231" s="43">
        <f t="shared" si="7"/>
        <v>0</v>
      </c>
      <c r="T231" s="43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188</v>
      </c>
      <c r="C232" s="374" t="s">
        <v>22</v>
      </c>
      <c r="D232" s="374"/>
      <c r="E232" s="374" t="s">
        <v>27</v>
      </c>
      <c r="F232" s="22"/>
      <c r="G232" s="23" t="s">
        <v>24</v>
      </c>
      <c r="H232" s="98"/>
      <c r="I232" s="25"/>
      <c r="J232" s="25"/>
      <c r="K232" s="26"/>
      <c r="L232" s="27"/>
      <c r="M232" s="26">
        <f t="shared" si="0"/>
        <v>0</v>
      </c>
      <c r="N232" s="26"/>
      <c r="O232" s="31"/>
      <c r="P232" s="99"/>
      <c r="Q232" s="26"/>
      <c r="R232" s="27"/>
      <c r="S232" s="26">
        <f t="shared" si="7"/>
        <v>0</v>
      </c>
      <c r="T232" s="26"/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20.25" customHeight="1">
      <c r="A233" s="373"/>
      <c r="B233" s="375"/>
      <c r="C233" s="375"/>
      <c r="D233" s="375"/>
      <c r="E233" s="375"/>
      <c r="F233" s="221" t="s">
        <v>344</v>
      </c>
      <c r="G233" s="55" t="s">
        <v>28</v>
      </c>
      <c r="H233" s="56">
        <v>2</v>
      </c>
      <c r="I233" s="57"/>
      <c r="J233" s="57"/>
      <c r="K233" s="43"/>
      <c r="L233" s="44"/>
      <c r="M233" s="43">
        <f t="shared" si="0"/>
        <v>0</v>
      </c>
      <c r="N233" s="43"/>
      <c r="O233" s="45"/>
      <c r="P233" s="113">
        <v>11</v>
      </c>
      <c r="Q233" s="114">
        <v>13054.9</v>
      </c>
      <c r="R233" s="44"/>
      <c r="S233" s="43">
        <f t="shared" si="7"/>
        <v>4050.2</v>
      </c>
      <c r="T233" s="114">
        <v>4050.2</v>
      </c>
      <c r="U233" s="22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189</v>
      </c>
      <c r="C234" s="374"/>
      <c r="D234" s="374"/>
      <c r="E234" s="374" t="s">
        <v>27</v>
      </c>
      <c r="F234" s="22"/>
      <c r="G234" s="23" t="s">
        <v>24</v>
      </c>
      <c r="H234" s="24">
        <v>7</v>
      </c>
      <c r="I234" s="62">
        <v>3</v>
      </c>
      <c r="J234" s="62">
        <v>3</v>
      </c>
      <c r="K234" s="30">
        <v>5760.14</v>
      </c>
      <c r="L234" s="27"/>
      <c r="M234" s="26">
        <f t="shared" si="0"/>
        <v>0</v>
      </c>
      <c r="N234" s="26"/>
      <c r="O234" s="28"/>
      <c r="P234" s="29">
        <v>2</v>
      </c>
      <c r="Q234" s="30">
        <v>1870.81</v>
      </c>
      <c r="R234" s="27"/>
      <c r="S234" s="26">
        <f t="shared" si="7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220" t="s">
        <v>256</v>
      </c>
      <c r="G235" s="35" t="s">
        <v>28</v>
      </c>
      <c r="H235" s="66">
        <v>3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9"/>
      <c r="Q235" s="39"/>
      <c r="R235" s="40"/>
      <c r="S235" s="39">
        <f t="shared" si="7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190</v>
      </c>
      <c r="C236" s="381" t="s">
        <v>39</v>
      </c>
      <c r="D236" s="381" t="s">
        <v>191</v>
      </c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23"/>
      <c r="Q236" s="50"/>
      <c r="R236" s="51"/>
      <c r="S236" s="50">
        <f t="shared" si="7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 t="s">
        <v>345</v>
      </c>
      <c r="G237" s="35" t="s">
        <v>28</v>
      </c>
      <c r="H237" s="112">
        <v>2</v>
      </c>
      <c r="I237" s="57"/>
      <c r="J237" s="57"/>
      <c r="K237" s="43"/>
      <c r="L237" s="44"/>
      <c r="M237" s="43">
        <f t="shared" si="0"/>
        <v>0</v>
      </c>
      <c r="N237" s="43"/>
      <c r="O237" s="45"/>
      <c r="P237" s="115">
        <v>4</v>
      </c>
      <c r="Q237" s="68">
        <v>5106.7</v>
      </c>
      <c r="R237" s="40"/>
      <c r="S237" s="39">
        <f t="shared" si="7"/>
        <v>3818</v>
      </c>
      <c r="T237" s="68">
        <v>3818</v>
      </c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192</v>
      </c>
      <c r="C238" s="374" t="s">
        <v>22</v>
      </c>
      <c r="D238" s="374"/>
      <c r="E238" s="374" t="s">
        <v>193</v>
      </c>
      <c r="F238" s="204" t="s">
        <v>318</v>
      </c>
      <c r="G238" s="176" t="s">
        <v>24</v>
      </c>
      <c r="H238" s="61">
        <v>4</v>
      </c>
      <c r="I238" s="62">
        <v>4</v>
      </c>
      <c r="J238" s="62">
        <v>4</v>
      </c>
      <c r="K238" s="30">
        <v>4934.76</v>
      </c>
      <c r="L238" s="27"/>
      <c r="M238" s="26">
        <f t="shared" si="0"/>
        <v>0</v>
      </c>
      <c r="N238" s="26"/>
      <c r="O238" s="100"/>
      <c r="P238" s="64">
        <v>17</v>
      </c>
      <c r="Q238" s="65">
        <v>46158.400000000001</v>
      </c>
      <c r="R238" s="224">
        <v>9</v>
      </c>
      <c r="S238" s="50">
        <f t="shared" si="7"/>
        <v>15520.42</v>
      </c>
      <c r="T238" s="65">
        <v>15520.42</v>
      </c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346</v>
      </c>
      <c r="G239" s="229" t="s">
        <v>28</v>
      </c>
      <c r="H239" s="133">
        <v>1</v>
      </c>
      <c r="I239" s="37">
        <v>1</v>
      </c>
      <c r="J239" s="37">
        <v>1</v>
      </c>
      <c r="K239" s="68">
        <v>1728.9</v>
      </c>
      <c r="L239" s="40"/>
      <c r="M239" s="39">
        <f t="shared" si="0"/>
        <v>0</v>
      </c>
      <c r="N239" s="39"/>
      <c r="O239" s="41"/>
      <c r="P239" s="42"/>
      <c r="Q239" s="43"/>
      <c r="R239" s="44"/>
      <c r="S239" s="43">
        <f t="shared" si="7"/>
        <v>0</v>
      </c>
      <c r="T239" s="43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2"/>
      <c r="B240" s="374" t="s">
        <v>194</v>
      </c>
      <c r="C240" s="377" t="s">
        <v>39</v>
      </c>
      <c r="D240" s="377" t="s">
        <v>319</v>
      </c>
      <c r="E240" s="374" t="s">
        <v>160</v>
      </c>
      <c r="F240" s="232" t="s">
        <v>320</v>
      </c>
      <c r="G240" s="23" t="s">
        <v>24</v>
      </c>
      <c r="H240" s="48">
        <v>4</v>
      </c>
      <c r="I240" s="203">
        <v>2</v>
      </c>
      <c r="J240" s="203">
        <v>2</v>
      </c>
      <c r="K240" s="65">
        <v>1094.97</v>
      </c>
      <c r="L240" s="128"/>
      <c r="M240" s="129">
        <f t="shared" si="0"/>
        <v>0</v>
      </c>
      <c r="N240" s="50"/>
      <c r="O240" s="31"/>
      <c r="P240" s="29">
        <v>3</v>
      </c>
      <c r="Q240" s="30">
        <v>6107.21</v>
      </c>
      <c r="R240" s="205">
        <v>2</v>
      </c>
      <c r="S240" s="26">
        <f t="shared" si="7"/>
        <v>2951.62</v>
      </c>
      <c r="T240" s="30">
        <v>2951.62</v>
      </c>
      <c r="U240" s="225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347</v>
      </c>
      <c r="G241" s="35" t="s">
        <v>28</v>
      </c>
      <c r="H241" s="117">
        <v>1</v>
      </c>
      <c r="I241" s="37"/>
      <c r="J241" s="37"/>
      <c r="K241" s="39"/>
      <c r="L241" s="44"/>
      <c r="M241" s="43">
        <f t="shared" si="0"/>
        <v>0</v>
      </c>
      <c r="N241" s="39"/>
      <c r="O241" s="41"/>
      <c r="P241" s="37">
        <v>3</v>
      </c>
      <c r="Q241" s="37">
        <v>4473.3</v>
      </c>
      <c r="R241" s="40"/>
      <c r="S241" s="39">
        <f t="shared" si="7"/>
        <v>576.29999999999995</v>
      </c>
      <c r="T241" s="68">
        <v>576.29999999999995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82"/>
      <c r="B242" s="381" t="s">
        <v>195</v>
      </c>
      <c r="C242" s="377" t="s">
        <v>39</v>
      </c>
      <c r="D242" s="377" t="s">
        <v>231</v>
      </c>
      <c r="E242" s="381" t="s">
        <v>27</v>
      </c>
      <c r="F242" s="204" t="s">
        <v>232</v>
      </c>
      <c r="G242" s="47" t="s">
        <v>24</v>
      </c>
      <c r="H242" s="61">
        <v>1</v>
      </c>
      <c r="I242" s="25"/>
      <c r="J242" s="25"/>
      <c r="K242" s="26"/>
      <c r="L242" s="27"/>
      <c r="M242" s="26">
        <f t="shared" si="0"/>
        <v>0</v>
      </c>
      <c r="N242" s="26"/>
      <c r="O242" s="31"/>
      <c r="P242" s="64">
        <v>7</v>
      </c>
      <c r="Q242" s="65">
        <v>46859.35</v>
      </c>
      <c r="R242" s="224">
        <v>3</v>
      </c>
      <c r="S242" s="50">
        <f t="shared" si="7"/>
        <v>38298.170000000006</v>
      </c>
      <c r="T242" s="65">
        <v>35948.410000000003</v>
      </c>
      <c r="U242" s="225">
        <v>2349.7600000000002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1" t="s">
        <v>260</v>
      </c>
      <c r="G243" s="55" t="s">
        <v>28</v>
      </c>
      <c r="H243" s="178">
        <v>3</v>
      </c>
      <c r="I243" s="130">
        <v>1</v>
      </c>
      <c r="J243" s="130">
        <v>1</v>
      </c>
      <c r="K243" s="114">
        <v>1152.5999999999999</v>
      </c>
      <c r="L243" s="44"/>
      <c r="M243" s="43">
        <f t="shared" si="0"/>
        <v>0</v>
      </c>
      <c r="N243" s="43"/>
      <c r="O243" s="45"/>
      <c r="P243" s="130">
        <v>3</v>
      </c>
      <c r="Q243" s="130">
        <v>8188.85</v>
      </c>
      <c r="R243" s="44"/>
      <c r="S243" s="43">
        <f t="shared" si="7"/>
        <v>4994.6000000000004</v>
      </c>
      <c r="T243" s="114">
        <v>4994.6000000000004</v>
      </c>
      <c r="U243" s="22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196</v>
      </c>
      <c r="C244" s="381" t="s">
        <v>22</v>
      </c>
      <c r="D244" s="374"/>
      <c r="E244" s="381" t="s">
        <v>27</v>
      </c>
      <c r="F244" s="22"/>
      <c r="G244" s="23" t="s">
        <v>24</v>
      </c>
      <c r="H244" s="119"/>
      <c r="I244" s="25"/>
      <c r="J244" s="25"/>
      <c r="K244" s="26"/>
      <c r="L244" s="27"/>
      <c r="M244" s="26">
        <f t="shared" si="0"/>
        <v>0</v>
      </c>
      <c r="N244" s="26"/>
      <c r="O244" s="28"/>
      <c r="P244" s="120"/>
      <c r="Q244" s="26"/>
      <c r="R244" s="27"/>
      <c r="S244" s="26">
        <f t="shared" si="7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348</v>
      </c>
      <c r="G245" s="35" t="s">
        <v>28</v>
      </c>
      <c r="H245" s="66">
        <v>4</v>
      </c>
      <c r="I245" s="38"/>
      <c r="J245" s="38"/>
      <c r="K245" s="39"/>
      <c r="L245" s="40"/>
      <c r="M245" s="39">
        <f t="shared" si="0"/>
        <v>0</v>
      </c>
      <c r="N245" s="39"/>
      <c r="O245" s="41"/>
      <c r="P245" s="67">
        <v>1</v>
      </c>
      <c r="Q245" s="68">
        <v>2497.3000000000002</v>
      </c>
      <c r="R245" s="40"/>
      <c r="S245" s="39">
        <f t="shared" si="7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197</v>
      </c>
      <c r="C246" s="381" t="s">
        <v>22</v>
      </c>
      <c r="D246" s="381"/>
      <c r="E246" s="381" t="s">
        <v>27</v>
      </c>
      <c r="F246" s="46"/>
      <c r="G246" s="47" t="s">
        <v>24</v>
      </c>
      <c r="H246" s="98"/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748.24</v>
      </c>
      <c r="R246" s="51"/>
      <c r="S246" s="50">
        <f t="shared" si="7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9"/>
      <c r="B247" s="380"/>
      <c r="C247" s="380"/>
      <c r="D247" s="380"/>
      <c r="E247" s="380"/>
      <c r="F247" s="221" t="s">
        <v>349</v>
      </c>
      <c r="G247" s="55" t="s">
        <v>28</v>
      </c>
      <c r="H247" s="153">
        <v>3</v>
      </c>
      <c r="I247" s="130">
        <v>1</v>
      </c>
      <c r="J247" s="130">
        <v>1</v>
      </c>
      <c r="K247" s="114">
        <v>1344.7</v>
      </c>
      <c r="L247" s="44"/>
      <c r="M247" s="43">
        <f t="shared" si="0"/>
        <v>0</v>
      </c>
      <c r="N247" s="43"/>
      <c r="O247" s="41"/>
      <c r="P247" s="103"/>
      <c r="Q247" s="43"/>
      <c r="R247" s="44"/>
      <c r="S247" s="43">
        <f t="shared" si="7"/>
        <v>1440.75</v>
      </c>
      <c r="T247" s="114">
        <v>1440.75</v>
      </c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198</v>
      </c>
      <c r="C248" s="374" t="s">
        <v>22</v>
      </c>
      <c r="D248" s="374"/>
      <c r="E248" s="374" t="s">
        <v>112</v>
      </c>
      <c r="F248" s="22"/>
      <c r="G248" s="23" t="s">
        <v>24</v>
      </c>
      <c r="H248" s="48">
        <v>5</v>
      </c>
      <c r="I248" s="25"/>
      <c r="J248" s="25"/>
      <c r="K248" s="26"/>
      <c r="L248" s="27"/>
      <c r="M248" s="26">
        <f t="shared" si="0"/>
        <v>0</v>
      </c>
      <c r="N248" s="26"/>
      <c r="O248" s="31"/>
      <c r="P248" s="53">
        <v>7</v>
      </c>
      <c r="Q248" s="30">
        <v>27470.31</v>
      </c>
      <c r="R248" s="27"/>
      <c r="S248" s="26">
        <f t="shared" si="7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350</v>
      </c>
      <c r="G249" s="35" t="s">
        <v>28</v>
      </c>
      <c r="H249" s="153">
        <v>1</v>
      </c>
      <c r="I249" s="38"/>
      <c r="J249" s="38"/>
      <c r="K249" s="39"/>
      <c r="L249" s="40"/>
      <c r="M249" s="39">
        <f t="shared" si="0"/>
        <v>0</v>
      </c>
      <c r="N249" s="39"/>
      <c r="O249" s="41"/>
      <c r="P249" s="59"/>
      <c r="Q249" s="39"/>
      <c r="R249" s="40"/>
      <c r="S249" s="39">
        <f t="shared" si="7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199</v>
      </c>
      <c r="C250" s="381" t="s">
        <v>22</v>
      </c>
      <c r="D250" s="381"/>
      <c r="E250" s="381" t="s">
        <v>131</v>
      </c>
      <c r="F250" s="46"/>
      <c r="G250" s="23" t="s">
        <v>24</v>
      </c>
      <c r="H250" s="98"/>
      <c r="I250" s="49"/>
      <c r="J250" s="49"/>
      <c r="K250" s="50"/>
      <c r="L250" s="51"/>
      <c r="M250" s="50">
        <f t="shared" si="0"/>
        <v>0</v>
      </c>
      <c r="N250" s="50"/>
      <c r="O250" s="31"/>
      <c r="P250" s="123"/>
      <c r="Q250" s="50"/>
      <c r="R250" s="51"/>
      <c r="S250" s="50">
        <f t="shared" si="7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9"/>
      <c r="B251" s="380"/>
      <c r="C251" s="380"/>
      <c r="D251" s="380"/>
      <c r="E251" s="380"/>
      <c r="F251" s="126"/>
      <c r="G251" s="55" t="s">
        <v>25</v>
      </c>
      <c r="H251" s="118"/>
      <c r="I251" s="57"/>
      <c r="J251" s="57"/>
      <c r="K251" s="43"/>
      <c r="L251" s="44"/>
      <c r="M251" s="43">
        <f t="shared" si="0"/>
        <v>0</v>
      </c>
      <c r="N251" s="43"/>
      <c r="O251" s="41"/>
      <c r="P251" s="103"/>
      <c r="Q251" s="43"/>
      <c r="R251" s="44"/>
      <c r="S251" s="43">
        <f t="shared" si="7"/>
        <v>0</v>
      </c>
      <c r="T251" s="43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200</v>
      </c>
      <c r="C252" s="374" t="s">
        <v>22</v>
      </c>
      <c r="D252" s="374"/>
      <c r="E252" s="374" t="s">
        <v>27</v>
      </c>
      <c r="F252" s="60"/>
      <c r="G252" s="23" t="s">
        <v>24</v>
      </c>
      <c r="H252" s="104"/>
      <c r="I252" s="25"/>
      <c r="J252" s="25"/>
      <c r="K252" s="26"/>
      <c r="L252" s="27"/>
      <c r="M252" s="26">
        <f t="shared" si="0"/>
        <v>0</v>
      </c>
      <c r="N252" s="26"/>
      <c r="O252" s="31"/>
      <c r="P252" s="29">
        <v>4</v>
      </c>
      <c r="Q252" s="30">
        <v>12991.56</v>
      </c>
      <c r="R252" s="27"/>
      <c r="S252" s="26">
        <f t="shared" si="7"/>
        <v>0</v>
      </c>
      <c r="T252" s="26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1" t="s">
        <v>351</v>
      </c>
      <c r="G253" s="55" t="s">
        <v>28</v>
      </c>
      <c r="H253" s="121">
        <v>1</v>
      </c>
      <c r="I253" s="130">
        <v>1</v>
      </c>
      <c r="J253" s="130">
        <v>1</v>
      </c>
      <c r="K253" s="114">
        <v>1056.55</v>
      </c>
      <c r="L253" s="44"/>
      <c r="M253" s="43">
        <f t="shared" si="0"/>
        <v>0</v>
      </c>
      <c r="N253" s="43"/>
      <c r="O253" s="45"/>
      <c r="P253" s="42"/>
      <c r="Q253" s="43"/>
      <c r="R253" s="44"/>
      <c r="S253" s="43">
        <f t="shared" si="7"/>
        <v>1921</v>
      </c>
      <c r="T253" s="114">
        <v>1921</v>
      </c>
      <c r="U253" s="45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201</v>
      </c>
      <c r="C254" s="374"/>
      <c r="D254" s="374"/>
      <c r="E254" s="374"/>
      <c r="F254" s="22"/>
      <c r="G254" s="23" t="s">
        <v>24</v>
      </c>
      <c r="H254" s="61">
        <v>7</v>
      </c>
      <c r="I254" s="62">
        <v>5</v>
      </c>
      <c r="J254" s="62">
        <v>6</v>
      </c>
      <c r="K254" s="30">
        <v>6917.71</v>
      </c>
      <c r="L254" s="27"/>
      <c r="M254" s="26">
        <f t="shared" si="0"/>
        <v>0</v>
      </c>
      <c r="N254" s="26"/>
      <c r="O254" s="159"/>
      <c r="P254" s="53">
        <v>2</v>
      </c>
      <c r="Q254" s="30">
        <v>4356.83</v>
      </c>
      <c r="R254" s="27"/>
      <c r="S254" s="26">
        <f t="shared" si="7"/>
        <v>0</v>
      </c>
      <c r="T254" s="26"/>
      <c r="U254" s="28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105"/>
      <c r="G255" s="35" t="s">
        <v>25</v>
      </c>
      <c r="H255" s="106"/>
      <c r="I255" s="38"/>
      <c r="J255" s="38"/>
      <c r="K255" s="39"/>
      <c r="L255" s="40"/>
      <c r="M255" s="39">
        <f t="shared" si="0"/>
        <v>0</v>
      </c>
      <c r="N255" s="39"/>
      <c r="O255" s="58"/>
      <c r="P255" s="115">
        <v>1</v>
      </c>
      <c r="Q255" s="68">
        <v>3073.6</v>
      </c>
      <c r="R255" s="285">
        <v>1</v>
      </c>
      <c r="S255" s="68">
        <v>3073.6</v>
      </c>
      <c r="T255" s="68">
        <v>3073.6</v>
      </c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202</v>
      </c>
      <c r="C256" s="381" t="s">
        <v>22</v>
      </c>
      <c r="D256" s="381"/>
      <c r="E256" s="381" t="s">
        <v>27</v>
      </c>
      <c r="F256" s="110"/>
      <c r="G256" s="47" t="s">
        <v>24</v>
      </c>
      <c r="H256" s="48">
        <v>1</v>
      </c>
      <c r="I256" s="49"/>
      <c r="J256" s="49"/>
      <c r="K256" s="50"/>
      <c r="L256" s="51"/>
      <c r="M256" s="50">
        <f t="shared" si="0"/>
        <v>0</v>
      </c>
      <c r="N256" s="50"/>
      <c r="O256" s="31"/>
      <c r="P256" s="108">
        <v>1</v>
      </c>
      <c r="Q256" s="65">
        <v>1124.17</v>
      </c>
      <c r="R256" s="51"/>
      <c r="S256" s="50">
        <f t="shared" ref="S256:S261" si="8">T256+U256</f>
        <v>0</v>
      </c>
      <c r="T256" s="50"/>
      <c r="U256" s="3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1" t="s">
        <v>262</v>
      </c>
      <c r="G257" s="55" t="s">
        <v>28</v>
      </c>
      <c r="H257" s="112">
        <v>1</v>
      </c>
      <c r="I257" s="57"/>
      <c r="J257" s="57"/>
      <c r="K257" s="43"/>
      <c r="L257" s="128"/>
      <c r="M257" s="129">
        <f t="shared" si="0"/>
        <v>0</v>
      </c>
      <c r="N257" s="43"/>
      <c r="O257" s="45"/>
      <c r="P257" s="113">
        <v>1</v>
      </c>
      <c r="Q257" s="114">
        <v>1344.7</v>
      </c>
      <c r="R257" s="128"/>
      <c r="S257" s="129">
        <f t="shared" si="8"/>
        <v>3649.9</v>
      </c>
      <c r="T257" s="114">
        <v>3649.9</v>
      </c>
      <c r="U257" s="4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203</v>
      </c>
      <c r="C258" s="374"/>
      <c r="D258" s="374"/>
      <c r="E258" s="374" t="s">
        <v>27</v>
      </c>
      <c r="F258" s="60"/>
      <c r="G258" s="23" t="s">
        <v>24</v>
      </c>
      <c r="H258" s="104"/>
      <c r="I258" s="25"/>
      <c r="J258" s="25"/>
      <c r="K258" s="26"/>
      <c r="L258" s="27"/>
      <c r="M258" s="26">
        <f t="shared" si="0"/>
        <v>0</v>
      </c>
      <c r="N258" s="26"/>
      <c r="O258" s="28"/>
      <c r="P258" s="120"/>
      <c r="Q258" s="26"/>
      <c r="R258" s="27"/>
      <c r="S258" s="26">
        <f t="shared" si="8"/>
        <v>0</v>
      </c>
      <c r="T258" s="26"/>
      <c r="U258" s="28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34"/>
      <c r="G259" s="35" t="s">
        <v>28</v>
      </c>
      <c r="H259" s="117"/>
      <c r="I259" s="38"/>
      <c r="J259" s="38"/>
      <c r="K259" s="39"/>
      <c r="L259" s="40"/>
      <c r="M259" s="39">
        <f t="shared" si="0"/>
        <v>0</v>
      </c>
      <c r="N259" s="39"/>
      <c r="O259" s="41"/>
      <c r="P259" s="69"/>
      <c r="Q259" s="39"/>
      <c r="R259" s="40"/>
      <c r="S259" s="39">
        <f t="shared" si="8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204</v>
      </c>
      <c r="C260" s="381" t="s">
        <v>22</v>
      </c>
      <c r="D260" s="381"/>
      <c r="E260" s="381" t="s">
        <v>23</v>
      </c>
      <c r="F260" s="127"/>
      <c r="G260" s="47" t="s">
        <v>24</v>
      </c>
      <c r="H260" s="48">
        <v>6</v>
      </c>
      <c r="I260" s="203">
        <v>1</v>
      </c>
      <c r="J260" s="203">
        <v>1</v>
      </c>
      <c r="K260" s="65">
        <v>384.2</v>
      </c>
      <c r="L260" s="51"/>
      <c r="M260" s="50">
        <f t="shared" si="0"/>
        <v>0</v>
      </c>
      <c r="N260" s="50"/>
      <c r="O260" s="31"/>
      <c r="P260" s="108">
        <v>4</v>
      </c>
      <c r="Q260" s="65">
        <v>3363.11</v>
      </c>
      <c r="R260" s="51"/>
      <c r="S260" s="50">
        <f t="shared" si="8"/>
        <v>0</v>
      </c>
      <c r="T260" s="50"/>
      <c r="U260" s="3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34"/>
      <c r="G261" s="35" t="s">
        <v>25</v>
      </c>
      <c r="H261" s="111"/>
      <c r="I261" s="38"/>
      <c r="J261" s="38"/>
      <c r="K261" s="39"/>
      <c r="L261" s="40"/>
      <c r="M261" s="39">
        <f t="shared" si="0"/>
        <v>0</v>
      </c>
      <c r="N261" s="39"/>
      <c r="O261" s="41"/>
      <c r="P261" s="59"/>
      <c r="Q261" s="39"/>
      <c r="R261" s="40"/>
      <c r="S261" s="39">
        <f t="shared" si="8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179"/>
      <c r="B262" s="180" t="s">
        <v>205</v>
      </c>
      <c r="C262" s="180"/>
      <c r="D262" s="180"/>
      <c r="E262" s="180"/>
      <c r="F262" s="180"/>
      <c r="G262" s="181"/>
      <c r="H262" s="182">
        <f t="shared" ref="H262:U262" si="9">SUM(H9:H261)</f>
        <v>588</v>
      </c>
      <c r="I262" s="183">
        <f t="shared" si="9"/>
        <v>207</v>
      </c>
      <c r="J262" s="183">
        <f t="shared" si="9"/>
        <v>231</v>
      </c>
      <c r="K262" s="184">
        <f t="shared" si="9"/>
        <v>322494.39999999997</v>
      </c>
      <c r="L262" s="185">
        <f t="shared" si="9"/>
        <v>0</v>
      </c>
      <c r="M262" s="184">
        <f t="shared" si="9"/>
        <v>1344.7</v>
      </c>
      <c r="N262" s="184">
        <f t="shared" si="9"/>
        <v>1344.7</v>
      </c>
      <c r="O262" s="186">
        <f t="shared" si="9"/>
        <v>0</v>
      </c>
      <c r="P262" s="187">
        <f t="shared" si="9"/>
        <v>868</v>
      </c>
      <c r="Q262" s="188">
        <f t="shared" si="9"/>
        <v>2544720.5500000003</v>
      </c>
      <c r="R262" s="185">
        <f t="shared" si="9"/>
        <v>200</v>
      </c>
      <c r="S262" s="188">
        <f t="shared" si="9"/>
        <v>793976.09</v>
      </c>
      <c r="T262" s="188">
        <f t="shared" si="9"/>
        <v>735948.41</v>
      </c>
      <c r="U262" s="189">
        <f t="shared" si="9"/>
        <v>58027.68</v>
      </c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I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H265" s="4" t="s">
        <v>206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27.75" customHeight="1">
      <c r="A266" s="4"/>
      <c r="B266" s="4"/>
      <c r="C266" s="4"/>
      <c r="D266" s="4"/>
      <c r="E266" s="4"/>
      <c r="F266" s="394"/>
      <c r="G266" s="395" t="s">
        <v>5</v>
      </c>
      <c r="H266" s="396"/>
      <c r="I266" s="396"/>
      <c r="J266" s="396"/>
      <c r="K266" s="396"/>
      <c r="L266" s="396"/>
      <c r="M266" s="396"/>
      <c r="N266" s="397"/>
      <c r="O266" s="395" t="s">
        <v>6</v>
      </c>
      <c r="P266" s="396"/>
      <c r="Q266" s="396"/>
      <c r="R266" s="396"/>
      <c r="S266" s="396"/>
      <c r="T266" s="397"/>
      <c r="U266" s="393" t="s">
        <v>207</v>
      </c>
      <c r="V266" s="393" t="s">
        <v>208</v>
      </c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386"/>
      <c r="G267" s="190" t="s">
        <v>13</v>
      </c>
      <c r="H267" s="190" t="s">
        <v>14</v>
      </c>
      <c r="I267" s="190" t="s">
        <v>15</v>
      </c>
      <c r="J267" s="190" t="s">
        <v>16</v>
      </c>
      <c r="K267" s="191" t="s">
        <v>17</v>
      </c>
      <c r="L267" s="190" t="s">
        <v>18</v>
      </c>
      <c r="M267" s="190" t="s">
        <v>19</v>
      </c>
      <c r="N267" s="190" t="s">
        <v>20</v>
      </c>
      <c r="O267" s="190" t="s">
        <v>15</v>
      </c>
      <c r="P267" s="190" t="s">
        <v>16</v>
      </c>
      <c r="Q267" s="191" t="s">
        <v>17</v>
      </c>
      <c r="R267" s="190" t="s">
        <v>18</v>
      </c>
      <c r="S267" s="190" t="s">
        <v>19</v>
      </c>
      <c r="T267" s="190" t="s">
        <v>20</v>
      </c>
      <c r="U267" s="392"/>
      <c r="V267" s="392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192" t="s">
        <v>24</v>
      </c>
      <c r="G268" s="193">
        <f t="shared" ref="G268:I268" si="10">SUMIF($G$9:$G$261,$F$268,H9:H261)</f>
        <v>384</v>
      </c>
      <c r="H268" s="193">
        <f t="shared" si="10"/>
        <v>170</v>
      </c>
      <c r="I268" s="193">
        <f t="shared" si="10"/>
        <v>194</v>
      </c>
      <c r="J268" s="194">
        <f t="shared" ref="J268:J270" si="11">SUMIF($G$9:$G$261,F268,$K$9:$K$261)</f>
        <v>269405.38</v>
      </c>
      <c r="K268" s="195">
        <f t="shared" ref="K268:K270" si="12">SUMIF($G$9:$G$261,F268,$L$9:$L$261)</f>
        <v>0</v>
      </c>
      <c r="L268" s="194">
        <f t="shared" ref="L268:L270" si="13">SUMIF($G$9:$G$261,F268,$M$9:$M$261)</f>
        <v>0</v>
      </c>
      <c r="M268" s="194">
        <f t="shared" ref="M268:O268" si="14">SUMIF($G$9:$G$261,$F$268,N9:N261)</f>
        <v>0</v>
      </c>
      <c r="N268" s="194">
        <f t="shared" si="14"/>
        <v>0</v>
      </c>
      <c r="O268" s="193">
        <f t="shared" si="14"/>
        <v>743</v>
      </c>
      <c r="P268" s="194">
        <f t="shared" ref="P268:P270" si="15">SUMIF($G$9:$G$261,F268,$Q$9:$Q$261)</f>
        <v>2229340.1</v>
      </c>
      <c r="Q268" s="195">
        <f t="shared" ref="Q268:Q270" si="16">SUMIF($G$9:$G$261,F268,$R$9:$R$261)</f>
        <v>186</v>
      </c>
      <c r="R268" s="194">
        <f t="shared" ref="R268:R270" si="17">SUMIF($G$9:$G$261,F268,$S$9:$S$261)</f>
        <v>630507.25000000012</v>
      </c>
      <c r="S268" s="194">
        <f t="shared" ref="S268:T268" si="18">SUMIF($G$9:$G$261,$F$268,T9:T261)</f>
        <v>572479.57000000007</v>
      </c>
      <c r="T268" s="194">
        <f t="shared" si="18"/>
        <v>58027.68</v>
      </c>
      <c r="U268" s="194">
        <f t="shared" ref="U268:U270" si="19">S268+M268</f>
        <v>572479.57000000007</v>
      </c>
      <c r="V268" s="196">
        <f t="shared" ref="V268:V270" si="20">J268-M268+P268-S268</f>
        <v>1926265.91</v>
      </c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192" t="s">
        <v>28</v>
      </c>
      <c r="G269" s="236">
        <f t="shared" ref="G269:I269" si="21">SUMIF($G$9:$G$261,$F$269,H9:H261)</f>
        <v>168</v>
      </c>
      <c r="H269" s="193">
        <f t="shared" si="21"/>
        <v>25</v>
      </c>
      <c r="I269" s="193">
        <f t="shared" si="21"/>
        <v>25</v>
      </c>
      <c r="J269" s="194">
        <f t="shared" si="11"/>
        <v>37144.719999999994</v>
      </c>
      <c r="K269" s="195">
        <f t="shared" si="12"/>
        <v>0</v>
      </c>
      <c r="L269" s="194">
        <f t="shared" si="13"/>
        <v>1344.7</v>
      </c>
      <c r="M269" s="194">
        <f t="shared" ref="M269:O269" si="22">SUMIF($G$9:$G$261,$F$269,N9:N261)</f>
        <v>1344.7</v>
      </c>
      <c r="N269" s="194">
        <f t="shared" si="22"/>
        <v>0</v>
      </c>
      <c r="O269" s="193">
        <f t="shared" si="22"/>
        <v>96</v>
      </c>
      <c r="P269" s="194">
        <f t="shared" si="15"/>
        <v>229265.36</v>
      </c>
      <c r="Q269" s="195">
        <f t="shared" si="16"/>
        <v>0</v>
      </c>
      <c r="R269" s="194">
        <f t="shared" si="17"/>
        <v>118645.81000000001</v>
      </c>
      <c r="S269" s="194">
        <f t="shared" ref="S269:T269" si="23">SUMIF($G$9:$G$261,$F$269,T9:T261)</f>
        <v>118645.81000000001</v>
      </c>
      <c r="T269" s="194">
        <f t="shared" si="23"/>
        <v>0</v>
      </c>
      <c r="U269" s="194">
        <f t="shared" si="19"/>
        <v>119990.51000000001</v>
      </c>
      <c r="V269" s="196">
        <f t="shared" si="20"/>
        <v>146419.57</v>
      </c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192" t="s">
        <v>25</v>
      </c>
      <c r="G270" s="193">
        <f t="shared" ref="G270:I270" si="24">SUMIF($G$9:$G$261,$F$270,H9:H261)</f>
        <v>36</v>
      </c>
      <c r="H270" s="193">
        <f t="shared" si="24"/>
        <v>12</v>
      </c>
      <c r="I270" s="193">
        <f t="shared" si="24"/>
        <v>12</v>
      </c>
      <c r="J270" s="194">
        <f t="shared" si="11"/>
        <v>15944.3</v>
      </c>
      <c r="K270" s="195">
        <f t="shared" si="12"/>
        <v>0</v>
      </c>
      <c r="L270" s="194">
        <f t="shared" si="13"/>
        <v>0</v>
      </c>
      <c r="M270" s="194">
        <f t="shared" ref="M270:O270" si="25">SUMIF($G$9:$G$261,$F$270,N9:N261)</f>
        <v>0</v>
      </c>
      <c r="N270" s="194">
        <f t="shared" si="25"/>
        <v>0</v>
      </c>
      <c r="O270" s="193">
        <f t="shared" si="25"/>
        <v>29</v>
      </c>
      <c r="P270" s="194">
        <f t="shared" si="15"/>
        <v>86115.090000000011</v>
      </c>
      <c r="Q270" s="195">
        <f t="shared" si="16"/>
        <v>14</v>
      </c>
      <c r="R270" s="194">
        <f t="shared" si="17"/>
        <v>44823.030000000006</v>
      </c>
      <c r="S270" s="194">
        <f t="shared" ref="S270:T270" si="26">SUMIF($G$9:$G$261,$F$270,T9:T261)</f>
        <v>44823.030000000006</v>
      </c>
      <c r="T270" s="194">
        <f t="shared" si="26"/>
        <v>0</v>
      </c>
      <c r="U270" s="194">
        <f t="shared" si="19"/>
        <v>44823.030000000006</v>
      </c>
      <c r="V270" s="196">
        <f t="shared" si="20"/>
        <v>57236.360000000008</v>
      </c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4"/>
      <c r="G271" s="197">
        <f t="shared" ref="G271:V271" si="27">G270+G269+G268</f>
        <v>588</v>
      </c>
      <c r="H271" s="197">
        <f t="shared" si="27"/>
        <v>207</v>
      </c>
      <c r="I271" s="197">
        <f t="shared" si="27"/>
        <v>231</v>
      </c>
      <c r="J271" s="198">
        <f t="shared" si="27"/>
        <v>322494.40000000002</v>
      </c>
      <c r="K271" s="199">
        <f t="shared" si="27"/>
        <v>0</v>
      </c>
      <c r="L271" s="198">
        <f t="shared" si="27"/>
        <v>1344.7</v>
      </c>
      <c r="M271" s="198">
        <f t="shared" si="27"/>
        <v>1344.7</v>
      </c>
      <c r="N271" s="198">
        <f t="shared" si="27"/>
        <v>0</v>
      </c>
      <c r="O271" s="197">
        <f t="shared" si="27"/>
        <v>868</v>
      </c>
      <c r="P271" s="198">
        <f t="shared" si="27"/>
        <v>2544720.5500000003</v>
      </c>
      <c r="Q271" s="200">
        <f t="shared" si="27"/>
        <v>200</v>
      </c>
      <c r="R271" s="198">
        <f t="shared" si="27"/>
        <v>793976.09000000008</v>
      </c>
      <c r="S271" s="198">
        <f t="shared" si="27"/>
        <v>735948.41000000015</v>
      </c>
      <c r="T271" s="198">
        <f t="shared" si="27"/>
        <v>58027.68</v>
      </c>
      <c r="U271" s="198">
        <f t="shared" si="27"/>
        <v>737293.1100000001</v>
      </c>
      <c r="V271" s="198">
        <f t="shared" si="27"/>
        <v>2129921.84</v>
      </c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L424" s="2"/>
      <c r="R424" s="2"/>
    </row>
    <row r="425" spans="11:18" ht="15.75" customHeight="1">
      <c r="L425" s="2"/>
      <c r="R425" s="2"/>
    </row>
    <row r="426" spans="11:18" ht="15.75" customHeight="1">
      <c r="L426" s="2"/>
      <c r="R426" s="2"/>
    </row>
    <row r="427" spans="11:18" ht="15.75" customHeight="1">
      <c r="L427" s="2"/>
      <c r="R427" s="2"/>
    </row>
    <row r="428" spans="11:18" ht="15.75" customHeight="1">
      <c r="L428" s="2"/>
      <c r="R428" s="2"/>
    </row>
    <row r="429" spans="11:18" ht="15.75" customHeight="1">
      <c r="L429" s="2"/>
      <c r="R429" s="2"/>
    </row>
    <row r="430" spans="11:18" ht="15.75" customHeight="1">
      <c r="L430" s="2"/>
      <c r="R430" s="2"/>
    </row>
    <row r="431" spans="11:18" ht="15.75" customHeight="1">
      <c r="L431" s="2"/>
      <c r="R431" s="2"/>
    </row>
    <row r="432" spans="11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</sheetData>
  <mergeCells count="629">
    <mergeCell ref="F266:F267"/>
    <mergeCell ref="A254:A255"/>
    <mergeCell ref="A256:A257"/>
    <mergeCell ref="B256:B257"/>
    <mergeCell ref="C256:C257"/>
    <mergeCell ref="D256:D257"/>
    <mergeCell ref="E256:E257"/>
    <mergeCell ref="A258:A259"/>
    <mergeCell ref="B258:B259"/>
    <mergeCell ref="C258:C259"/>
    <mergeCell ref="A260:A261"/>
    <mergeCell ref="B260:B261"/>
    <mergeCell ref="C260:C261"/>
    <mergeCell ref="D258:D259"/>
    <mergeCell ref="E258:E259"/>
    <mergeCell ref="D260:D261"/>
    <mergeCell ref="E260:E261"/>
    <mergeCell ref="D250:D251"/>
    <mergeCell ref="E250:E251"/>
    <mergeCell ref="D252:D253"/>
    <mergeCell ref="E252:E253"/>
    <mergeCell ref="D254:D255"/>
    <mergeCell ref="E254:E255"/>
    <mergeCell ref="A246:A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A252:A253"/>
    <mergeCell ref="B252:B253"/>
    <mergeCell ref="C252:C253"/>
    <mergeCell ref="B254:B255"/>
    <mergeCell ref="C254:C255"/>
    <mergeCell ref="A204:A205"/>
    <mergeCell ref="B204:B205"/>
    <mergeCell ref="C204:C205"/>
    <mergeCell ref="D204:D205"/>
    <mergeCell ref="E204:E205"/>
    <mergeCell ref="A206:A207"/>
    <mergeCell ref="B214:B215"/>
    <mergeCell ref="C214:C215"/>
    <mergeCell ref="A216:A217"/>
    <mergeCell ref="B216:B217"/>
    <mergeCell ref="C216:C217"/>
    <mergeCell ref="D216:D217"/>
    <mergeCell ref="E216:E217"/>
    <mergeCell ref="C202:C203"/>
    <mergeCell ref="D202:D203"/>
    <mergeCell ref="A200:A201"/>
    <mergeCell ref="B200:B201"/>
    <mergeCell ref="C200:C201"/>
    <mergeCell ref="D200:D201"/>
    <mergeCell ref="E200:E201"/>
    <mergeCell ref="B202:B203"/>
    <mergeCell ref="E202:E203"/>
    <mergeCell ref="A202:A203"/>
    <mergeCell ref="A192:A193"/>
    <mergeCell ref="B192:B193"/>
    <mergeCell ref="C192:C193"/>
    <mergeCell ref="D192:D193"/>
    <mergeCell ref="E192:E193"/>
    <mergeCell ref="A194:A195"/>
    <mergeCell ref="B194:B195"/>
    <mergeCell ref="E194:E195"/>
    <mergeCell ref="D198:D199"/>
    <mergeCell ref="E198:E199"/>
    <mergeCell ref="C194:C195"/>
    <mergeCell ref="D194:D195"/>
    <mergeCell ref="B196:B197"/>
    <mergeCell ref="D196:D197"/>
    <mergeCell ref="A198:A199"/>
    <mergeCell ref="B198:B199"/>
    <mergeCell ref="C198:C199"/>
    <mergeCell ref="D214:D215"/>
    <mergeCell ref="E214:E215"/>
    <mergeCell ref="A210:A211"/>
    <mergeCell ref="A212:A213"/>
    <mergeCell ref="B212:B213"/>
    <mergeCell ref="C212:C213"/>
    <mergeCell ref="D212:D213"/>
    <mergeCell ref="E212:E213"/>
    <mergeCell ref="A214:A215"/>
    <mergeCell ref="D206:D207"/>
    <mergeCell ref="E206:E207"/>
    <mergeCell ref="D208:D209"/>
    <mergeCell ref="E208:E209"/>
    <mergeCell ref="D210:D211"/>
    <mergeCell ref="E210:E211"/>
    <mergeCell ref="B206:B207"/>
    <mergeCell ref="C206:C207"/>
    <mergeCell ref="A208:A209"/>
    <mergeCell ref="B208:B209"/>
    <mergeCell ref="C208:C209"/>
    <mergeCell ref="B210:B211"/>
    <mergeCell ref="C210:C211"/>
    <mergeCell ref="A177:A178"/>
    <mergeCell ref="B177:B178"/>
    <mergeCell ref="C177:C178"/>
    <mergeCell ref="D177:D178"/>
    <mergeCell ref="E177:E178"/>
    <mergeCell ref="A179:A180"/>
    <mergeCell ref="B187:B189"/>
    <mergeCell ref="C187:C189"/>
    <mergeCell ref="A190:A191"/>
    <mergeCell ref="B190:B191"/>
    <mergeCell ref="C190:C191"/>
    <mergeCell ref="D190:D191"/>
    <mergeCell ref="E190:E191"/>
    <mergeCell ref="D171:D172"/>
    <mergeCell ref="E171:E172"/>
    <mergeCell ref="D173:D174"/>
    <mergeCell ref="E173:E174"/>
    <mergeCell ref="D175:D176"/>
    <mergeCell ref="E175:E176"/>
    <mergeCell ref="A167:A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A173:A174"/>
    <mergeCell ref="B173:B174"/>
    <mergeCell ref="C173:C174"/>
    <mergeCell ref="B175:B176"/>
    <mergeCell ref="C175:C176"/>
    <mergeCell ref="A175:A176"/>
    <mergeCell ref="C167:C168"/>
    <mergeCell ref="D167:D168"/>
    <mergeCell ref="A165:A166"/>
    <mergeCell ref="B165:B166"/>
    <mergeCell ref="C165:C166"/>
    <mergeCell ref="D165:D166"/>
    <mergeCell ref="E165:E166"/>
    <mergeCell ref="B167:B168"/>
    <mergeCell ref="E167:E168"/>
    <mergeCell ref="D187:D189"/>
    <mergeCell ref="E187:E189"/>
    <mergeCell ref="A183:A184"/>
    <mergeCell ref="A185:A186"/>
    <mergeCell ref="B185:B186"/>
    <mergeCell ref="C185:C186"/>
    <mergeCell ref="D185:D186"/>
    <mergeCell ref="E185:E186"/>
    <mergeCell ref="A187:A189"/>
    <mergeCell ref="A230:A231"/>
    <mergeCell ref="B230:B231"/>
    <mergeCell ref="C230:C231"/>
    <mergeCell ref="D230:D231"/>
    <mergeCell ref="E230:E231"/>
    <mergeCell ref="A232:A233"/>
    <mergeCell ref="B240:B241"/>
    <mergeCell ref="C240:C241"/>
    <mergeCell ref="A242:A243"/>
    <mergeCell ref="B242:B243"/>
    <mergeCell ref="C242:C243"/>
    <mergeCell ref="D242:D243"/>
    <mergeCell ref="E242:E243"/>
    <mergeCell ref="D232:D233"/>
    <mergeCell ref="E232:E233"/>
    <mergeCell ref="D234:D235"/>
    <mergeCell ref="E234:E235"/>
    <mergeCell ref="D236:D237"/>
    <mergeCell ref="E236:E237"/>
    <mergeCell ref="B232:B233"/>
    <mergeCell ref="C232:C233"/>
    <mergeCell ref="A234:A235"/>
    <mergeCell ref="B234:B235"/>
    <mergeCell ref="C234:C235"/>
    <mergeCell ref="D224:D225"/>
    <mergeCell ref="E224:E225"/>
    <mergeCell ref="D226:D227"/>
    <mergeCell ref="E226:E227"/>
    <mergeCell ref="D228:D229"/>
    <mergeCell ref="E228:E229"/>
    <mergeCell ref="A220:A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A226:A227"/>
    <mergeCell ref="B226:B227"/>
    <mergeCell ref="C226:C227"/>
    <mergeCell ref="B228:B229"/>
    <mergeCell ref="C228:C229"/>
    <mergeCell ref="A228:A229"/>
    <mergeCell ref="C220:C221"/>
    <mergeCell ref="D220:D221"/>
    <mergeCell ref="A218:A219"/>
    <mergeCell ref="B218:B219"/>
    <mergeCell ref="C218:C219"/>
    <mergeCell ref="D218:D219"/>
    <mergeCell ref="E218:E219"/>
    <mergeCell ref="B220:B221"/>
    <mergeCell ref="E220:E221"/>
    <mergeCell ref="D240:D241"/>
    <mergeCell ref="E240:E241"/>
    <mergeCell ref="G266:N266"/>
    <mergeCell ref="O266:T266"/>
    <mergeCell ref="U266:U267"/>
    <mergeCell ref="V266:V267"/>
    <mergeCell ref="A236:A237"/>
    <mergeCell ref="A238:A239"/>
    <mergeCell ref="B238:B239"/>
    <mergeCell ref="C238:C239"/>
    <mergeCell ref="D238:D239"/>
    <mergeCell ref="E238:E239"/>
    <mergeCell ref="A240:A241"/>
    <mergeCell ref="B236:B237"/>
    <mergeCell ref="C236:C237"/>
    <mergeCell ref="C246:C247"/>
    <mergeCell ref="D246:D247"/>
    <mergeCell ref="A244:A245"/>
    <mergeCell ref="B244:B245"/>
    <mergeCell ref="C244:C245"/>
    <mergeCell ref="D244:D245"/>
    <mergeCell ref="E244:E245"/>
    <mergeCell ref="B246:B247"/>
    <mergeCell ref="E246:E247"/>
    <mergeCell ref="D179:D180"/>
    <mergeCell ref="E179:E180"/>
    <mergeCell ref="D181:D182"/>
    <mergeCell ref="E181:E182"/>
    <mergeCell ref="D183:D184"/>
    <mergeCell ref="E183:E184"/>
    <mergeCell ref="B179:B180"/>
    <mergeCell ref="C179:C180"/>
    <mergeCell ref="A181:A182"/>
    <mergeCell ref="B181:B182"/>
    <mergeCell ref="C181:C182"/>
    <mergeCell ref="B183:B184"/>
    <mergeCell ref="C183:C184"/>
    <mergeCell ref="D126:D127"/>
    <mergeCell ref="E126:E127"/>
    <mergeCell ref="A128:A129"/>
    <mergeCell ref="B137:B138"/>
    <mergeCell ref="C137:C138"/>
    <mergeCell ref="A139:A140"/>
    <mergeCell ref="B139:B140"/>
    <mergeCell ref="C139:C140"/>
    <mergeCell ref="D139:D140"/>
    <mergeCell ref="E139:E140"/>
    <mergeCell ref="A122:A123"/>
    <mergeCell ref="B122:B123"/>
    <mergeCell ref="C122:C123"/>
    <mergeCell ref="B124:B125"/>
    <mergeCell ref="C124:C125"/>
    <mergeCell ref="A124:A125"/>
    <mergeCell ref="A126:A127"/>
    <mergeCell ref="B126:B127"/>
    <mergeCell ref="C126:C127"/>
    <mergeCell ref="A114:A115"/>
    <mergeCell ref="B114:B115"/>
    <mergeCell ref="C114:C115"/>
    <mergeCell ref="D114:D115"/>
    <mergeCell ref="E114:E115"/>
    <mergeCell ref="B116:B117"/>
    <mergeCell ref="E116:E117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30:A131"/>
    <mergeCell ref="B130:B131"/>
    <mergeCell ref="C130:C131"/>
    <mergeCell ref="B132:B134"/>
    <mergeCell ref="C132:C134"/>
    <mergeCell ref="D137:D138"/>
    <mergeCell ref="E137:E138"/>
    <mergeCell ref="A132:A134"/>
    <mergeCell ref="A135:A136"/>
    <mergeCell ref="B135:B136"/>
    <mergeCell ref="C135:C136"/>
    <mergeCell ref="D135:D136"/>
    <mergeCell ref="E135:E136"/>
    <mergeCell ref="A137:A138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3"/>
    <mergeCell ref="B111:B113"/>
    <mergeCell ref="C111:C113"/>
    <mergeCell ref="D111:D113"/>
    <mergeCell ref="E111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A103:A104"/>
    <mergeCell ref="B103:B104"/>
    <mergeCell ref="C103:C104"/>
    <mergeCell ref="B105:B106"/>
    <mergeCell ref="C105:C106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63:D164"/>
    <mergeCell ref="E163:E164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D128:D129"/>
    <mergeCell ref="E128:E129"/>
    <mergeCell ref="D130:D131"/>
    <mergeCell ref="E130:E131"/>
    <mergeCell ref="D132:D134"/>
    <mergeCell ref="E132:E134"/>
    <mergeCell ref="B128:B129"/>
    <mergeCell ref="C128:C129"/>
    <mergeCell ref="C116:C117"/>
    <mergeCell ref="D116:D117"/>
    <mergeCell ref="D122:D123"/>
    <mergeCell ref="E122:E123"/>
    <mergeCell ref="D124:D125"/>
    <mergeCell ref="E124:E125"/>
    <mergeCell ref="A155:A156"/>
    <mergeCell ref="B155:B156"/>
    <mergeCell ref="C155:C156"/>
    <mergeCell ref="B157:B158"/>
    <mergeCell ref="C157:C158"/>
    <mergeCell ref="B161:B162"/>
    <mergeCell ref="C161:C162"/>
    <mergeCell ref="A163:A164"/>
    <mergeCell ref="B163:B164"/>
    <mergeCell ref="C163:C164"/>
    <mergeCell ref="A148:A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B148:B150"/>
    <mergeCell ref="C148:C150"/>
    <mergeCell ref="D148:D150"/>
    <mergeCell ref="E148:E150"/>
    <mergeCell ref="D153:D154"/>
    <mergeCell ref="E153:E154"/>
    <mergeCell ref="D155:D156"/>
    <mergeCell ref="E155:E156"/>
    <mergeCell ref="D157:D158"/>
    <mergeCell ref="E157:E158"/>
    <mergeCell ref="C143:C145"/>
    <mergeCell ref="D143:D145"/>
    <mergeCell ref="C146:C147"/>
    <mergeCell ref="D146:D147"/>
    <mergeCell ref="E146:E147"/>
    <mergeCell ref="A141:A142"/>
    <mergeCell ref="B141:B142"/>
    <mergeCell ref="C141:C142"/>
    <mergeCell ref="D141:D142"/>
    <mergeCell ref="E141:E142"/>
    <mergeCell ref="B143:B145"/>
    <mergeCell ref="E143:E145"/>
    <mergeCell ref="A143:A145"/>
    <mergeCell ref="A146:A147"/>
    <mergeCell ref="B146:B147"/>
    <mergeCell ref="D161:D162"/>
    <mergeCell ref="E161:E162"/>
    <mergeCell ref="A157:A158"/>
    <mergeCell ref="A159:A160"/>
    <mergeCell ref="B159:B160"/>
    <mergeCell ref="C159:C160"/>
    <mergeCell ref="D159:D160"/>
    <mergeCell ref="E159:E160"/>
    <mergeCell ref="A161:A162"/>
    <mergeCell ref="A73:A74"/>
    <mergeCell ref="B73:B74"/>
    <mergeCell ref="C73:C74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D67:D68"/>
    <mergeCell ref="E67:E68"/>
    <mergeCell ref="D69:D70"/>
    <mergeCell ref="E69:E70"/>
    <mergeCell ref="D71:D72"/>
    <mergeCell ref="E71:E72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A69:A70"/>
    <mergeCell ref="B69:B70"/>
    <mergeCell ref="C69:C70"/>
    <mergeCell ref="B71:B72"/>
    <mergeCell ref="C71:C72"/>
    <mergeCell ref="A71:A72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5:D76"/>
    <mergeCell ref="E75:E76"/>
    <mergeCell ref="D77:D78"/>
    <mergeCell ref="E77:E78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F59:F60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A59:A60"/>
    <mergeCell ref="B59:B60"/>
    <mergeCell ref="C59:C60"/>
    <mergeCell ref="D59:D60"/>
    <mergeCell ref="E59:E60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6</v>
      </c>
      <c r="I9" s="25"/>
      <c r="J9" s="25"/>
      <c r="K9" s="26"/>
      <c r="L9" s="27"/>
      <c r="M9" s="26">
        <f t="shared" ref="M9:M271" si="0">N9+O9</f>
        <v>0</v>
      </c>
      <c r="N9" s="26"/>
      <c r="O9" s="28"/>
      <c r="P9" s="29">
        <v>7</v>
      </c>
      <c r="Q9" s="30">
        <v>18177.259999999998</v>
      </c>
      <c r="R9" s="205">
        <v>4</v>
      </c>
      <c r="S9" s="26">
        <f t="shared" ref="S9:S31" si="1">T9+U9</f>
        <v>7969.55</v>
      </c>
      <c r="T9" s="30">
        <v>7969.55</v>
      </c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6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6</v>
      </c>
      <c r="I13" s="62">
        <v>4</v>
      </c>
      <c r="J13" s="62">
        <v>6</v>
      </c>
      <c r="K13" s="30">
        <v>11503.8</v>
      </c>
      <c r="L13" s="27"/>
      <c r="M13" s="26">
        <f t="shared" si="0"/>
        <v>8982.8700000000008</v>
      </c>
      <c r="N13" s="26"/>
      <c r="O13" s="299">
        <v>8982.8700000000008</v>
      </c>
      <c r="P13" s="64">
        <v>13</v>
      </c>
      <c r="Q13" s="65">
        <v>52910.82</v>
      </c>
      <c r="R13" s="224">
        <v>6</v>
      </c>
      <c r="S13" s="50">
        <f t="shared" si="1"/>
        <v>32231.02</v>
      </c>
      <c r="T13" s="65">
        <v>13737.84</v>
      </c>
      <c r="U13" s="225">
        <v>18493.18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68">
        <v>15752.2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22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2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2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1</v>
      </c>
      <c r="J19" s="266">
        <v>1</v>
      </c>
      <c r="K19" s="79">
        <v>633.92999999999995</v>
      </c>
      <c r="L19" s="80"/>
      <c r="M19" s="81">
        <f t="shared" si="0"/>
        <v>0</v>
      </c>
      <c r="N19" s="81"/>
      <c r="O19" s="219"/>
      <c r="P19" s="267">
        <v>5</v>
      </c>
      <c r="Q19" s="79">
        <v>7296.52</v>
      </c>
      <c r="R19" s="268">
        <v>1</v>
      </c>
      <c r="S19" s="81">
        <f t="shared" si="1"/>
        <v>1045.98</v>
      </c>
      <c r="T19" s="79">
        <v>1045.98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2497.3000000000002</v>
      </c>
      <c r="T20" s="39"/>
      <c r="U20" s="45">
        <f>2497.3</f>
        <v>2497.3000000000002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40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4</v>
      </c>
      <c r="J21" s="203">
        <v>4</v>
      </c>
      <c r="K21" s="65">
        <v>4057.17</v>
      </c>
      <c r="L21" s="51"/>
      <c r="M21" s="50">
        <f t="shared" si="0"/>
        <v>0</v>
      </c>
      <c r="N21" s="50"/>
      <c r="O21" s="31"/>
      <c r="P21" s="53">
        <v>14</v>
      </c>
      <c r="Q21" s="30">
        <v>22822.54</v>
      </c>
      <c r="R21" s="205">
        <v>2</v>
      </c>
      <c r="S21" s="26">
        <f t="shared" si="1"/>
        <v>3564.82</v>
      </c>
      <c r="T21" s="30">
        <v>3564.82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6</v>
      </c>
      <c r="I23" s="62">
        <v>3</v>
      </c>
      <c r="J23" s="62">
        <v>3</v>
      </c>
      <c r="K23" s="62">
        <v>2554.9299999999998</v>
      </c>
      <c r="L23" s="27"/>
      <c r="M23" s="26">
        <f t="shared" si="0"/>
        <v>0</v>
      </c>
      <c r="N23" s="26"/>
      <c r="O23" s="31"/>
      <c r="P23" s="53">
        <v>3</v>
      </c>
      <c r="Q23" s="30">
        <v>4222.78</v>
      </c>
      <c r="R23" s="205">
        <v>1</v>
      </c>
      <c r="S23" s="26">
        <f t="shared" si="1"/>
        <v>1979.72</v>
      </c>
      <c r="T23" s="30">
        <v>1979.72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1</v>
      </c>
      <c r="Q24" s="68">
        <v>1921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9</v>
      </c>
      <c r="I25" s="203">
        <v>8</v>
      </c>
      <c r="J25" s="203">
        <v>11</v>
      </c>
      <c r="K25" s="65">
        <v>14144.25</v>
      </c>
      <c r="L25" s="51"/>
      <c r="M25" s="50">
        <f t="shared" si="0"/>
        <v>6428.44</v>
      </c>
      <c r="N25" s="50"/>
      <c r="O25" s="225">
        <v>6428.44</v>
      </c>
      <c r="P25" s="53">
        <v>11</v>
      </c>
      <c r="Q25" s="30">
        <v>15248.7</v>
      </c>
      <c r="R25" s="205">
        <v>4</v>
      </c>
      <c r="S25" s="26">
        <f t="shared" si="1"/>
        <v>12316.990000000002</v>
      </c>
      <c r="T25" s="30">
        <v>6437.97</v>
      </c>
      <c r="U25" s="243">
        <v>5879.02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4302</v>
      </c>
      <c r="T26" s="68">
        <v>4302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7"/>
      <c r="S27" s="26">
        <f t="shared" si="1"/>
        <v>2497.3000000000002</v>
      </c>
      <c r="T27" s="26"/>
      <c r="U27" s="243">
        <v>2497.3000000000002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14247.38</v>
      </c>
      <c r="T28" s="114">
        <v>14247.38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/>
      <c r="D29" s="374"/>
      <c r="E29" s="374"/>
      <c r="F29" s="22"/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0</v>
      </c>
      <c r="T29" s="26"/>
      <c r="U29" s="2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4</v>
      </c>
      <c r="I31" s="203">
        <v>2</v>
      </c>
      <c r="J31" s="203">
        <v>2</v>
      </c>
      <c r="K31" s="65">
        <v>2091.96</v>
      </c>
      <c r="L31" s="51"/>
      <c r="M31" s="50">
        <f t="shared" si="0"/>
        <v>0</v>
      </c>
      <c r="N31" s="50"/>
      <c r="O31" s="31"/>
      <c r="P31" s="108">
        <v>9</v>
      </c>
      <c r="Q31" s="65">
        <v>26163.18</v>
      </c>
      <c r="R31" s="224">
        <v>7</v>
      </c>
      <c r="S31" s="50">
        <f t="shared" si="1"/>
        <v>19258.7</v>
      </c>
      <c r="T31" s="65">
        <v>19258.7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44"/>
      <c r="M32" s="43">
        <f t="shared" si="0"/>
        <v>0</v>
      </c>
      <c r="N32" s="43"/>
      <c r="O32" s="45"/>
      <c r="P32" s="113">
        <v>3</v>
      </c>
      <c r="Q32" s="114">
        <v>4706.45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1" si="2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1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1</v>
      </c>
      <c r="S35" s="50">
        <f t="shared" si="2"/>
        <v>3647.94</v>
      </c>
      <c r="T35" s="65">
        <v>1893.47</v>
      </c>
      <c r="U35" s="225">
        <v>1754.47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20" t="s">
        <v>221</v>
      </c>
      <c r="G36" s="35" t="s">
        <v>28</v>
      </c>
      <c r="H36" s="66">
        <v>3</v>
      </c>
      <c r="I36" s="37">
        <v>1</v>
      </c>
      <c r="J36" s="37">
        <v>1</v>
      </c>
      <c r="K36" s="68">
        <v>1152.5999999999999</v>
      </c>
      <c r="L36" s="40"/>
      <c r="M36" s="39">
        <f t="shared" si="0"/>
        <v>1152.5999999999999</v>
      </c>
      <c r="N36" s="68"/>
      <c r="O36" s="41">
        <f>1152.6</f>
        <v>1152.5999999999999</v>
      </c>
      <c r="P36" s="67">
        <v>2</v>
      </c>
      <c r="Q36" s="68">
        <v>9182.3799999999992</v>
      </c>
      <c r="R36" s="40"/>
      <c r="S36" s="39">
        <f t="shared" si="2"/>
        <v>1428.75</v>
      </c>
      <c r="T36" s="68">
        <v>276.14999999999998</v>
      </c>
      <c r="U36" s="41">
        <f>1152.6</f>
        <v>1152.5999999999999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53</v>
      </c>
      <c r="C37" s="381" t="s">
        <v>46</v>
      </c>
      <c r="D37" s="381" t="s">
        <v>54</v>
      </c>
      <c r="E37" s="381" t="s">
        <v>55</v>
      </c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123"/>
      <c r="Q37" s="50"/>
      <c r="R37" s="51"/>
      <c r="S37" s="50">
        <f t="shared" si="2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6"/>
      <c r="G38" s="227" t="s">
        <v>25</v>
      </c>
      <c r="H38" s="272"/>
      <c r="I38" s="261"/>
      <c r="J38" s="261"/>
      <c r="K38" s="211"/>
      <c r="L38" s="210"/>
      <c r="M38" s="211">
        <f t="shared" si="0"/>
        <v>0</v>
      </c>
      <c r="N38" s="211"/>
      <c r="O38" s="212"/>
      <c r="P38" s="273"/>
      <c r="Q38" s="211"/>
      <c r="R38" s="210"/>
      <c r="S38" s="211">
        <f t="shared" si="2"/>
        <v>0</v>
      </c>
      <c r="T38" s="211"/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372"/>
      <c r="B39" s="374" t="s">
        <v>56</v>
      </c>
      <c r="C39" s="374" t="s">
        <v>39</v>
      </c>
      <c r="D39" s="374" t="s">
        <v>281</v>
      </c>
      <c r="E39" s="374" t="s">
        <v>58</v>
      </c>
      <c r="F39" s="204" t="s">
        <v>283</v>
      </c>
      <c r="G39" s="176" t="s">
        <v>24</v>
      </c>
      <c r="H39" s="300"/>
      <c r="I39" s="25"/>
      <c r="J39" s="25"/>
      <c r="K39" s="26"/>
      <c r="L39" s="27"/>
      <c r="M39" s="26">
        <f t="shared" si="0"/>
        <v>0</v>
      </c>
      <c r="N39" s="26"/>
      <c r="O39" s="100"/>
      <c r="P39" s="53">
        <v>3</v>
      </c>
      <c r="Q39" s="30">
        <v>4264.95</v>
      </c>
      <c r="R39" s="205">
        <v>2</v>
      </c>
      <c r="S39" s="26">
        <f t="shared" si="2"/>
        <v>2055.75</v>
      </c>
      <c r="T39" s="30">
        <v>2055.75</v>
      </c>
      <c r="U39" s="243"/>
      <c r="V39" s="4"/>
      <c r="W39" s="124"/>
      <c r="X39" s="124"/>
      <c r="Y39" s="124"/>
      <c r="Z39" s="124"/>
      <c r="AA39" s="124"/>
      <c r="AB39" s="124"/>
      <c r="AC39" s="124"/>
      <c r="AD39" s="124"/>
      <c r="AE39" s="124"/>
      <c r="AF39" s="125"/>
    </row>
    <row r="40" spans="1:32" ht="15.75" customHeight="1">
      <c r="A40" s="373"/>
      <c r="B40" s="375"/>
      <c r="C40" s="375"/>
      <c r="D40" s="375"/>
      <c r="E40" s="375"/>
      <c r="F40" s="34"/>
      <c r="G40" s="229" t="s">
        <v>28</v>
      </c>
      <c r="H40" s="301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2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6"/>
      <c r="B41" s="377" t="s">
        <v>59</v>
      </c>
      <c r="C41" s="377" t="s">
        <v>22</v>
      </c>
      <c r="D41" s="377"/>
      <c r="E41" s="377" t="s">
        <v>27</v>
      </c>
      <c r="F41" s="232" t="s">
        <v>261</v>
      </c>
      <c r="G41" s="95" t="s">
        <v>24</v>
      </c>
      <c r="H41" s="265">
        <v>7</v>
      </c>
      <c r="I41" s="266">
        <v>5</v>
      </c>
      <c r="J41" s="266">
        <v>5</v>
      </c>
      <c r="K41" s="79">
        <v>5196.7</v>
      </c>
      <c r="L41" s="80"/>
      <c r="M41" s="81">
        <f t="shared" si="0"/>
        <v>0</v>
      </c>
      <c r="N41" s="81"/>
      <c r="O41" s="97"/>
      <c r="P41" s="53">
        <v>20</v>
      </c>
      <c r="Q41" s="30">
        <v>79577.89</v>
      </c>
      <c r="R41" s="205">
        <v>8</v>
      </c>
      <c r="S41" s="26">
        <f t="shared" si="2"/>
        <v>44991.43</v>
      </c>
      <c r="T41" s="30">
        <v>44991.43</v>
      </c>
      <c r="U41" s="241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5.75" customHeight="1">
      <c r="A42" s="379"/>
      <c r="B42" s="380"/>
      <c r="C42" s="380"/>
      <c r="D42" s="380"/>
      <c r="E42" s="380"/>
      <c r="F42" s="226"/>
      <c r="G42" s="227" t="s">
        <v>28</v>
      </c>
      <c r="H42" s="272"/>
      <c r="I42" s="261"/>
      <c r="J42" s="261"/>
      <c r="K42" s="211"/>
      <c r="L42" s="210"/>
      <c r="M42" s="211">
        <f t="shared" si="0"/>
        <v>0</v>
      </c>
      <c r="N42" s="211"/>
      <c r="O42" s="274"/>
      <c r="P42" s="273"/>
      <c r="Q42" s="211"/>
      <c r="R42" s="210"/>
      <c r="S42" s="211">
        <f t="shared" si="2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357</v>
      </c>
      <c r="C43" s="374" t="s">
        <v>39</v>
      </c>
      <c r="D43" s="374" t="s">
        <v>388</v>
      </c>
      <c r="E43" s="377" t="s">
        <v>27</v>
      </c>
      <c r="F43" s="204" t="s">
        <v>389</v>
      </c>
      <c r="G43" s="213" t="s">
        <v>24</v>
      </c>
      <c r="H43" s="61">
        <v>1</v>
      </c>
      <c r="I43" s="25"/>
      <c r="J43" s="25"/>
      <c r="K43" s="26"/>
      <c r="L43" s="27"/>
      <c r="M43" s="26">
        <f t="shared" si="0"/>
        <v>0</v>
      </c>
      <c r="N43" s="26"/>
      <c r="O43" s="28"/>
      <c r="P43" s="214"/>
      <c r="Q43" s="30"/>
      <c r="R43" s="27"/>
      <c r="S43" s="26">
        <f t="shared" si="2"/>
        <v>0</v>
      </c>
      <c r="T43" s="26"/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80"/>
      <c r="F44" s="233"/>
      <c r="G44" s="279" t="s">
        <v>28</v>
      </c>
      <c r="H44" s="302">
        <v>3</v>
      </c>
      <c r="I44" s="261"/>
      <c r="J44" s="261"/>
      <c r="K44" s="211"/>
      <c r="L44" s="210"/>
      <c r="M44" s="211">
        <f t="shared" si="0"/>
        <v>0</v>
      </c>
      <c r="N44" s="211"/>
      <c r="O44" s="212"/>
      <c r="P44" s="280"/>
      <c r="Q44" s="209"/>
      <c r="R44" s="210"/>
      <c r="S44" s="211">
        <f t="shared" si="2"/>
        <v>0</v>
      </c>
      <c r="T44" s="211"/>
      <c r="U44" s="263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390</v>
      </c>
      <c r="C45" s="374" t="s">
        <v>22</v>
      </c>
      <c r="D45" s="374"/>
      <c r="E45" s="374" t="s">
        <v>391</v>
      </c>
      <c r="F45" s="204" t="s">
        <v>392</v>
      </c>
      <c r="G45" s="213" t="s">
        <v>24</v>
      </c>
      <c r="H45" s="61">
        <v>1</v>
      </c>
      <c r="I45" s="25"/>
      <c r="J45" s="25"/>
      <c r="K45" s="26"/>
      <c r="L45" s="27"/>
      <c r="M45" s="26">
        <f t="shared" si="0"/>
        <v>0</v>
      </c>
      <c r="N45" s="26"/>
      <c r="O45" s="28"/>
      <c r="P45" s="275"/>
      <c r="Q45" s="26"/>
      <c r="R45" s="27"/>
      <c r="S45" s="26">
        <f t="shared" si="2"/>
        <v>0</v>
      </c>
      <c r="T45" s="26"/>
      <c r="U45" s="2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34"/>
      <c r="G46" s="215" t="s">
        <v>28</v>
      </c>
      <c r="H46" s="106"/>
      <c r="I46" s="38"/>
      <c r="J46" s="38"/>
      <c r="K46" s="39"/>
      <c r="L46" s="40"/>
      <c r="M46" s="39">
        <f t="shared" si="0"/>
        <v>0</v>
      </c>
      <c r="N46" s="39"/>
      <c r="O46" s="41"/>
      <c r="P46" s="276"/>
      <c r="Q46" s="39"/>
      <c r="R46" s="40"/>
      <c r="S46" s="39">
        <f t="shared" si="2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6"/>
      <c r="B47" s="377" t="s">
        <v>358</v>
      </c>
      <c r="C47" s="377"/>
      <c r="D47" s="377"/>
      <c r="E47" s="377"/>
      <c r="F47" s="76"/>
      <c r="G47" s="73" t="s">
        <v>24</v>
      </c>
      <c r="H47" s="74"/>
      <c r="I47" s="96"/>
      <c r="J47" s="96"/>
      <c r="K47" s="81"/>
      <c r="L47" s="80"/>
      <c r="M47" s="81">
        <f t="shared" si="0"/>
        <v>0</v>
      </c>
      <c r="N47" s="81"/>
      <c r="O47" s="82"/>
      <c r="P47" s="303"/>
      <c r="Q47" s="81"/>
      <c r="R47" s="80"/>
      <c r="S47" s="81">
        <f t="shared" si="2"/>
        <v>0</v>
      </c>
      <c r="T47" s="81"/>
      <c r="U47" s="82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17">
        <v>1</v>
      </c>
      <c r="I48" s="37">
        <v>1</v>
      </c>
      <c r="J48" s="37">
        <v>1</v>
      </c>
      <c r="K48" s="68">
        <v>576.29999999999995</v>
      </c>
      <c r="L48" s="40"/>
      <c r="M48" s="39">
        <f t="shared" si="0"/>
        <v>0</v>
      </c>
      <c r="N48" s="39"/>
      <c r="O48" s="41"/>
      <c r="P48" s="276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60</v>
      </c>
      <c r="C49" s="374" t="s">
        <v>39</v>
      </c>
      <c r="D49" s="374" t="s">
        <v>61</v>
      </c>
      <c r="E49" s="383" t="s">
        <v>27</v>
      </c>
      <c r="F49" s="60"/>
      <c r="G49" s="176" t="s">
        <v>24</v>
      </c>
      <c r="H49" s="74"/>
      <c r="I49" s="96"/>
      <c r="J49" s="96"/>
      <c r="K49" s="81"/>
      <c r="L49" s="80"/>
      <c r="M49" s="81">
        <f t="shared" si="0"/>
        <v>0</v>
      </c>
      <c r="N49" s="81"/>
      <c r="O49" s="97"/>
      <c r="P49" s="277"/>
      <c r="Q49" s="81"/>
      <c r="R49" s="80"/>
      <c r="S49" s="81">
        <f t="shared" si="2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401"/>
      <c r="F50" s="34"/>
      <c r="G50" s="229" t="s">
        <v>28</v>
      </c>
      <c r="H50" s="102"/>
      <c r="I50" s="57"/>
      <c r="J50" s="57"/>
      <c r="K50" s="43"/>
      <c r="L50" s="44"/>
      <c r="M50" s="43">
        <f t="shared" si="0"/>
        <v>0</v>
      </c>
      <c r="N50" s="43"/>
      <c r="O50" s="58"/>
      <c r="P50" s="59"/>
      <c r="Q50" s="39"/>
      <c r="R50" s="40"/>
      <c r="S50" s="39">
        <f t="shared" si="2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62</v>
      </c>
      <c r="C51" s="374" t="s">
        <v>39</v>
      </c>
      <c r="D51" s="374" t="s">
        <v>63</v>
      </c>
      <c r="E51" s="374" t="s">
        <v>27</v>
      </c>
      <c r="F51" s="232" t="s">
        <v>359</v>
      </c>
      <c r="G51" s="23" t="s">
        <v>24</v>
      </c>
      <c r="H51" s="24">
        <v>4</v>
      </c>
      <c r="I51" s="62">
        <v>2</v>
      </c>
      <c r="J51" s="62">
        <v>2</v>
      </c>
      <c r="K51" s="30">
        <v>1889.58</v>
      </c>
      <c r="L51" s="27"/>
      <c r="M51" s="26">
        <f t="shared" si="0"/>
        <v>0</v>
      </c>
      <c r="N51" s="26"/>
      <c r="O51" s="31"/>
      <c r="P51" s="108">
        <v>2</v>
      </c>
      <c r="Q51" s="65">
        <v>3734.91</v>
      </c>
      <c r="R51" s="224">
        <v>2</v>
      </c>
      <c r="S51" s="50">
        <f t="shared" si="2"/>
        <v>3734.91</v>
      </c>
      <c r="T51" s="65">
        <v>3734.91</v>
      </c>
      <c r="U51" s="3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34"/>
      <c r="G52" s="35" t="s">
        <v>28</v>
      </c>
      <c r="H52" s="66">
        <v>4</v>
      </c>
      <c r="I52" s="38"/>
      <c r="J52" s="38"/>
      <c r="K52" s="39"/>
      <c r="L52" s="40"/>
      <c r="M52" s="39">
        <f t="shared" si="0"/>
        <v>0</v>
      </c>
      <c r="N52" s="39"/>
      <c r="O52" s="41"/>
      <c r="P52" s="115">
        <v>5</v>
      </c>
      <c r="Q52" s="68">
        <v>7947.9</v>
      </c>
      <c r="R52" s="40"/>
      <c r="S52" s="39">
        <f t="shared" si="2"/>
        <v>2785.5</v>
      </c>
      <c r="T52" s="68">
        <v>2209.1999999999998</v>
      </c>
      <c r="U52" s="41">
        <f>576.3</f>
        <v>576.29999999999995</v>
      </c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66</v>
      </c>
      <c r="C53" s="374" t="s">
        <v>22</v>
      </c>
      <c r="D53" s="374"/>
      <c r="E53" s="374" t="s">
        <v>67</v>
      </c>
      <c r="F53" s="223" t="s">
        <v>360</v>
      </c>
      <c r="G53" s="176" t="s">
        <v>24</v>
      </c>
      <c r="H53" s="278">
        <v>1</v>
      </c>
      <c r="I53" s="203">
        <v>1</v>
      </c>
      <c r="J53" s="203">
        <v>1</v>
      </c>
      <c r="K53" s="65">
        <v>1973.25</v>
      </c>
      <c r="L53" s="51"/>
      <c r="M53" s="50">
        <f t="shared" si="0"/>
        <v>0</v>
      </c>
      <c r="N53" s="50"/>
      <c r="O53" s="31"/>
      <c r="P53" s="53">
        <v>2</v>
      </c>
      <c r="Q53" s="30">
        <v>5899.35</v>
      </c>
      <c r="R53" s="27"/>
      <c r="S53" s="26">
        <f t="shared" si="2"/>
        <v>1854.88</v>
      </c>
      <c r="T53" s="26"/>
      <c r="U53" s="243">
        <v>1854.88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105"/>
      <c r="G54" s="229" t="s">
        <v>28</v>
      </c>
      <c r="H54" s="230"/>
      <c r="I54" s="57"/>
      <c r="J54" s="57"/>
      <c r="K54" s="43"/>
      <c r="L54" s="44"/>
      <c r="M54" s="43">
        <f t="shared" si="0"/>
        <v>0</v>
      </c>
      <c r="N54" s="43"/>
      <c r="O54" s="41"/>
      <c r="P54" s="59"/>
      <c r="Q54" s="39"/>
      <c r="R54" s="40"/>
      <c r="S54" s="39">
        <f t="shared" si="2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6"/>
      <c r="B55" s="377" t="s">
        <v>68</v>
      </c>
      <c r="C55" s="377" t="s">
        <v>39</v>
      </c>
      <c r="D55" s="377" t="s">
        <v>69</v>
      </c>
      <c r="E55" s="377" t="s">
        <v>65</v>
      </c>
      <c r="F55" s="223" t="s">
        <v>263</v>
      </c>
      <c r="G55" s="95" t="s">
        <v>24</v>
      </c>
      <c r="H55" s="61">
        <v>6</v>
      </c>
      <c r="I55" s="62">
        <v>5</v>
      </c>
      <c r="J55" s="62">
        <v>6</v>
      </c>
      <c r="K55" s="30">
        <v>10625.63</v>
      </c>
      <c r="L55" s="27"/>
      <c r="M55" s="26">
        <f t="shared" si="0"/>
        <v>0</v>
      </c>
      <c r="N55" s="26"/>
      <c r="O55" s="31"/>
      <c r="P55" s="53">
        <v>6</v>
      </c>
      <c r="Q55" s="30">
        <v>45189.01</v>
      </c>
      <c r="R55" s="205">
        <v>1</v>
      </c>
      <c r="S55" s="26">
        <f t="shared" si="2"/>
        <v>1997.49</v>
      </c>
      <c r="T55" s="30">
        <v>1997.49</v>
      </c>
      <c r="U55" s="225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232" t="s">
        <v>222</v>
      </c>
      <c r="G56" s="35" t="s">
        <v>28</v>
      </c>
      <c r="H56" s="117">
        <v>4</v>
      </c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2"/>
        <v>0</v>
      </c>
      <c r="T56" s="39"/>
      <c r="U56" s="45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70</v>
      </c>
      <c r="C57" s="381" t="s">
        <v>39</v>
      </c>
      <c r="D57" s="381" t="s">
        <v>284</v>
      </c>
      <c r="E57" s="381" t="s">
        <v>55</v>
      </c>
      <c r="F57" s="223" t="s">
        <v>285</v>
      </c>
      <c r="G57" s="47" t="s">
        <v>24</v>
      </c>
      <c r="H57" s="48">
        <v>9</v>
      </c>
      <c r="I57" s="203">
        <v>3</v>
      </c>
      <c r="J57" s="203">
        <v>4</v>
      </c>
      <c r="K57" s="65">
        <v>3534.63</v>
      </c>
      <c r="L57" s="51"/>
      <c r="M57" s="50">
        <f t="shared" si="0"/>
        <v>0</v>
      </c>
      <c r="N57" s="50"/>
      <c r="O57" s="31"/>
      <c r="P57" s="53">
        <v>31</v>
      </c>
      <c r="Q57" s="30">
        <v>70755.789999999994</v>
      </c>
      <c r="R57" s="205">
        <v>12</v>
      </c>
      <c r="S57" s="26">
        <f t="shared" si="2"/>
        <v>26448.86</v>
      </c>
      <c r="T57" s="30">
        <v>26448.86</v>
      </c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226"/>
      <c r="G58" s="227" t="s">
        <v>25</v>
      </c>
      <c r="H58" s="272"/>
      <c r="I58" s="261"/>
      <c r="J58" s="261"/>
      <c r="K58" s="211"/>
      <c r="L58" s="210"/>
      <c r="M58" s="211">
        <f t="shared" si="0"/>
        <v>0</v>
      </c>
      <c r="N58" s="211"/>
      <c r="O58" s="212"/>
      <c r="P58" s="273"/>
      <c r="Q58" s="211"/>
      <c r="R58" s="210"/>
      <c r="S58" s="211">
        <f t="shared" si="2"/>
        <v>0</v>
      </c>
      <c r="T58" s="211"/>
      <c r="U58" s="212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361</v>
      </c>
      <c r="C59" s="374" t="s">
        <v>39</v>
      </c>
      <c r="D59" s="374" t="s">
        <v>393</v>
      </c>
      <c r="E59" s="377" t="s">
        <v>27</v>
      </c>
      <c r="F59" s="204" t="s">
        <v>394</v>
      </c>
      <c r="G59" s="213" t="s">
        <v>24</v>
      </c>
      <c r="H59" s="24"/>
      <c r="I59" s="62"/>
      <c r="J59" s="62"/>
      <c r="K59" s="30"/>
      <c r="L59" s="27"/>
      <c r="M59" s="26">
        <f t="shared" si="0"/>
        <v>0</v>
      </c>
      <c r="N59" s="26"/>
      <c r="O59" s="28"/>
      <c r="P59" s="214"/>
      <c r="Q59" s="30"/>
      <c r="R59" s="27"/>
      <c r="S59" s="26">
        <f t="shared" si="2"/>
        <v>0</v>
      </c>
      <c r="T59" s="26"/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80"/>
      <c r="F60" s="247"/>
      <c r="G60" s="279" t="s">
        <v>28</v>
      </c>
      <c r="H60" s="207">
        <v>2</v>
      </c>
      <c r="I60" s="208"/>
      <c r="J60" s="208"/>
      <c r="K60" s="209"/>
      <c r="L60" s="210"/>
      <c r="M60" s="211">
        <f t="shared" si="0"/>
        <v>0</v>
      </c>
      <c r="N60" s="211"/>
      <c r="O60" s="212"/>
      <c r="P60" s="280"/>
      <c r="Q60" s="209"/>
      <c r="R60" s="210"/>
      <c r="S60" s="211">
        <f t="shared" si="2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362</v>
      </c>
      <c r="C61" s="374" t="s">
        <v>39</v>
      </c>
      <c r="D61" s="374" t="s">
        <v>395</v>
      </c>
      <c r="E61" s="377" t="s">
        <v>27</v>
      </c>
      <c r="F61" s="204" t="s">
        <v>396</v>
      </c>
      <c r="G61" s="176" t="s">
        <v>24</v>
      </c>
      <c r="H61" s="248">
        <v>1</v>
      </c>
      <c r="I61" s="62"/>
      <c r="J61" s="62"/>
      <c r="K61" s="30"/>
      <c r="L61" s="27"/>
      <c r="M61" s="26">
        <f t="shared" si="0"/>
        <v>0</v>
      </c>
      <c r="N61" s="26"/>
      <c r="O61" s="28"/>
      <c r="P61" s="214"/>
      <c r="Q61" s="30"/>
      <c r="R61" s="27"/>
      <c r="S61" s="26">
        <f t="shared" si="2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34"/>
      <c r="G62" s="229" t="s">
        <v>28</v>
      </c>
      <c r="H62" s="258">
        <v>4</v>
      </c>
      <c r="I62" s="37"/>
      <c r="J62" s="37"/>
      <c r="K62" s="68"/>
      <c r="L62" s="40"/>
      <c r="M62" s="39">
        <f t="shared" si="0"/>
        <v>0</v>
      </c>
      <c r="N62" s="39"/>
      <c r="O62" s="41"/>
      <c r="P62" s="217"/>
      <c r="Q62" s="68"/>
      <c r="R62" s="40"/>
      <c r="S62" s="39">
        <f t="shared" si="2"/>
        <v>0</v>
      </c>
      <c r="T62" s="39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6"/>
      <c r="B63" s="377" t="s">
        <v>72</v>
      </c>
      <c r="C63" s="377" t="s">
        <v>39</v>
      </c>
      <c r="D63" s="377" t="s">
        <v>363</v>
      </c>
      <c r="E63" s="377" t="s">
        <v>27</v>
      </c>
      <c r="F63" s="232" t="s">
        <v>364</v>
      </c>
      <c r="G63" s="95" t="s">
        <v>24</v>
      </c>
      <c r="H63" s="281">
        <v>3</v>
      </c>
      <c r="I63" s="266">
        <v>1</v>
      </c>
      <c r="J63" s="266">
        <v>1</v>
      </c>
      <c r="K63" s="79">
        <v>768.4</v>
      </c>
      <c r="L63" s="80"/>
      <c r="M63" s="81">
        <f t="shared" si="0"/>
        <v>0</v>
      </c>
      <c r="N63" s="81"/>
      <c r="O63" s="219"/>
      <c r="P63" s="267">
        <v>4</v>
      </c>
      <c r="Q63" s="79">
        <v>6405.31</v>
      </c>
      <c r="R63" s="80"/>
      <c r="S63" s="81">
        <f t="shared" si="2"/>
        <v>3104.71</v>
      </c>
      <c r="T63" s="81"/>
      <c r="U63" s="269">
        <v>3104.71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9"/>
      <c r="B64" s="380"/>
      <c r="C64" s="380"/>
      <c r="D64" s="380"/>
      <c r="E64" s="380"/>
      <c r="F64" s="233" t="s">
        <v>223</v>
      </c>
      <c r="G64" s="227" t="s">
        <v>28</v>
      </c>
      <c r="H64" s="112">
        <v>3</v>
      </c>
      <c r="I64" s="130">
        <v>1</v>
      </c>
      <c r="J64" s="130">
        <v>1</v>
      </c>
      <c r="K64" s="114">
        <v>1344.7</v>
      </c>
      <c r="L64" s="128"/>
      <c r="M64" s="129">
        <f t="shared" si="0"/>
        <v>0</v>
      </c>
      <c r="N64" s="43"/>
      <c r="O64" s="45"/>
      <c r="P64" s="103"/>
      <c r="Q64" s="43"/>
      <c r="R64" s="128"/>
      <c r="S64" s="129">
        <f t="shared" si="2"/>
        <v>0</v>
      </c>
      <c r="T64" s="43"/>
      <c r="U64" s="45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73</v>
      </c>
      <c r="C65" s="374" t="s">
        <v>22</v>
      </c>
      <c r="D65" s="374"/>
      <c r="E65" s="374" t="s">
        <v>27</v>
      </c>
      <c r="F65" s="204" t="s">
        <v>209</v>
      </c>
      <c r="G65" s="176" t="s">
        <v>24</v>
      </c>
      <c r="H65" s="61">
        <v>3</v>
      </c>
      <c r="I65" s="62">
        <v>1</v>
      </c>
      <c r="J65" s="62">
        <v>1</v>
      </c>
      <c r="K65" s="30">
        <v>950.9</v>
      </c>
      <c r="L65" s="27"/>
      <c r="M65" s="26">
        <f t="shared" si="0"/>
        <v>0</v>
      </c>
      <c r="N65" s="26"/>
      <c r="O65" s="28"/>
      <c r="P65" s="29">
        <v>8</v>
      </c>
      <c r="Q65" s="30">
        <v>15651.3</v>
      </c>
      <c r="R65" s="205">
        <v>5</v>
      </c>
      <c r="S65" s="26">
        <f t="shared" si="2"/>
        <v>13580.02</v>
      </c>
      <c r="T65" s="30">
        <v>9062.41</v>
      </c>
      <c r="U65" s="241">
        <v>4517.6099999999997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05"/>
      <c r="G66" s="229" t="s">
        <v>28</v>
      </c>
      <c r="H66" s="106"/>
      <c r="I66" s="38"/>
      <c r="J66" s="38"/>
      <c r="K66" s="39"/>
      <c r="L66" s="40"/>
      <c r="M66" s="39">
        <f t="shared" si="0"/>
        <v>0</v>
      </c>
      <c r="N66" s="39"/>
      <c r="O66" s="41"/>
      <c r="P66" s="69"/>
      <c r="Q66" s="39"/>
      <c r="R66" s="40"/>
      <c r="S66" s="39">
        <f t="shared" si="2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6"/>
      <c r="B67" s="377" t="s">
        <v>74</v>
      </c>
      <c r="C67" s="377" t="s">
        <v>39</v>
      </c>
      <c r="D67" s="377" t="s">
        <v>264</v>
      </c>
      <c r="E67" s="377" t="s">
        <v>27</v>
      </c>
      <c r="F67" s="223" t="s">
        <v>265</v>
      </c>
      <c r="G67" s="95" t="s">
        <v>24</v>
      </c>
      <c r="H67" s="48">
        <v>2</v>
      </c>
      <c r="I67" s="49"/>
      <c r="J67" s="49"/>
      <c r="K67" s="50"/>
      <c r="L67" s="51"/>
      <c r="M67" s="50">
        <f t="shared" si="0"/>
        <v>0</v>
      </c>
      <c r="N67" s="50"/>
      <c r="O67" s="31"/>
      <c r="P67" s="108">
        <v>12</v>
      </c>
      <c r="Q67" s="65">
        <v>44651.57</v>
      </c>
      <c r="R67" s="224">
        <v>5</v>
      </c>
      <c r="S67" s="50">
        <f t="shared" si="2"/>
        <v>19918.689999999999</v>
      </c>
      <c r="T67" s="65">
        <v>19918.689999999999</v>
      </c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221" t="s">
        <v>286</v>
      </c>
      <c r="G68" s="55" t="s">
        <v>28</v>
      </c>
      <c r="H68" s="56">
        <v>1</v>
      </c>
      <c r="I68" s="130"/>
      <c r="J68" s="130"/>
      <c r="K68" s="43"/>
      <c r="L68" s="44"/>
      <c r="M68" s="43">
        <f t="shared" si="0"/>
        <v>0</v>
      </c>
      <c r="N68" s="43"/>
      <c r="O68" s="41"/>
      <c r="P68" s="113">
        <v>1</v>
      </c>
      <c r="Q68" s="114">
        <v>2881.5</v>
      </c>
      <c r="R68" s="44"/>
      <c r="S68" s="43">
        <f t="shared" si="2"/>
        <v>2881.5</v>
      </c>
      <c r="T68" s="114">
        <v>2881.5</v>
      </c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76</v>
      </c>
      <c r="C69" s="374" t="s">
        <v>39</v>
      </c>
      <c r="D69" s="374" t="s">
        <v>397</v>
      </c>
      <c r="E69" s="374" t="s">
        <v>77</v>
      </c>
      <c r="F69" s="223" t="s">
        <v>398</v>
      </c>
      <c r="G69" s="23" t="s">
        <v>24</v>
      </c>
      <c r="H69" s="61">
        <v>5</v>
      </c>
      <c r="I69" s="62">
        <v>2</v>
      </c>
      <c r="J69" s="62">
        <v>3</v>
      </c>
      <c r="K69" s="30">
        <v>6433.04</v>
      </c>
      <c r="L69" s="27"/>
      <c r="M69" s="26">
        <f t="shared" si="0"/>
        <v>0</v>
      </c>
      <c r="N69" s="26"/>
      <c r="O69" s="31"/>
      <c r="P69" s="29">
        <v>4</v>
      </c>
      <c r="Q69" s="30">
        <v>2984.28</v>
      </c>
      <c r="R69" s="27"/>
      <c r="S69" s="26">
        <f t="shared" si="2"/>
        <v>0</v>
      </c>
      <c r="T69" s="26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287</v>
      </c>
      <c r="G70" s="35" t="s">
        <v>28</v>
      </c>
      <c r="H70" s="117">
        <v>3</v>
      </c>
      <c r="I70" s="38"/>
      <c r="J70" s="38"/>
      <c r="K70" s="39"/>
      <c r="L70" s="40"/>
      <c r="M70" s="39">
        <f t="shared" si="0"/>
        <v>0</v>
      </c>
      <c r="N70" s="39"/>
      <c r="O70" s="41"/>
      <c r="P70" s="69"/>
      <c r="Q70" s="39"/>
      <c r="R70" s="40"/>
      <c r="S70" s="39">
        <f t="shared" si="2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82"/>
      <c r="B71" s="381" t="s">
        <v>78</v>
      </c>
      <c r="C71" s="381"/>
      <c r="D71" s="381"/>
      <c r="E71" s="381"/>
      <c r="F71" s="46"/>
      <c r="G71" s="47" t="s">
        <v>24</v>
      </c>
      <c r="H71" s="48">
        <v>1</v>
      </c>
      <c r="I71" s="203">
        <v>1</v>
      </c>
      <c r="J71" s="203">
        <v>1</v>
      </c>
      <c r="K71" s="65">
        <v>633.92999999999995</v>
      </c>
      <c r="L71" s="51"/>
      <c r="M71" s="50">
        <f t="shared" si="0"/>
        <v>0</v>
      </c>
      <c r="N71" s="50"/>
      <c r="O71" s="31"/>
      <c r="P71" s="123"/>
      <c r="Q71" s="50"/>
      <c r="R71" s="51"/>
      <c r="S71" s="50">
        <f t="shared" si="2"/>
        <v>0</v>
      </c>
      <c r="T71" s="50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126"/>
      <c r="G72" s="55" t="s">
        <v>28</v>
      </c>
      <c r="H72" s="131"/>
      <c r="I72" s="57"/>
      <c r="J72" s="57"/>
      <c r="K72" s="43"/>
      <c r="L72" s="44"/>
      <c r="M72" s="43">
        <f t="shared" si="0"/>
        <v>0</v>
      </c>
      <c r="N72" s="43"/>
      <c r="O72" s="41"/>
      <c r="P72" s="103"/>
      <c r="Q72" s="43"/>
      <c r="R72" s="44"/>
      <c r="S72" s="43">
        <f t="shared" si="2"/>
        <v>0</v>
      </c>
      <c r="T72" s="43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79</v>
      </c>
      <c r="C73" s="374" t="s">
        <v>22</v>
      </c>
      <c r="D73" s="374"/>
      <c r="E73" s="374" t="s">
        <v>50</v>
      </c>
      <c r="F73" s="22"/>
      <c r="G73" s="23" t="s">
        <v>24</v>
      </c>
      <c r="H73" s="61">
        <v>5</v>
      </c>
      <c r="I73" s="25"/>
      <c r="J73" s="25"/>
      <c r="K73" s="26"/>
      <c r="L73" s="27"/>
      <c r="M73" s="26">
        <f t="shared" si="0"/>
        <v>0</v>
      </c>
      <c r="N73" s="26"/>
      <c r="O73" s="31"/>
      <c r="P73" s="53">
        <v>1</v>
      </c>
      <c r="Q73" s="30">
        <v>1505.87</v>
      </c>
      <c r="R73" s="27"/>
      <c r="S73" s="26">
        <f t="shared" si="2"/>
        <v>0</v>
      </c>
      <c r="T73" s="26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34"/>
      <c r="G74" s="35" t="s">
        <v>25</v>
      </c>
      <c r="H74" s="117">
        <v>2</v>
      </c>
      <c r="I74" s="38"/>
      <c r="J74" s="38"/>
      <c r="K74" s="39"/>
      <c r="L74" s="40"/>
      <c r="M74" s="39">
        <f t="shared" si="0"/>
        <v>0</v>
      </c>
      <c r="N74" s="39"/>
      <c r="O74" s="41"/>
      <c r="P74" s="59"/>
      <c r="Q74" s="39"/>
      <c r="R74" s="40"/>
      <c r="S74" s="39">
        <f t="shared" si="2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80</v>
      </c>
      <c r="C75" s="381" t="s">
        <v>22</v>
      </c>
      <c r="D75" s="381"/>
      <c r="E75" s="381" t="s">
        <v>67</v>
      </c>
      <c r="F75" s="223" t="s">
        <v>399</v>
      </c>
      <c r="G75" s="47" t="s">
        <v>24</v>
      </c>
      <c r="H75" s="48">
        <v>7</v>
      </c>
      <c r="I75" s="203">
        <v>4</v>
      </c>
      <c r="J75" s="203">
        <v>4</v>
      </c>
      <c r="K75" s="65">
        <v>3878.5</v>
      </c>
      <c r="L75" s="51"/>
      <c r="M75" s="50">
        <f t="shared" si="0"/>
        <v>0</v>
      </c>
      <c r="N75" s="50"/>
      <c r="O75" s="31"/>
      <c r="P75" s="108">
        <v>6</v>
      </c>
      <c r="Q75" s="65">
        <v>19829.79</v>
      </c>
      <c r="R75" s="51"/>
      <c r="S75" s="50">
        <f t="shared" si="2"/>
        <v>16789.810000000001</v>
      </c>
      <c r="T75" s="50"/>
      <c r="U75" s="225">
        <v>16789.810000000001</v>
      </c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9"/>
      <c r="B76" s="380"/>
      <c r="C76" s="380"/>
      <c r="D76" s="380"/>
      <c r="E76" s="380"/>
      <c r="F76" s="226"/>
      <c r="G76" s="227" t="s">
        <v>28</v>
      </c>
      <c r="H76" s="118"/>
      <c r="I76" s="57"/>
      <c r="J76" s="57"/>
      <c r="K76" s="43"/>
      <c r="L76" s="44"/>
      <c r="M76" s="43">
        <f t="shared" si="0"/>
        <v>0</v>
      </c>
      <c r="N76" s="43"/>
      <c r="O76" s="41"/>
      <c r="P76" s="103"/>
      <c r="Q76" s="43"/>
      <c r="R76" s="44"/>
      <c r="S76" s="43">
        <f t="shared" si="2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81</v>
      </c>
      <c r="C77" s="374" t="s">
        <v>39</v>
      </c>
      <c r="D77" s="374" t="s">
        <v>224</v>
      </c>
      <c r="E77" s="374" t="s">
        <v>65</v>
      </c>
      <c r="F77" s="204" t="s">
        <v>225</v>
      </c>
      <c r="G77" s="176" t="s">
        <v>24</v>
      </c>
      <c r="H77" s="248">
        <v>16</v>
      </c>
      <c r="I77" s="62">
        <v>14</v>
      </c>
      <c r="J77" s="62">
        <v>21</v>
      </c>
      <c r="K77" s="30">
        <v>47080.45</v>
      </c>
      <c r="L77" s="27"/>
      <c r="M77" s="26">
        <f t="shared" si="0"/>
        <v>0</v>
      </c>
      <c r="N77" s="26"/>
      <c r="O77" s="31"/>
      <c r="P77" s="29">
        <v>22</v>
      </c>
      <c r="Q77" s="30">
        <v>65185.79</v>
      </c>
      <c r="R77" s="205">
        <v>5</v>
      </c>
      <c r="S77" s="26">
        <f t="shared" si="2"/>
        <v>23648.47</v>
      </c>
      <c r="T77" s="30">
        <v>10367.34</v>
      </c>
      <c r="U77" s="225">
        <v>13281.13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247"/>
      <c r="G78" s="282" t="s">
        <v>28</v>
      </c>
      <c r="H78" s="283"/>
      <c r="I78" s="261"/>
      <c r="J78" s="261"/>
      <c r="K78" s="211"/>
      <c r="L78" s="210"/>
      <c r="M78" s="211">
        <f t="shared" si="0"/>
        <v>0</v>
      </c>
      <c r="N78" s="211"/>
      <c r="O78" s="212"/>
      <c r="P78" s="284"/>
      <c r="Q78" s="211"/>
      <c r="R78" s="210"/>
      <c r="S78" s="211">
        <f t="shared" si="2"/>
        <v>0</v>
      </c>
      <c r="T78" s="211"/>
      <c r="U78" s="212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365</v>
      </c>
      <c r="C79" s="374"/>
      <c r="D79" s="378"/>
      <c r="E79" s="374"/>
      <c r="F79" s="60"/>
      <c r="G79" s="213" t="s">
        <v>24</v>
      </c>
      <c r="H79" s="24"/>
      <c r="I79" s="62"/>
      <c r="J79" s="62"/>
      <c r="K79" s="30"/>
      <c r="L79" s="27"/>
      <c r="M79" s="26">
        <f t="shared" si="0"/>
        <v>0</v>
      </c>
      <c r="N79" s="26"/>
      <c r="O79" s="28"/>
      <c r="P79" s="214"/>
      <c r="Q79" s="30"/>
      <c r="R79" s="27"/>
      <c r="S79" s="26">
        <f t="shared" si="2"/>
        <v>0</v>
      </c>
      <c r="T79" s="26"/>
      <c r="U79" s="2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79" t="s">
        <v>28</v>
      </c>
      <c r="H80" s="207">
        <v>2</v>
      </c>
      <c r="I80" s="208"/>
      <c r="J80" s="208"/>
      <c r="K80" s="209"/>
      <c r="L80" s="210"/>
      <c r="M80" s="211">
        <f t="shared" si="0"/>
        <v>0</v>
      </c>
      <c r="N80" s="211"/>
      <c r="O80" s="212"/>
      <c r="P80" s="280"/>
      <c r="Q80" s="209"/>
      <c r="R80" s="210"/>
      <c r="S80" s="211">
        <f t="shared" si="2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400</v>
      </c>
      <c r="C81" s="374" t="s">
        <v>22</v>
      </c>
      <c r="D81" s="378"/>
      <c r="E81" s="374" t="s">
        <v>401</v>
      </c>
      <c r="F81" s="204" t="s">
        <v>402</v>
      </c>
      <c r="G81" s="213" t="s">
        <v>24</v>
      </c>
      <c r="H81" s="24"/>
      <c r="I81" s="62"/>
      <c r="J81" s="62"/>
      <c r="K81" s="30"/>
      <c r="L81" s="27"/>
      <c r="M81" s="26">
        <f t="shared" si="0"/>
        <v>0</v>
      </c>
      <c r="N81" s="26"/>
      <c r="O81" s="28"/>
      <c r="P81" s="214"/>
      <c r="Q81" s="30"/>
      <c r="R81" s="27"/>
      <c r="S81" s="26">
        <f t="shared" si="2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215" t="s">
        <v>28</v>
      </c>
      <c r="H82" s="66"/>
      <c r="I82" s="37"/>
      <c r="J82" s="37"/>
      <c r="K82" s="68"/>
      <c r="L82" s="40"/>
      <c r="M82" s="39">
        <f t="shared" si="0"/>
        <v>0</v>
      </c>
      <c r="N82" s="39"/>
      <c r="O82" s="41"/>
      <c r="P82" s="217"/>
      <c r="Q82" s="68"/>
      <c r="R82" s="40"/>
      <c r="S82" s="39">
        <f t="shared" si="2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6"/>
      <c r="B83" s="377" t="s">
        <v>82</v>
      </c>
      <c r="C83" s="377" t="s">
        <v>22</v>
      </c>
      <c r="D83" s="400"/>
      <c r="E83" s="377" t="s">
        <v>83</v>
      </c>
      <c r="F83" s="223" t="s">
        <v>404</v>
      </c>
      <c r="G83" s="95" t="s">
        <v>24</v>
      </c>
      <c r="H83" s="281">
        <v>6</v>
      </c>
      <c r="I83" s="266">
        <v>3</v>
      </c>
      <c r="J83" s="266">
        <v>4</v>
      </c>
      <c r="K83" s="79">
        <v>5917.36</v>
      </c>
      <c r="L83" s="80"/>
      <c r="M83" s="81">
        <f t="shared" si="0"/>
        <v>5917.36</v>
      </c>
      <c r="N83" s="81"/>
      <c r="O83" s="269">
        <v>5917.36</v>
      </c>
      <c r="P83" s="267">
        <v>9</v>
      </c>
      <c r="Q83" s="79">
        <v>14307.26</v>
      </c>
      <c r="R83" s="80"/>
      <c r="S83" s="81">
        <f t="shared" si="2"/>
        <v>10924.74</v>
      </c>
      <c r="T83" s="81"/>
      <c r="U83" s="269">
        <v>10924.74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54"/>
      <c r="G84" s="55" t="s">
        <v>25</v>
      </c>
      <c r="H84" s="121">
        <v>1</v>
      </c>
      <c r="I84" s="130">
        <v>1</v>
      </c>
      <c r="J84" s="130">
        <v>1</v>
      </c>
      <c r="K84" s="114">
        <v>1344.7</v>
      </c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2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84</v>
      </c>
      <c r="C85" s="374"/>
      <c r="D85" s="378"/>
      <c r="E85" s="374"/>
      <c r="F85" s="60"/>
      <c r="G85" s="23" t="s">
        <v>24</v>
      </c>
      <c r="H85" s="119"/>
      <c r="I85" s="25"/>
      <c r="J85" s="25"/>
      <c r="K85" s="26"/>
      <c r="L85" s="27"/>
      <c r="M85" s="26">
        <f t="shared" si="0"/>
        <v>0</v>
      </c>
      <c r="N85" s="26"/>
      <c r="O85" s="31"/>
      <c r="P85" s="120"/>
      <c r="Q85" s="26"/>
      <c r="R85" s="27"/>
      <c r="S85" s="26">
        <f t="shared" si="2"/>
        <v>0</v>
      </c>
      <c r="T85" s="26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132"/>
      <c r="G86" s="35" t="s">
        <v>28</v>
      </c>
      <c r="H86" s="36"/>
      <c r="I86" s="38"/>
      <c r="J86" s="38"/>
      <c r="K86" s="39"/>
      <c r="L86" s="40"/>
      <c r="M86" s="39">
        <f t="shared" si="0"/>
        <v>0</v>
      </c>
      <c r="N86" s="39"/>
      <c r="O86" s="41"/>
      <c r="P86" s="69"/>
      <c r="Q86" s="39"/>
      <c r="R86" s="40"/>
      <c r="S86" s="39">
        <f t="shared" si="2"/>
        <v>0</v>
      </c>
      <c r="T86" s="39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82"/>
      <c r="B87" s="381" t="s">
        <v>85</v>
      </c>
      <c r="C87" s="381" t="s">
        <v>22</v>
      </c>
      <c r="D87" s="385"/>
      <c r="E87" s="381" t="s">
        <v>27</v>
      </c>
      <c r="F87" s="127"/>
      <c r="G87" s="47" t="s">
        <v>24</v>
      </c>
      <c r="H87" s="98"/>
      <c r="I87" s="49"/>
      <c r="J87" s="49"/>
      <c r="K87" s="50"/>
      <c r="L87" s="51"/>
      <c r="M87" s="50">
        <f t="shared" si="0"/>
        <v>0</v>
      </c>
      <c r="N87" s="50"/>
      <c r="O87" s="31"/>
      <c r="P87" s="108">
        <v>1</v>
      </c>
      <c r="Q87" s="65">
        <v>405.02</v>
      </c>
      <c r="R87" s="51"/>
      <c r="S87" s="50">
        <f t="shared" si="2"/>
        <v>0</v>
      </c>
      <c r="T87" s="50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226"/>
      <c r="G88" s="227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2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86</v>
      </c>
      <c r="C89" s="374" t="s">
        <v>39</v>
      </c>
      <c r="D89" s="374" t="s">
        <v>266</v>
      </c>
      <c r="E89" s="374" t="s">
        <v>23</v>
      </c>
      <c r="F89" s="204" t="s">
        <v>267</v>
      </c>
      <c r="G89" s="176" t="s">
        <v>24</v>
      </c>
      <c r="H89" s="98"/>
      <c r="I89" s="25"/>
      <c r="J89" s="25"/>
      <c r="K89" s="26"/>
      <c r="L89" s="27"/>
      <c r="M89" s="26">
        <f t="shared" si="0"/>
        <v>0</v>
      </c>
      <c r="N89" s="26"/>
      <c r="O89" s="31"/>
      <c r="P89" s="53">
        <v>3</v>
      </c>
      <c r="Q89" s="30">
        <v>7652.33</v>
      </c>
      <c r="R89" s="205">
        <v>2</v>
      </c>
      <c r="S89" s="26">
        <f t="shared" si="2"/>
        <v>5673.46</v>
      </c>
      <c r="T89" s="30">
        <v>5673.46</v>
      </c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105"/>
      <c r="G90" s="229" t="s">
        <v>25</v>
      </c>
      <c r="H90" s="118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2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87</v>
      </c>
      <c r="C91" s="374" t="s">
        <v>39</v>
      </c>
      <c r="D91" s="374" t="s">
        <v>88</v>
      </c>
      <c r="E91" s="374" t="s">
        <v>89</v>
      </c>
      <c r="F91" s="232" t="s">
        <v>268</v>
      </c>
      <c r="G91" s="23" t="s">
        <v>24</v>
      </c>
      <c r="H91" s="61">
        <v>11</v>
      </c>
      <c r="I91" s="62">
        <v>2</v>
      </c>
      <c r="J91" s="62">
        <v>2</v>
      </c>
      <c r="K91" s="30">
        <v>4734.3</v>
      </c>
      <c r="L91" s="27"/>
      <c r="M91" s="26">
        <f t="shared" si="0"/>
        <v>0</v>
      </c>
      <c r="N91" s="26"/>
      <c r="O91" s="31"/>
      <c r="P91" s="53">
        <v>6</v>
      </c>
      <c r="Q91" s="30">
        <v>16855.12</v>
      </c>
      <c r="R91" s="205">
        <v>2</v>
      </c>
      <c r="S91" s="26">
        <f t="shared" si="2"/>
        <v>5094.8</v>
      </c>
      <c r="T91" s="30">
        <v>5094.8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220" t="s">
        <v>290</v>
      </c>
      <c r="G92" s="35" t="s">
        <v>25</v>
      </c>
      <c r="H92" s="117">
        <v>5</v>
      </c>
      <c r="I92" s="37">
        <v>2</v>
      </c>
      <c r="J92" s="37">
        <v>2</v>
      </c>
      <c r="K92" s="68">
        <v>2958.34</v>
      </c>
      <c r="L92" s="40"/>
      <c r="M92" s="39">
        <f t="shared" si="0"/>
        <v>0</v>
      </c>
      <c r="N92" s="39"/>
      <c r="O92" s="41"/>
      <c r="P92" s="115">
        <v>7</v>
      </c>
      <c r="Q92" s="68">
        <v>19517.36</v>
      </c>
      <c r="R92" s="285">
        <v>4</v>
      </c>
      <c r="S92" s="68">
        <v>10181.299999999999</v>
      </c>
      <c r="T92" s="68">
        <v>10181.299999999999</v>
      </c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90</v>
      </c>
      <c r="C93" s="374" t="s">
        <v>39</v>
      </c>
      <c r="D93" s="374" t="s">
        <v>91</v>
      </c>
      <c r="E93" s="374" t="s">
        <v>27</v>
      </c>
      <c r="F93" s="204" t="s">
        <v>291</v>
      </c>
      <c r="G93" s="176" t="s">
        <v>24</v>
      </c>
      <c r="H93" s="48">
        <v>2</v>
      </c>
      <c r="I93" s="203">
        <v>1</v>
      </c>
      <c r="J93" s="203">
        <v>1</v>
      </c>
      <c r="K93" s="65">
        <v>697.32</v>
      </c>
      <c r="L93" s="51"/>
      <c r="M93" s="50">
        <f t="shared" si="0"/>
        <v>0</v>
      </c>
      <c r="N93" s="50"/>
      <c r="O93" s="31"/>
      <c r="P93" s="108">
        <v>4</v>
      </c>
      <c r="Q93" s="65">
        <v>38740.769999999997</v>
      </c>
      <c r="R93" s="224">
        <v>1</v>
      </c>
      <c r="S93" s="50">
        <f t="shared" ref="S93:S179" si="3">T93+U93</f>
        <v>4050.2</v>
      </c>
      <c r="T93" s="65">
        <v>4050.2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229</v>
      </c>
      <c r="G94" s="229" t="s">
        <v>28</v>
      </c>
      <c r="H94" s="133">
        <v>1</v>
      </c>
      <c r="I94" s="57"/>
      <c r="J94" s="57"/>
      <c r="K94" s="43"/>
      <c r="L94" s="44"/>
      <c r="M94" s="43">
        <f t="shared" si="0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92</v>
      </c>
      <c r="C95" s="374" t="s">
        <v>22</v>
      </c>
      <c r="D95" s="374"/>
      <c r="E95" s="374" t="s">
        <v>27</v>
      </c>
      <c r="F95" s="232" t="s">
        <v>269</v>
      </c>
      <c r="G95" s="23" t="s">
        <v>24</v>
      </c>
      <c r="H95" s="151">
        <v>1</v>
      </c>
      <c r="I95" s="25"/>
      <c r="J95" s="25"/>
      <c r="K95" s="26"/>
      <c r="L95" s="27"/>
      <c r="M95" s="26">
        <f t="shared" si="0"/>
        <v>0</v>
      </c>
      <c r="N95" s="26"/>
      <c r="O95" s="31"/>
      <c r="P95" s="53">
        <v>6</v>
      </c>
      <c r="Q95" s="30">
        <v>31199.119999999999</v>
      </c>
      <c r="R95" s="205">
        <v>2</v>
      </c>
      <c r="S95" s="26">
        <f t="shared" si="3"/>
        <v>3751.96</v>
      </c>
      <c r="T95" s="30">
        <v>3751.96</v>
      </c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9"/>
      <c r="B96" s="380"/>
      <c r="C96" s="380"/>
      <c r="D96" s="380"/>
      <c r="E96" s="380"/>
      <c r="F96" s="233" t="s">
        <v>230</v>
      </c>
      <c r="G96" s="227" t="s">
        <v>28</v>
      </c>
      <c r="H96" s="133">
        <v>1</v>
      </c>
      <c r="I96" s="57"/>
      <c r="J96" s="57"/>
      <c r="K96" s="43"/>
      <c r="L96" s="44"/>
      <c r="M96" s="43">
        <f t="shared" si="0"/>
        <v>0</v>
      </c>
      <c r="N96" s="43"/>
      <c r="O96" s="41"/>
      <c r="P96" s="103"/>
      <c r="Q96" s="43"/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93</v>
      </c>
      <c r="C97" s="374" t="s">
        <v>22</v>
      </c>
      <c r="D97" s="374"/>
      <c r="E97" s="374" t="s">
        <v>27</v>
      </c>
      <c r="F97" s="22"/>
      <c r="G97" s="176" t="s">
        <v>24</v>
      </c>
      <c r="H97" s="151">
        <v>1</v>
      </c>
      <c r="I97" s="62">
        <v>1</v>
      </c>
      <c r="J97" s="62">
        <v>2</v>
      </c>
      <c r="K97" s="30">
        <v>4354.43</v>
      </c>
      <c r="L97" s="27"/>
      <c r="M97" s="26">
        <f t="shared" si="0"/>
        <v>0</v>
      </c>
      <c r="N97" s="26"/>
      <c r="O97" s="31"/>
      <c r="P97" s="53">
        <v>1</v>
      </c>
      <c r="Q97" s="30">
        <v>633.92999999999995</v>
      </c>
      <c r="R97" s="27"/>
      <c r="S97" s="26">
        <f t="shared" si="3"/>
        <v>0</v>
      </c>
      <c r="T97" s="26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105"/>
      <c r="G98" s="229" t="s">
        <v>28</v>
      </c>
      <c r="H98" s="116"/>
      <c r="I98" s="57"/>
      <c r="J98" s="57"/>
      <c r="K98" s="43"/>
      <c r="L98" s="44"/>
      <c r="M98" s="43">
        <f t="shared" si="0"/>
        <v>0</v>
      </c>
      <c r="N98" s="43"/>
      <c r="O98" s="41"/>
      <c r="P98" s="103"/>
      <c r="Q98" s="43"/>
      <c r="R98" s="44"/>
      <c r="S98" s="43">
        <f t="shared" si="3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94</v>
      </c>
      <c r="C99" s="374" t="s">
        <v>39</v>
      </c>
      <c r="D99" s="374" t="s">
        <v>95</v>
      </c>
      <c r="E99" s="374" t="s">
        <v>96</v>
      </c>
      <c r="F99" s="232" t="s">
        <v>292</v>
      </c>
      <c r="G99" s="23" t="s">
        <v>24</v>
      </c>
      <c r="H99" s="48">
        <v>5</v>
      </c>
      <c r="I99" s="25"/>
      <c r="J99" s="25"/>
      <c r="K99" s="26"/>
      <c r="L99" s="27"/>
      <c r="M99" s="26">
        <f t="shared" si="0"/>
        <v>0</v>
      </c>
      <c r="N99" s="26"/>
      <c r="O99" s="31"/>
      <c r="P99" s="53">
        <v>16</v>
      </c>
      <c r="Q99" s="30">
        <v>34494.42</v>
      </c>
      <c r="R99" s="205">
        <v>4</v>
      </c>
      <c r="S99" s="26">
        <f t="shared" si="3"/>
        <v>9997.9500000000007</v>
      </c>
      <c r="T99" s="30">
        <v>9997.9500000000007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33" t="s">
        <v>293</v>
      </c>
      <c r="G100" s="250" t="s">
        <v>25</v>
      </c>
      <c r="H100" s="112">
        <v>4</v>
      </c>
      <c r="I100" s="130">
        <v>2</v>
      </c>
      <c r="J100" s="130">
        <v>2</v>
      </c>
      <c r="K100" s="114">
        <v>2305.1999999999998</v>
      </c>
      <c r="L100" s="44"/>
      <c r="M100" s="43">
        <f t="shared" si="0"/>
        <v>0</v>
      </c>
      <c r="N100" s="43"/>
      <c r="O100" s="41"/>
      <c r="P100" s="113">
        <v>4</v>
      </c>
      <c r="Q100" s="114">
        <v>11577.6</v>
      </c>
      <c r="R100" s="44"/>
      <c r="S100" s="43">
        <f t="shared" si="3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97</v>
      </c>
      <c r="C101" s="374" t="s">
        <v>22</v>
      </c>
      <c r="D101" s="374"/>
      <c r="E101" s="374" t="s">
        <v>27</v>
      </c>
      <c r="F101" s="223" t="s">
        <v>406</v>
      </c>
      <c r="G101" s="176" t="s">
        <v>24</v>
      </c>
      <c r="H101" s="248">
        <v>3</v>
      </c>
      <c r="I101" s="62">
        <v>3</v>
      </c>
      <c r="J101" s="62">
        <v>3</v>
      </c>
      <c r="K101" s="30">
        <v>1118.98</v>
      </c>
      <c r="L101" s="27"/>
      <c r="M101" s="26">
        <f t="shared" si="0"/>
        <v>614.72</v>
      </c>
      <c r="N101" s="26"/>
      <c r="O101" s="225">
        <v>614.72</v>
      </c>
      <c r="P101" s="53">
        <v>7</v>
      </c>
      <c r="Q101" s="30">
        <v>12035.94</v>
      </c>
      <c r="R101" s="27"/>
      <c r="S101" s="26">
        <f t="shared" si="3"/>
        <v>7679.11</v>
      </c>
      <c r="T101" s="26"/>
      <c r="U101" s="225">
        <v>7679.11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294</v>
      </c>
      <c r="G102" s="229" t="s">
        <v>28</v>
      </c>
      <c r="H102" s="251">
        <v>4</v>
      </c>
      <c r="I102" s="208">
        <v>3</v>
      </c>
      <c r="J102" s="208">
        <v>3</v>
      </c>
      <c r="K102" s="209">
        <v>4610.3999999999996</v>
      </c>
      <c r="L102" s="210"/>
      <c r="M102" s="211">
        <f t="shared" si="0"/>
        <v>1344.7</v>
      </c>
      <c r="N102" s="209">
        <v>1344.7</v>
      </c>
      <c r="O102" s="212"/>
      <c r="P102" s="103"/>
      <c r="Q102" s="43"/>
      <c r="R102" s="44"/>
      <c r="S102" s="43">
        <f t="shared" si="3"/>
        <v>2209.15</v>
      </c>
      <c r="T102" s="114">
        <v>2209.15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6"/>
      <c r="B103" s="377" t="s">
        <v>98</v>
      </c>
      <c r="C103" s="377" t="s">
        <v>39</v>
      </c>
      <c r="D103" s="377" t="s">
        <v>270</v>
      </c>
      <c r="E103" s="377" t="s">
        <v>99</v>
      </c>
      <c r="F103" s="232" t="s">
        <v>271</v>
      </c>
      <c r="G103" s="73" t="s">
        <v>24</v>
      </c>
      <c r="H103" s="24">
        <v>7</v>
      </c>
      <c r="I103" s="62">
        <v>4</v>
      </c>
      <c r="J103" s="62">
        <v>4</v>
      </c>
      <c r="K103" s="30">
        <v>4316.49</v>
      </c>
      <c r="L103" s="27"/>
      <c r="M103" s="26">
        <f t="shared" si="0"/>
        <v>0</v>
      </c>
      <c r="N103" s="26"/>
      <c r="O103" s="28"/>
      <c r="P103" s="214">
        <v>11</v>
      </c>
      <c r="Q103" s="30">
        <v>48272.61</v>
      </c>
      <c r="R103" s="205">
        <v>2</v>
      </c>
      <c r="S103" s="26">
        <f t="shared" si="3"/>
        <v>1456.12</v>
      </c>
      <c r="T103" s="30">
        <v>1456.12</v>
      </c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295</v>
      </c>
      <c r="G104" s="215" t="s">
        <v>28</v>
      </c>
      <c r="H104" s="66">
        <v>4</v>
      </c>
      <c r="I104" s="286">
        <v>1</v>
      </c>
      <c r="J104" s="286">
        <v>1</v>
      </c>
      <c r="K104" s="287">
        <v>1921</v>
      </c>
      <c r="L104" s="288"/>
      <c r="M104" s="39">
        <f t="shared" si="0"/>
        <v>0</v>
      </c>
      <c r="N104" s="39"/>
      <c r="O104" s="41"/>
      <c r="P104" s="217">
        <v>3</v>
      </c>
      <c r="Q104" s="37">
        <v>7587.95</v>
      </c>
      <c r="R104" s="40"/>
      <c r="S104" s="39">
        <f t="shared" si="3"/>
        <v>4514.3499999999995</v>
      </c>
      <c r="T104" s="68">
        <v>1056.55</v>
      </c>
      <c r="U104" s="41">
        <f>2305.2+1152.6</f>
        <v>3457.7999999999997</v>
      </c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82"/>
      <c r="B105" s="381" t="s">
        <v>100</v>
      </c>
      <c r="C105" s="374" t="s">
        <v>39</v>
      </c>
      <c r="D105" s="381" t="s">
        <v>296</v>
      </c>
      <c r="E105" s="381" t="s">
        <v>27</v>
      </c>
      <c r="F105" s="223" t="s">
        <v>297</v>
      </c>
      <c r="G105" s="47" t="s">
        <v>24</v>
      </c>
      <c r="H105" s="218"/>
      <c r="I105" s="96"/>
      <c r="J105" s="96"/>
      <c r="K105" s="81"/>
      <c r="L105" s="80"/>
      <c r="M105" s="81">
        <f t="shared" si="0"/>
        <v>0</v>
      </c>
      <c r="N105" s="81"/>
      <c r="O105" s="219"/>
      <c r="P105" s="108">
        <v>2</v>
      </c>
      <c r="Q105" s="65">
        <v>22972.83</v>
      </c>
      <c r="R105" s="224">
        <v>1</v>
      </c>
      <c r="S105" s="50">
        <f t="shared" si="3"/>
        <v>7049.72</v>
      </c>
      <c r="T105" s="65">
        <v>7049.72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298</v>
      </c>
      <c r="G106" s="35" t="s">
        <v>28</v>
      </c>
      <c r="H106" s="133">
        <v>4</v>
      </c>
      <c r="I106" s="38"/>
      <c r="J106" s="38"/>
      <c r="K106" s="39"/>
      <c r="L106" s="40"/>
      <c r="M106" s="39">
        <f t="shared" si="0"/>
        <v>0</v>
      </c>
      <c r="N106" s="39"/>
      <c r="O106" s="41"/>
      <c r="P106" s="59"/>
      <c r="Q106" s="39"/>
      <c r="R106" s="40"/>
      <c r="S106" s="39">
        <f t="shared" si="3"/>
        <v>0</v>
      </c>
      <c r="T106" s="39"/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102</v>
      </c>
      <c r="C107" s="381" t="s">
        <v>22</v>
      </c>
      <c r="D107" s="381"/>
      <c r="E107" s="381" t="s">
        <v>67</v>
      </c>
      <c r="F107" s="223" t="s">
        <v>272</v>
      </c>
      <c r="G107" s="23" t="s">
        <v>24</v>
      </c>
      <c r="H107" s="48">
        <v>5</v>
      </c>
      <c r="I107" s="203">
        <v>3</v>
      </c>
      <c r="J107" s="203">
        <v>3</v>
      </c>
      <c r="K107" s="65">
        <v>4683.22</v>
      </c>
      <c r="L107" s="51"/>
      <c r="M107" s="50">
        <f t="shared" si="0"/>
        <v>0</v>
      </c>
      <c r="N107" s="50"/>
      <c r="O107" s="31"/>
      <c r="P107" s="108">
        <v>9</v>
      </c>
      <c r="Q107" s="65">
        <v>19656.830000000002</v>
      </c>
      <c r="R107" s="224">
        <v>2</v>
      </c>
      <c r="S107" s="50">
        <f t="shared" si="3"/>
        <v>2175.5100000000002</v>
      </c>
      <c r="T107" s="65">
        <v>2175.5100000000002</v>
      </c>
      <c r="U107" s="3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9"/>
      <c r="B108" s="380"/>
      <c r="C108" s="380"/>
      <c r="D108" s="380"/>
      <c r="E108" s="380"/>
      <c r="F108" s="221" t="s">
        <v>299</v>
      </c>
      <c r="G108" s="55" t="s">
        <v>28</v>
      </c>
      <c r="H108" s="153">
        <v>7</v>
      </c>
      <c r="I108" s="130">
        <v>2</v>
      </c>
      <c r="J108" s="130">
        <v>2</v>
      </c>
      <c r="K108" s="114">
        <v>2443.1999999999998</v>
      </c>
      <c r="L108" s="128"/>
      <c r="M108" s="50">
        <f t="shared" si="0"/>
        <v>0</v>
      </c>
      <c r="N108" s="43"/>
      <c r="O108" s="41"/>
      <c r="P108" s="113">
        <v>2</v>
      </c>
      <c r="Q108" s="114">
        <v>8007.8</v>
      </c>
      <c r="R108" s="44"/>
      <c r="S108" s="43">
        <f t="shared" si="3"/>
        <v>8008.1</v>
      </c>
      <c r="T108" s="114">
        <v>4358.2</v>
      </c>
      <c r="U108" s="41">
        <f>3649.9</f>
        <v>3649.9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2"/>
      <c r="B109" s="374" t="s">
        <v>103</v>
      </c>
      <c r="C109" s="374" t="s">
        <v>22</v>
      </c>
      <c r="D109" s="374"/>
      <c r="E109" s="374" t="s">
        <v>67</v>
      </c>
      <c r="F109" s="223" t="s">
        <v>407</v>
      </c>
      <c r="G109" s="23" t="s">
        <v>24</v>
      </c>
      <c r="H109" s="48">
        <v>2</v>
      </c>
      <c r="I109" s="62">
        <v>1</v>
      </c>
      <c r="J109" s="62">
        <v>1</v>
      </c>
      <c r="K109" s="30">
        <v>1133.98</v>
      </c>
      <c r="L109" s="27"/>
      <c r="M109" s="26">
        <f t="shared" si="0"/>
        <v>1133.98</v>
      </c>
      <c r="N109" s="26"/>
      <c r="O109" s="225">
        <v>1133.98</v>
      </c>
      <c r="P109" s="53">
        <v>5</v>
      </c>
      <c r="Q109" s="30">
        <v>7208.15</v>
      </c>
      <c r="R109" s="27"/>
      <c r="S109" s="26">
        <f t="shared" si="3"/>
        <v>7208.15</v>
      </c>
      <c r="T109" s="26"/>
      <c r="U109" s="225">
        <v>7208.15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3"/>
      <c r="B110" s="375"/>
      <c r="C110" s="375"/>
      <c r="D110" s="375"/>
      <c r="E110" s="375"/>
      <c r="F110" s="220" t="s">
        <v>300</v>
      </c>
      <c r="G110" s="35" t="s">
        <v>28</v>
      </c>
      <c r="H110" s="133">
        <v>3</v>
      </c>
      <c r="I110" s="37">
        <v>3</v>
      </c>
      <c r="J110" s="37">
        <v>3</v>
      </c>
      <c r="K110" s="68">
        <v>5628.8</v>
      </c>
      <c r="L110" s="40"/>
      <c r="M110" s="39">
        <f t="shared" si="0"/>
        <v>0</v>
      </c>
      <c r="N110" s="39"/>
      <c r="O110" s="41"/>
      <c r="P110" s="115">
        <v>1</v>
      </c>
      <c r="Q110" s="68">
        <v>1377.7</v>
      </c>
      <c r="R110" s="40"/>
      <c r="S110" s="39">
        <f t="shared" si="3"/>
        <v>5378.8</v>
      </c>
      <c r="T110" s="39"/>
      <c r="U110" s="41">
        <f>5378.8</f>
        <v>5378.8</v>
      </c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104</v>
      </c>
      <c r="C111" s="374" t="s">
        <v>39</v>
      </c>
      <c r="D111" s="374" t="s">
        <v>301</v>
      </c>
      <c r="E111" s="374" t="s">
        <v>27</v>
      </c>
      <c r="F111" s="204" t="s">
        <v>302</v>
      </c>
      <c r="G111" s="176" t="s">
        <v>24</v>
      </c>
      <c r="H111" s="48">
        <v>6</v>
      </c>
      <c r="I111" s="203">
        <v>3</v>
      </c>
      <c r="J111" s="203">
        <v>3</v>
      </c>
      <c r="K111" s="65">
        <v>5531.12</v>
      </c>
      <c r="L111" s="51"/>
      <c r="M111" s="50">
        <f t="shared" si="0"/>
        <v>0</v>
      </c>
      <c r="N111" s="50"/>
      <c r="O111" s="31"/>
      <c r="P111" s="108">
        <v>12</v>
      </c>
      <c r="Q111" s="65">
        <v>35184.85</v>
      </c>
      <c r="R111" s="224">
        <v>3</v>
      </c>
      <c r="S111" s="50">
        <f t="shared" si="3"/>
        <v>6809.92</v>
      </c>
      <c r="T111" s="65">
        <v>6809.92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34"/>
      <c r="G112" s="229" t="s">
        <v>28</v>
      </c>
      <c r="H112" s="116"/>
      <c r="I112" s="57"/>
      <c r="J112" s="57"/>
      <c r="K112" s="43"/>
      <c r="L112" s="44"/>
      <c r="M112" s="43">
        <f t="shared" si="0"/>
        <v>0</v>
      </c>
      <c r="N112" s="43"/>
      <c r="O112" s="41"/>
      <c r="P112" s="103"/>
      <c r="Q112" s="43"/>
      <c r="R112" s="44"/>
      <c r="S112" s="43">
        <f t="shared" si="3"/>
        <v>0</v>
      </c>
      <c r="T112" s="43"/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106</v>
      </c>
      <c r="C113" s="377" t="s">
        <v>39</v>
      </c>
      <c r="D113" s="374" t="s">
        <v>107</v>
      </c>
      <c r="E113" s="374" t="s">
        <v>27</v>
      </c>
      <c r="F113" s="232" t="s">
        <v>366</v>
      </c>
      <c r="G113" s="23" t="s">
        <v>24</v>
      </c>
      <c r="H113" s="48">
        <v>1</v>
      </c>
      <c r="I113" s="25"/>
      <c r="J113" s="25"/>
      <c r="K113" s="26"/>
      <c r="L113" s="27"/>
      <c r="M113" s="26">
        <f t="shared" si="0"/>
        <v>0</v>
      </c>
      <c r="N113" s="26"/>
      <c r="O113" s="31"/>
      <c r="P113" s="53">
        <v>6</v>
      </c>
      <c r="Q113" s="30">
        <v>20735.55</v>
      </c>
      <c r="R113" s="205">
        <v>5</v>
      </c>
      <c r="S113" s="26">
        <f t="shared" si="3"/>
        <v>20312.93</v>
      </c>
      <c r="T113" s="30">
        <v>20312.93</v>
      </c>
      <c r="U113" s="3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9"/>
      <c r="B114" s="380"/>
      <c r="C114" s="380"/>
      <c r="D114" s="380"/>
      <c r="E114" s="380"/>
      <c r="F114" s="233" t="s">
        <v>233</v>
      </c>
      <c r="G114" s="227" t="s">
        <v>28</v>
      </c>
      <c r="H114" s="153">
        <v>2</v>
      </c>
      <c r="I114" s="57"/>
      <c r="J114" s="57"/>
      <c r="K114" s="43"/>
      <c r="L114" s="44"/>
      <c r="M114" s="43">
        <f t="shared" si="0"/>
        <v>0</v>
      </c>
      <c r="N114" s="43"/>
      <c r="O114" s="41"/>
      <c r="P114" s="103"/>
      <c r="Q114" s="43"/>
      <c r="R114" s="44"/>
      <c r="S114" s="43">
        <f t="shared" si="3"/>
        <v>0</v>
      </c>
      <c r="T114" s="57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108</v>
      </c>
      <c r="C115" s="374" t="s">
        <v>46</v>
      </c>
      <c r="D115" s="374" t="s">
        <v>109</v>
      </c>
      <c r="E115" s="374" t="s">
        <v>27</v>
      </c>
      <c r="F115" s="204" t="s">
        <v>273</v>
      </c>
      <c r="G115" s="176" t="s">
        <v>24</v>
      </c>
      <c r="H115" s="151">
        <v>3</v>
      </c>
      <c r="I115" s="62">
        <v>1</v>
      </c>
      <c r="J115" s="62">
        <v>1</v>
      </c>
      <c r="K115" s="30">
        <v>697.32</v>
      </c>
      <c r="L115" s="27"/>
      <c r="M115" s="26">
        <f t="shared" si="0"/>
        <v>0</v>
      </c>
      <c r="N115" s="26"/>
      <c r="O115" s="31"/>
      <c r="P115" s="53">
        <v>6</v>
      </c>
      <c r="Q115" s="30">
        <v>26300.45</v>
      </c>
      <c r="R115" s="205">
        <v>3</v>
      </c>
      <c r="S115" s="26">
        <f t="shared" si="3"/>
        <v>13277.84</v>
      </c>
      <c r="T115" s="30">
        <v>13277.84</v>
      </c>
      <c r="U115" s="225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7"/>
      <c r="B116" s="386"/>
      <c r="C116" s="386"/>
      <c r="D116" s="386"/>
      <c r="E116" s="386"/>
      <c r="F116" s="235" t="s">
        <v>234</v>
      </c>
      <c r="G116" s="252" t="s">
        <v>28</v>
      </c>
      <c r="H116" s="48">
        <v>3</v>
      </c>
      <c r="I116" s="246">
        <v>2</v>
      </c>
      <c r="J116" s="246">
        <v>2</v>
      </c>
      <c r="K116" s="158">
        <v>1152.5999999999999</v>
      </c>
      <c r="L116" s="143"/>
      <c r="M116" s="142">
        <f t="shared" si="0"/>
        <v>0</v>
      </c>
      <c r="N116" s="142"/>
      <c r="O116" s="45"/>
      <c r="P116" s="157">
        <v>3</v>
      </c>
      <c r="Q116" s="158">
        <v>6513.21</v>
      </c>
      <c r="R116" s="143"/>
      <c r="S116" s="142">
        <f t="shared" si="3"/>
        <v>288.14999999999998</v>
      </c>
      <c r="T116" s="142"/>
      <c r="U116" s="45">
        <f>288.15</f>
        <v>288.14999999999998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145"/>
      <c r="G117" s="253" t="s">
        <v>25</v>
      </c>
      <c r="H117" s="306">
        <v>1</v>
      </c>
      <c r="I117" s="38"/>
      <c r="J117" s="38"/>
      <c r="K117" s="39"/>
      <c r="L117" s="40"/>
      <c r="M117" s="39">
        <f t="shared" si="0"/>
        <v>0</v>
      </c>
      <c r="N117" s="39"/>
      <c r="O117" s="41"/>
      <c r="P117" s="59"/>
      <c r="Q117" s="39"/>
      <c r="R117" s="40"/>
      <c r="S117" s="39">
        <f t="shared" si="3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6"/>
      <c r="B118" s="377" t="s">
        <v>110</v>
      </c>
      <c r="C118" s="377" t="s">
        <v>22</v>
      </c>
      <c r="D118" s="377"/>
      <c r="E118" s="377" t="s">
        <v>67</v>
      </c>
      <c r="F118" s="232" t="s">
        <v>274</v>
      </c>
      <c r="G118" s="23" t="s">
        <v>24</v>
      </c>
      <c r="H118" s="48">
        <v>2</v>
      </c>
      <c r="I118" s="49"/>
      <c r="J118" s="49"/>
      <c r="K118" s="50"/>
      <c r="L118" s="51"/>
      <c r="M118" s="50">
        <f t="shared" si="0"/>
        <v>0</v>
      </c>
      <c r="N118" s="50"/>
      <c r="O118" s="31"/>
      <c r="P118" s="108">
        <v>3</v>
      </c>
      <c r="Q118" s="65">
        <v>8431.9599999999991</v>
      </c>
      <c r="R118" s="224">
        <v>1</v>
      </c>
      <c r="S118" s="50">
        <f t="shared" si="3"/>
        <v>3034.34</v>
      </c>
      <c r="T118" s="65">
        <v>3034.34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54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3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111</v>
      </c>
      <c r="C120" s="374" t="s">
        <v>22</v>
      </c>
      <c r="D120" s="374"/>
      <c r="E120" s="374" t="s">
        <v>112</v>
      </c>
      <c r="F120" s="22"/>
      <c r="G120" s="23" t="s">
        <v>24</v>
      </c>
      <c r="H120" s="48">
        <v>3</v>
      </c>
      <c r="I120" s="62">
        <v>2</v>
      </c>
      <c r="J120" s="62">
        <v>2</v>
      </c>
      <c r="K120" s="30">
        <v>1719.3</v>
      </c>
      <c r="L120" s="27"/>
      <c r="M120" s="26">
        <f t="shared" si="0"/>
        <v>0</v>
      </c>
      <c r="N120" s="26"/>
      <c r="O120" s="31"/>
      <c r="P120" s="53">
        <v>4</v>
      </c>
      <c r="Q120" s="30">
        <v>3732.5</v>
      </c>
      <c r="R120" s="27"/>
      <c r="S120" s="26">
        <f t="shared" si="3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235</v>
      </c>
      <c r="G121" s="227" t="s">
        <v>28</v>
      </c>
      <c r="H121" s="133">
        <v>1</v>
      </c>
      <c r="I121" s="57"/>
      <c r="J121" s="57"/>
      <c r="K121" s="43"/>
      <c r="L121" s="44"/>
      <c r="M121" s="43">
        <f t="shared" si="0"/>
        <v>0</v>
      </c>
      <c r="N121" s="43"/>
      <c r="O121" s="41"/>
      <c r="P121" s="103"/>
      <c r="Q121" s="43"/>
      <c r="R121" s="44"/>
      <c r="S121" s="43">
        <f t="shared" si="3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113</v>
      </c>
      <c r="C122" s="374" t="s">
        <v>39</v>
      </c>
      <c r="D122" s="374" t="s">
        <v>114</v>
      </c>
      <c r="E122" s="374" t="s">
        <v>27</v>
      </c>
      <c r="F122" s="204" t="s">
        <v>305</v>
      </c>
      <c r="G122" s="176" t="s">
        <v>24</v>
      </c>
      <c r="H122" s="48">
        <v>8</v>
      </c>
      <c r="I122" s="62">
        <v>4</v>
      </c>
      <c r="J122" s="62">
        <v>6</v>
      </c>
      <c r="K122" s="30">
        <v>7683.53</v>
      </c>
      <c r="L122" s="27"/>
      <c r="M122" s="26">
        <f t="shared" si="0"/>
        <v>0</v>
      </c>
      <c r="N122" s="26"/>
      <c r="O122" s="31"/>
      <c r="P122" s="53">
        <v>10</v>
      </c>
      <c r="Q122" s="30">
        <v>27295.01</v>
      </c>
      <c r="R122" s="205">
        <v>2</v>
      </c>
      <c r="S122" s="26">
        <f t="shared" si="3"/>
        <v>14875.39</v>
      </c>
      <c r="T122" s="30">
        <v>7729.47</v>
      </c>
      <c r="U122" s="225">
        <v>7145.92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75"/>
      <c r="C123" s="375"/>
      <c r="D123" s="375"/>
      <c r="E123" s="375"/>
      <c r="F123" s="220" t="s">
        <v>306</v>
      </c>
      <c r="G123" s="229" t="s">
        <v>28</v>
      </c>
      <c r="H123" s="56">
        <v>2</v>
      </c>
      <c r="I123" s="130">
        <v>1</v>
      </c>
      <c r="J123" s="130">
        <v>1</v>
      </c>
      <c r="K123" s="114">
        <v>1152.5999999999999</v>
      </c>
      <c r="L123" s="44"/>
      <c r="M123" s="43">
        <f t="shared" si="0"/>
        <v>0</v>
      </c>
      <c r="N123" s="43"/>
      <c r="O123" s="45"/>
      <c r="P123" s="113">
        <v>2</v>
      </c>
      <c r="Q123" s="114">
        <v>5186.7</v>
      </c>
      <c r="R123" s="44"/>
      <c r="S123" s="43">
        <f t="shared" si="3"/>
        <v>5186.7</v>
      </c>
      <c r="T123" s="43"/>
      <c r="U123" s="41">
        <f>5186.7</f>
        <v>5186.7</v>
      </c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115</v>
      </c>
      <c r="C124" s="374" t="s">
        <v>22</v>
      </c>
      <c r="D124" s="374"/>
      <c r="E124" s="374" t="s">
        <v>27</v>
      </c>
      <c r="F124" s="22"/>
      <c r="G124" s="23" t="s">
        <v>24</v>
      </c>
      <c r="H124" s="104"/>
      <c r="I124" s="25"/>
      <c r="J124" s="25"/>
      <c r="K124" s="26"/>
      <c r="L124" s="148"/>
      <c r="M124" s="149">
        <f t="shared" si="0"/>
        <v>0</v>
      </c>
      <c r="N124" s="26"/>
      <c r="O124" s="100"/>
      <c r="P124" s="120"/>
      <c r="Q124" s="26"/>
      <c r="R124" s="27"/>
      <c r="S124" s="26">
        <f t="shared" si="3"/>
        <v>0</v>
      </c>
      <c r="T124" s="26"/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28</v>
      </c>
      <c r="H125" s="106"/>
      <c r="I125" s="38"/>
      <c r="J125" s="38"/>
      <c r="K125" s="39"/>
      <c r="L125" s="40"/>
      <c r="M125" s="39">
        <f t="shared" si="0"/>
        <v>0</v>
      </c>
      <c r="N125" s="39"/>
      <c r="O125" s="41"/>
      <c r="P125" s="69"/>
      <c r="Q125" s="39"/>
      <c r="R125" s="40"/>
      <c r="S125" s="39">
        <f t="shared" si="3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116</v>
      </c>
      <c r="C126" s="381" t="s">
        <v>22</v>
      </c>
      <c r="D126" s="381"/>
      <c r="E126" s="381" t="s">
        <v>27</v>
      </c>
      <c r="F126" s="223" t="s">
        <v>307</v>
      </c>
      <c r="G126" s="47" t="s">
        <v>24</v>
      </c>
      <c r="H126" s="61">
        <v>5</v>
      </c>
      <c r="I126" s="62">
        <v>3</v>
      </c>
      <c r="J126" s="62">
        <v>3</v>
      </c>
      <c r="K126" s="30">
        <v>3189.98</v>
      </c>
      <c r="L126" s="27"/>
      <c r="M126" s="26">
        <f t="shared" si="0"/>
        <v>3189.98</v>
      </c>
      <c r="N126" s="26"/>
      <c r="O126" s="243">
        <v>3189.98</v>
      </c>
      <c r="P126" s="64">
        <v>2</v>
      </c>
      <c r="Q126" s="65">
        <v>3540.18</v>
      </c>
      <c r="R126" s="224">
        <v>1</v>
      </c>
      <c r="S126" s="50">
        <f t="shared" si="3"/>
        <v>3540.1800000000003</v>
      </c>
      <c r="T126" s="65">
        <v>2272.3200000000002</v>
      </c>
      <c r="U126" s="225">
        <v>1267.8599999999999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16"/>
      <c r="I127" s="38"/>
      <c r="J127" s="38"/>
      <c r="K127" s="39"/>
      <c r="L127" s="40"/>
      <c r="M127" s="39">
        <f t="shared" si="0"/>
        <v>0</v>
      </c>
      <c r="N127" s="39"/>
      <c r="O127" s="41"/>
      <c r="P127" s="6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117</v>
      </c>
      <c r="C128" s="381" t="s">
        <v>22</v>
      </c>
      <c r="D128" s="381"/>
      <c r="E128" s="381" t="s">
        <v>67</v>
      </c>
      <c r="F128" s="223" t="s">
        <v>308</v>
      </c>
      <c r="G128" s="23" t="s">
        <v>24</v>
      </c>
      <c r="H128" s="48">
        <v>8</v>
      </c>
      <c r="I128" s="203">
        <v>6</v>
      </c>
      <c r="J128" s="203">
        <v>7</v>
      </c>
      <c r="K128" s="65">
        <v>17376.97</v>
      </c>
      <c r="L128" s="51"/>
      <c r="M128" s="50">
        <f t="shared" si="0"/>
        <v>0</v>
      </c>
      <c r="N128" s="50"/>
      <c r="O128" s="31"/>
      <c r="P128" s="108">
        <v>21</v>
      </c>
      <c r="Q128" s="65">
        <v>63607.14</v>
      </c>
      <c r="R128" s="224">
        <v>3</v>
      </c>
      <c r="S128" s="50">
        <f t="shared" si="3"/>
        <v>10009.61</v>
      </c>
      <c r="T128" s="65">
        <v>10009.61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9"/>
      <c r="B129" s="380"/>
      <c r="C129" s="380"/>
      <c r="D129" s="380"/>
      <c r="E129" s="380"/>
      <c r="F129" s="226"/>
      <c r="G129" s="227" t="s">
        <v>28</v>
      </c>
      <c r="H129" s="116"/>
      <c r="I129" s="57"/>
      <c r="J129" s="57"/>
      <c r="K129" s="43"/>
      <c r="L129" s="44"/>
      <c r="M129" s="43">
        <f t="shared" si="0"/>
        <v>0</v>
      </c>
      <c r="N129" s="43"/>
      <c r="O129" s="41"/>
      <c r="P129" s="103"/>
      <c r="Q129" s="43"/>
      <c r="R129" s="44"/>
      <c r="S129" s="43">
        <f t="shared" si="3"/>
        <v>0</v>
      </c>
      <c r="T129" s="43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2"/>
      <c r="B130" s="374" t="s">
        <v>118</v>
      </c>
      <c r="C130" s="374" t="s">
        <v>39</v>
      </c>
      <c r="D130" s="374" t="s">
        <v>309</v>
      </c>
      <c r="E130" s="374" t="s">
        <v>27</v>
      </c>
      <c r="F130" s="204" t="s">
        <v>310</v>
      </c>
      <c r="G130" s="176" t="s">
        <v>24</v>
      </c>
      <c r="H130" s="151">
        <v>5</v>
      </c>
      <c r="I130" s="25"/>
      <c r="J130" s="25"/>
      <c r="K130" s="26"/>
      <c r="L130" s="27"/>
      <c r="M130" s="26">
        <f t="shared" si="0"/>
        <v>0</v>
      </c>
      <c r="N130" s="26"/>
      <c r="O130" s="31"/>
      <c r="P130" s="53">
        <v>13</v>
      </c>
      <c r="Q130" s="30">
        <v>46879.51</v>
      </c>
      <c r="R130" s="205">
        <v>6</v>
      </c>
      <c r="S130" s="26">
        <f t="shared" si="3"/>
        <v>21153.67</v>
      </c>
      <c r="T130" s="30">
        <v>21153.67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152"/>
      <c r="G131" s="229" t="s">
        <v>28</v>
      </c>
      <c r="H131" s="116"/>
      <c r="I131" s="38"/>
      <c r="J131" s="38"/>
      <c r="K131" s="39"/>
      <c r="L131" s="40"/>
      <c r="M131" s="39">
        <f t="shared" si="0"/>
        <v>0</v>
      </c>
      <c r="N131" s="39"/>
      <c r="O131" s="41"/>
      <c r="P131" s="59"/>
      <c r="Q131" s="39"/>
      <c r="R131" s="40"/>
      <c r="S131" s="39">
        <f t="shared" si="3"/>
        <v>0</v>
      </c>
      <c r="T131" s="39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119</v>
      </c>
      <c r="C132" s="374" t="s">
        <v>39</v>
      </c>
      <c r="D132" s="374" t="s">
        <v>311</v>
      </c>
      <c r="E132" s="374" t="s">
        <v>121</v>
      </c>
      <c r="F132" s="232" t="s">
        <v>312</v>
      </c>
      <c r="G132" s="23" t="s">
        <v>24</v>
      </c>
      <c r="H132" s="151">
        <v>7</v>
      </c>
      <c r="I132" s="62">
        <v>3</v>
      </c>
      <c r="J132" s="62">
        <v>3</v>
      </c>
      <c r="K132" s="30">
        <v>2221.61</v>
      </c>
      <c r="L132" s="205">
        <v>3</v>
      </c>
      <c r="M132" s="26">
        <f t="shared" si="0"/>
        <v>2221.61</v>
      </c>
      <c r="N132" s="30">
        <v>2221.61</v>
      </c>
      <c r="O132" s="31"/>
      <c r="P132" s="53">
        <v>21</v>
      </c>
      <c r="Q132" s="30">
        <v>32606.92</v>
      </c>
      <c r="R132" s="205">
        <v>19</v>
      </c>
      <c r="S132" s="26">
        <f t="shared" si="3"/>
        <v>30301.71</v>
      </c>
      <c r="T132" s="30">
        <v>30301.71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80"/>
      <c r="C133" s="380"/>
      <c r="D133" s="380"/>
      <c r="E133" s="380"/>
      <c r="F133" s="233" t="s">
        <v>313</v>
      </c>
      <c r="G133" s="227" t="s">
        <v>25</v>
      </c>
      <c r="H133" s="260">
        <v>2</v>
      </c>
      <c r="I133" s="208">
        <v>2</v>
      </c>
      <c r="J133" s="208">
        <v>2</v>
      </c>
      <c r="K133" s="209">
        <v>2401.25</v>
      </c>
      <c r="L133" s="210"/>
      <c r="M133" s="211">
        <f t="shared" si="0"/>
        <v>0</v>
      </c>
      <c r="N133" s="211"/>
      <c r="O133" s="212"/>
      <c r="P133" s="262">
        <v>3</v>
      </c>
      <c r="Q133" s="209">
        <v>7299.8</v>
      </c>
      <c r="R133" s="290">
        <v>1</v>
      </c>
      <c r="S133" s="209">
        <f t="shared" si="3"/>
        <v>4034.1</v>
      </c>
      <c r="T133" s="209">
        <v>4034.1</v>
      </c>
      <c r="U133" s="212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367</v>
      </c>
      <c r="C134" s="374"/>
      <c r="D134" s="374"/>
      <c r="E134" s="374"/>
      <c r="F134" s="204"/>
      <c r="G134" s="213" t="s">
        <v>24</v>
      </c>
      <c r="H134" s="61"/>
      <c r="I134" s="62"/>
      <c r="J134" s="62"/>
      <c r="K134" s="30"/>
      <c r="L134" s="27"/>
      <c r="M134" s="26">
        <f t="shared" si="0"/>
        <v>0</v>
      </c>
      <c r="N134" s="26"/>
      <c r="O134" s="28"/>
      <c r="P134" s="214"/>
      <c r="Q134" s="30"/>
      <c r="R134" s="205"/>
      <c r="S134" s="26">
        <f t="shared" si="3"/>
        <v>0</v>
      </c>
      <c r="T134" s="30"/>
      <c r="U134" s="2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75"/>
      <c r="C135" s="375"/>
      <c r="D135" s="375"/>
      <c r="E135" s="375"/>
      <c r="F135" s="220"/>
      <c r="G135" s="215" t="s">
        <v>28</v>
      </c>
      <c r="H135" s="117">
        <v>3</v>
      </c>
      <c r="I135" s="37"/>
      <c r="J135" s="37"/>
      <c r="K135" s="68"/>
      <c r="L135" s="40"/>
      <c r="M135" s="39">
        <f t="shared" si="0"/>
        <v>0</v>
      </c>
      <c r="N135" s="39"/>
      <c r="O135" s="41"/>
      <c r="P135" s="217"/>
      <c r="Q135" s="68"/>
      <c r="R135" s="285"/>
      <c r="S135" s="39">
        <f t="shared" si="3"/>
        <v>0</v>
      </c>
      <c r="T135" s="68"/>
      <c r="U135" s="23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6"/>
      <c r="B136" s="377" t="s">
        <v>122</v>
      </c>
      <c r="C136" s="377" t="s">
        <v>39</v>
      </c>
      <c r="D136" s="377" t="s">
        <v>123</v>
      </c>
      <c r="E136" s="377" t="s">
        <v>55</v>
      </c>
      <c r="F136" s="232" t="s">
        <v>236</v>
      </c>
      <c r="G136" s="291" t="s">
        <v>24</v>
      </c>
      <c r="H136" s="265">
        <v>7</v>
      </c>
      <c r="I136" s="266">
        <v>4</v>
      </c>
      <c r="J136" s="266">
        <v>5</v>
      </c>
      <c r="K136" s="79">
        <v>5859.73</v>
      </c>
      <c r="L136" s="80"/>
      <c r="M136" s="81">
        <f t="shared" si="0"/>
        <v>0</v>
      </c>
      <c r="N136" s="81"/>
      <c r="O136" s="219"/>
      <c r="P136" s="267">
        <v>14</v>
      </c>
      <c r="Q136" s="79">
        <v>68482.759999999995</v>
      </c>
      <c r="R136" s="268">
        <v>6</v>
      </c>
      <c r="S136" s="81">
        <f t="shared" si="3"/>
        <v>29991.43</v>
      </c>
      <c r="T136" s="79">
        <v>15352.72</v>
      </c>
      <c r="U136" s="269">
        <v>14638.71</v>
      </c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34"/>
      <c r="G137" s="229" t="s">
        <v>25</v>
      </c>
      <c r="H137" s="116"/>
      <c r="I137" s="38"/>
      <c r="J137" s="38"/>
      <c r="K137" s="39"/>
      <c r="L137" s="40"/>
      <c r="M137" s="39">
        <f t="shared" si="0"/>
        <v>0</v>
      </c>
      <c r="N137" s="39"/>
      <c r="O137" s="41"/>
      <c r="P137" s="59"/>
      <c r="Q137" s="39"/>
      <c r="R137" s="40"/>
      <c r="S137" s="39">
        <f t="shared" si="3"/>
        <v>0</v>
      </c>
      <c r="T137" s="39"/>
      <c r="U137" s="4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124</v>
      </c>
      <c r="C138" s="377" t="s">
        <v>39</v>
      </c>
      <c r="D138" s="377" t="s">
        <v>314</v>
      </c>
      <c r="E138" s="377" t="s">
        <v>27</v>
      </c>
      <c r="F138" s="232" t="s">
        <v>237</v>
      </c>
      <c r="G138" s="23" t="s">
        <v>24</v>
      </c>
      <c r="H138" s="48">
        <v>10</v>
      </c>
      <c r="I138" s="203">
        <v>5</v>
      </c>
      <c r="J138" s="203">
        <v>6</v>
      </c>
      <c r="K138" s="65">
        <v>10020.51</v>
      </c>
      <c r="L138" s="51"/>
      <c r="M138" s="50">
        <f t="shared" si="0"/>
        <v>0</v>
      </c>
      <c r="N138" s="50"/>
      <c r="O138" s="31"/>
      <c r="P138" s="108">
        <v>38</v>
      </c>
      <c r="Q138" s="65">
        <v>226284.3</v>
      </c>
      <c r="R138" s="224">
        <v>7</v>
      </c>
      <c r="S138" s="50">
        <f t="shared" si="3"/>
        <v>74062.510000000009</v>
      </c>
      <c r="T138" s="65">
        <v>50185.66</v>
      </c>
      <c r="U138" s="225">
        <v>23876.85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87"/>
      <c r="B139" s="386"/>
      <c r="C139" s="386"/>
      <c r="D139" s="386"/>
      <c r="E139" s="386"/>
      <c r="F139" s="135"/>
      <c r="G139" s="154" t="s">
        <v>25</v>
      </c>
      <c r="H139" s="98"/>
      <c r="I139" s="155"/>
      <c r="J139" s="155"/>
      <c r="K139" s="239" t="s">
        <v>43</v>
      </c>
      <c r="L139" s="128"/>
      <c r="M139" s="129">
        <f t="shared" si="0"/>
        <v>0</v>
      </c>
      <c r="N139" s="129"/>
      <c r="O139" s="45"/>
      <c r="P139" s="156"/>
      <c r="Q139" s="129"/>
      <c r="R139" s="128"/>
      <c r="S139" s="129">
        <f t="shared" si="3"/>
        <v>0</v>
      </c>
      <c r="T139" s="129"/>
      <c r="U139" s="4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9"/>
      <c r="B140" s="380"/>
      <c r="C140" s="380"/>
      <c r="D140" s="380"/>
      <c r="E140" s="380"/>
      <c r="F140" s="54"/>
      <c r="G140" s="55" t="s">
        <v>28</v>
      </c>
      <c r="H140" s="111"/>
      <c r="I140" s="57"/>
      <c r="J140" s="57"/>
      <c r="K140" s="43"/>
      <c r="L140" s="44"/>
      <c r="M140" s="43">
        <f t="shared" si="0"/>
        <v>0</v>
      </c>
      <c r="N140" s="43"/>
      <c r="O140" s="41"/>
      <c r="P140" s="113">
        <v>1</v>
      </c>
      <c r="Q140" s="43"/>
      <c r="R140" s="44"/>
      <c r="S140" s="43">
        <f t="shared" si="3"/>
        <v>2305.1999999999998</v>
      </c>
      <c r="T140" s="114">
        <v>2305.1999999999998</v>
      </c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126</v>
      </c>
      <c r="C141" s="374" t="s">
        <v>22</v>
      </c>
      <c r="D141" s="378"/>
      <c r="E141" s="374" t="s">
        <v>65</v>
      </c>
      <c r="F141" s="150"/>
      <c r="G141" s="23" t="s">
        <v>24</v>
      </c>
      <c r="H141" s="151">
        <v>2</v>
      </c>
      <c r="I141" s="62">
        <v>1</v>
      </c>
      <c r="J141" s="62">
        <v>1</v>
      </c>
      <c r="K141" s="30">
        <v>384.2</v>
      </c>
      <c r="L141" s="27"/>
      <c r="M141" s="26">
        <f t="shared" si="0"/>
        <v>0</v>
      </c>
      <c r="N141" s="26"/>
      <c r="O141" s="31"/>
      <c r="P141" s="53">
        <v>15</v>
      </c>
      <c r="Q141" s="30">
        <v>11948.95</v>
      </c>
      <c r="R141" s="27"/>
      <c r="S141" s="26">
        <f t="shared" si="3"/>
        <v>0</v>
      </c>
      <c r="T141" s="26"/>
      <c r="U141" s="3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75"/>
      <c r="C142" s="375"/>
      <c r="D142" s="375"/>
      <c r="E142" s="375"/>
      <c r="F142" s="254" t="s">
        <v>316</v>
      </c>
      <c r="G142" s="35" t="s">
        <v>28</v>
      </c>
      <c r="H142" s="153">
        <v>3</v>
      </c>
      <c r="I142" s="37">
        <v>2</v>
      </c>
      <c r="J142" s="37">
        <v>2</v>
      </c>
      <c r="K142" s="68">
        <v>2305.1999999999998</v>
      </c>
      <c r="L142" s="40"/>
      <c r="M142" s="39">
        <f t="shared" si="0"/>
        <v>2305.1999999999998</v>
      </c>
      <c r="N142" s="39"/>
      <c r="O142" s="41">
        <f>2305.2</f>
        <v>2305.1999999999998</v>
      </c>
      <c r="P142" s="115">
        <v>1</v>
      </c>
      <c r="Q142" s="68">
        <v>700</v>
      </c>
      <c r="R142" s="40"/>
      <c r="S142" s="39">
        <f t="shared" si="3"/>
        <v>1056.55</v>
      </c>
      <c r="T142" s="39"/>
      <c r="U142" s="41">
        <f>1056.55</f>
        <v>1056.55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2"/>
      <c r="B143" s="381" t="s">
        <v>127</v>
      </c>
      <c r="C143" s="381" t="s">
        <v>22</v>
      </c>
      <c r="D143" s="381"/>
      <c r="E143" s="381" t="s">
        <v>67</v>
      </c>
      <c r="F143" s="223" t="s">
        <v>368</v>
      </c>
      <c r="G143" s="47" t="s">
        <v>24</v>
      </c>
      <c r="H143" s="48">
        <v>6</v>
      </c>
      <c r="I143" s="203">
        <v>3</v>
      </c>
      <c r="J143" s="203">
        <v>3</v>
      </c>
      <c r="K143" s="65">
        <v>3609.92</v>
      </c>
      <c r="L143" s="51"/>
      <c r="M143" s="50">
        <f t="shared" si="0"/>
        <v>0</v>
      </c>
      <c r="N143" s="50"/>
      <c r="O143" s="31"/>
      <c r="P143" s="108">
        <v>8</v>
      </c>
      <c r="Q143" s="65">
        <v>29582.03</v>
      </c>
      <c r="R143" s="51"/>
      <c r="S143" s="50">
        <f t="shared" si="3"/>
        <v>8462.64</v>
      </c>
      <c r="T143" s="50"/>
      <c r="U143" s="225">
        <v>8462.64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1" t="s">
        <v>317</v>
      </c>
      <c r="G144" s="55" t="s">
        <v>28</v>
      </c>
      <c r="H144" s="153">
        <v>7</v>
      </c>
      <c r="I144" s="37">
        <v>4</v>
      </c>
      <c r="J144" s="37">
        <v>4</v>
      </c>
      <c r="K144" s="68">
        <v>5174.6000000000004</v>
      </c>
      <c r="L144" s="40"/>
      <c r="M144" s="39">
        <f t="shared" si="0"/>
        <v>1578.8</v>
      </c>
      <c r="N144" s="39"/>
      <c r="O144" s="41">
        <f>1578.8</f>
        <v>1578.8</v>
      </c>
      <c r="P144" s="115">
        <v>2</v>
      </c>
      <c r="Q144" s="68">
        <v>15088</v>
      </c>
      <c r="R144" s="40"/>
      <c r="S144" s="39">
        <f t="shared" si="3"/>
        <v>0</v>
      </c>
      <c r="T144" s="39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128</v>
      </c>
      <c r="C145" s="381" t="s">
        <v>39</v>
      </c>
      <c r="D145" s="381" t="s">
        <v>129</v>
      </c>
      <c r="E145" s="381" t="s">
        <v>121</v>
      </c>
      <c r="F145" s="60"/>
      <c r="G145" s="23" t="s">
        <v>24</v>
      </c>
      <c r="H145" s="107"/>
      <c r="I145" s="49"/>
      <c r="J145" s="127"/>
      <c r="K145" s="50"/>
      <c r="L145" s="51"/>
      <c r="M145" s="50">
        <f t="shared" si="0"/>
        <v>0</v>
      </c>
      <c r="N145" s="50"/>
      <c r="O145" s="31"/>
      <c r="P145" s="108">
        <v>1</v>
      </c>
      <c r="Q145" s="65">
        <v>14638.71</v>
      </c>
      <c r="R145" s="51"/>
      <c r="S145" s="50">
        <f t="shared" si="3"/>
        <v>0</v>
      </c>
      <c r="T145" s="50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9"/>
      <c r="B146" s="380"/>
      <c r="C146" s="380"/>
      <c r="D146" s="380"/>
      <c r="E146" s="380"/>
      <c r="F146" s="247"/>
      <c r="G146" s="227" t="s">
        <v>25</v>
      </c>
      <c r="H146" s="153">
        <v>1</v>
      </c>
      <c r="I146" s="57"/>
      <c r="J146" s="57"/>
      <c r="K146" s="43"/>
      <c r="L146" s="44"/>
      <c r="M146" s="43">
        <f t="shared" si="0"/>
        <v>0</v>
      </c>
      <c r="N146" s="43"/>
      <c r="O146" s="41"/>
      <c r="P146" s="103"/>
      <c r="Q146" s="43"/>
      <c r="R146" s="44"/>
      <c r="S146" s="43">
        <f t="shared" si="3"/>
        <v>0</v>
      </c>
      <c r="T146" s="43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130</v>
      </c>
      <c r="C147" s="374" t="s">
        <v>22</v>
      </c>
      <c r="D147" s="374"/>
      <c r="E147" s="374" t="s">
        <v>131</v>
      </c>
      <c r="F147" s="223" t="s">
        <v>411</v>
      </c>
      <c r="G147" s="176" t="s">
        <v>24</v>
      </c>
      <c r="H147" s="48">
        <v>2</v>
      </c>
      <c r="I147" s="25"/>
      <c r="J147" s="25"/>
      <c r="K147" s="26"/>
      <c r="L147" s="27"/>
      <c r="M147" s="26">
        <f t="shared" si="0"/>
        <v>0</v>
      </c>
      <c r="N147" s="26"/>
      <c r="O147" s="31"/>
      <c r="P147" s="53">
        <v>4</v>
      </c>
      <c r="Q147" s="30">
        <v>22885.21</v>
      </c>
      <c r="R147" s="27"/>
      <c r="S147" s="26">
        <f t="shared" si="3"/>
        <v>4085.52</v>
      </c>
      <c r="T147" s="26"/>
      <c r="U147" s="225">
        <v>4085.52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12">
        <v>5</v>
      </c>
      <c r="I148" s="130">
        <v>2</v>
      </c>
      <c r="J148" s="130">
        <v>2</v>
      </c>
      <c r="K148" s="114">
        <v>1728.9</v>
      </c>
      <c r="L148" s="44"/>
      <c r="M148" s="43">
        <f t="shared" si="0"/>
        <v>0</v>
      </c>
      <c r="N148" s="43"/>
      <c r="O148" s="41"/>
      <c r="P148" s="113">
        <v>1</v>
      </c>
      <c r="Q148" s="114">
        <v>3457.8</v>
      </c>
      <c r="R148" s="44"/>
      <c r="S148" s="43">
        <f t="shared" si="3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132</v>
      </c>
      <c r="C149" s="374" t="s">
        <v>39</v>
      </c>
      <c r="D149" s="374" t="s">
        <v>238</v>
      </c>
      <c r="E149" s="377" t="s">
        <v>136</v>
      </c>
      <c r="F149" s="232" t="s">
        <v>239</v>
      </c>
      <c r="G149" s="23" t="s">
        <v>24</v>
      </c>
      <c r="H149" s="61">
        <v>5</v>
      </c>
      <c r="I149" s="62">
        <v>4</v>
      </c>
      <c r="J149" s="62">
        <v>4</v>
      </c>
      <c r="K149" s="30">
        <v>3842.01</v>
      </c>
      <c r="L149" s="27"/>
      <c r="M149" s="26">
        <f t="shared" si="0"/>
        <v>0</v>
      </c>
      <c r="N149" s="26"/>
      <c r="O149" s="31"/>
      <c r="P149" s="53">
        <v>10</v>
      </c>
      <c r="Q149" s="30">
        <v>28200</v>
      </c>
      <c r="R149" s="205">
        <v>1</v>
      </c>
      <c r="S149" s="26">
        <f t="shared" si="3"/>
        <v>8445.0499999999993</v>
      </c>
      <c r="T149" s="30">
        <v>2697.08</v>
      </c>
      <c r="U149" s="225">
        <v>5747.97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87"/>
      <c r="B150" s="386"/>
      <c r="C150" s="386"/>
      <c r="D150" s="386"/>
      <c r="E150" s="386"/>
      <c r="F150" s="237" t="s">
        <v>240</v>
      </c>
      <c r="G150" s="154" t="s">
        <v>28</v>
      </c>
      <c r="H150" s="112">
        <v>8</v>
      </c>
      <c r="I150" s="271">
        <v>3</v>
      </c>
      <c r="J150" s="271">
        <v>3</v>
      </c>
      <c r="K150" s="239">
        <v>4610.3999999999996</v>
      </c>
      <c r="L150" s="128"/>
      <c r="M150" s="129">
        <f t="shared" si="0"/>
        <v>0</v>
      </c>
      <c r="N150" s="129"/>
      <c r="O150" s="45"/>
      <c r="P150" s="238">
        <v>7</v>
      </c>
      <c r="Q150" s="239">
        <v>11775.73</v>
      </c>
      <c r="R150" s="128"/>
      <c r="S150" s="129">
        <f t="shared" si="3"/>
        <v>7222.96</v>
      </c>
      <c r="T150" s="239">
        <v>288.14999999999998</v>
      </c>
      <c r="U150" s="45">
        <f>6934.81</f>
        <v>6934.81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126"/>
      <c r="G151" s="55" t="s">
        <v>25</v>
      </c>
      <c r="H151" s="131"/>
      <c r="I151" s="57"/>
      <c r="J151" s="57"/>
      <c r="K151" s="43"/>
      <c r="L151" s="44"/>
      <c r="M151" s="43">
        <f t="shared" si="0"/>
        <v>0</v>
      </c>
      <c r="N151" s="43"/>
      <c r="O151" s="41"/>
      <c r="P151" s="103"/>
      <c r="Q151" s="43"/>
      <c r="R151" s="44"/>
      <c r="S151" s="43">
        <f t="shared" si="3"/>
        <v>0</v>
      </c>
      <c r="T151" s="43"/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2"/>
      <c r="B152" s="374" t="s">
        <v>133</v>
      </c>
      <c r="C152" s="374"/>
      <c r="D152" s="374"/>
      <c r="E152" s="381" t="s">
        <v>23</v>
      </c>
      <c r="F152" s="22"/>
      <c r="G152" s="23" t="s">
        <v>24</v>
      </c>
      <c r="H152" s="61">
        <v>5</v>
      </c>
      <c r="I152" s="25"/>
      <c r="J152" s="25"/>
      <c r="K152" s="26"/>
      <c r="L152" s="27"/>
      <c r="M152" s="26">
        <f t="shared" si="0"/>
        <v>0</v>
      </c>
      <c r="N152" s="26"/>
      <c r="O152" s="31"/>
      <c r="P152" s="99"/>
      <c r="Q152" s="26"/>
      <c r="R152" s="27"/>
      <c r="S152" s="26">
        <f t="shared" si="3"/>
        <v>0</v>
      </c>
      <c r="T152" s="26"/>
      <c r="U152" s="3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34"/>
      <c r="G153" s="35" t="s">
        <v>25</v>
      </c>
      <c r="H153" s="106"/>
      <c r="I153" s="38"/>
      <c r="J153" s="38"/>
      <c r="K153" s="39"/>
      <c r="L153" s="40"/>
      <c r="M153" s="39">
        <f t="shared" si="0"/>
        <v>0</v>
      </c>
      <c r="N153" s="39"/>
      <c r="O153" s="41"/>
      <c r="P153" s="59"/>
      <c r="Q153" s="39"/>
      <c r="R153" s="40"/>
      <c r="S153" s="39">
        <f t="shared" si="3"/>
        <v>0</v>
      </c>
      <c r="T153" s="39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134</v>
      </c>
      <c r="C154" s="374" t="s">
        <v>39</v>
      </c>
      <c r="D154" s="374" t="s">
        <v>280</v>
      </c>
      <c r="E154" s="374" t="s">
        <v>136</v>
      </c>
      <c r="F154" s="204" t="s">
        <v>282</v>
      </c>
      <c r="G154" s="176" t="s">
        <v>24</v>
      </c>
      <c r="H154" s="48">
        <v>6</v>
      </c>
      <c r="I154" s="203">
        <v>3</v>
      </c>
      <c r="J154" s="203">
        <v>3</v>
      </c>
      <c r="K154" s="65">
        <v>6564.06</v>
      </c>
      <c r="L154" s="51"/>
      <c r="M154" s="50">
        <f t="shared" si="0"/>
        <v>0</v>
      </c>
      <c r="N154" s="50"/>
      <c r="O154" s="31"/>
      <c r="P154" s="108">
        <v>5</v>
      </c>
      <c r="Q154" s="65">
        <v>27150.720000000001</v>
      </c>
      <c r="R154" s="224">
        <v>2</v>
      </c>
      <c r="S154" s="50">
        <f t="shared" si="3"/>
        <v>3694.33</v>
      </c>
      <c r="T154" s="65">
        <v>3694.33</v>
      </c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87"/>
      <c r="B155" s="386"/>
      <c r="C155" s="386"/>
      <c r="D155" s="386"/>
      <c r="E155" s="386"/>
      <c r="F155" s="235" t="s">
        <v>321</v>
      </c>
      <c r="G155" s="252" t="s">
        <v>28</v>
      </c>
      <c r="H155" s="151">
        <v>6</v>
      </c>
      <c r="I155" s="139"/>
      <c r="J155" s="139"/>
      <c r="K155" s="142"/>
      <c r="L155" s="143"/>
      <c r="M155" s="142">
        <f t="shared" si="0"/>
        <v>0</v>
      </c>
      <c r="N155" s="142"/>
      <c r="O155" s="45"/>
      <c r="P155" s="157">
        <v>4</v>
      </c>
      <c r="Q155" s="158">
        <v>8625.2900000000009</v>
      </c>
      <c r="R155" s="51"/>
      <c r="S155" s="50">
        <f t="shared" si="3"/>
        <v>6224.04</v>
      </c>
      <c r="T155" s="158">
        <v>6224.04</v>
      </c>
      <c r="U155" s="4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34"/>
      <c r="G156" s="229" t="s">
        <v>25</v>
      </c>
      <c r="H156" s="118"/>
      <c r="I156" s="57"/>
      <c r="J156" s="57"/>
      <c r="K156" s="43"/>
      <c r="L156" s="44"/>
      <c r="M156" s="43">
        <f t="shared" si="0"/>
        <v>0</v>
      </c>
      <c r="N156" s="43"/>
      <c r="O156" s="41"/>
      <c r="P156" s="103"/>
      <c r="Q156" s="43"/>
      <c r="R156" s="44"/>
      <c r="S156" s="43">
        <f t="shared" si="3"/>
        <v>0</v>
      </c>
      <c r="T156" s="43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2"/>
      <c r="B157" s="374" t="s">
        <v>137</v>
      </c>
      <c r="C157" s="377" t="s">
        <v>39</v>
      </c>
      <c r="D157" s="374" t="s">
        <v>322</v>
      </c>
      <c r="E157" s="377" t="s">
        <v>27</v>
      </c>
      <c r="F157" s="232" t="s">
        <v>323</v>
      </c>
      <c r="G157" s="23" t="s">
        <v>24</v>
      </c>
      <c r="H157" s="24">
        <v>7</v>
      </c>
      <c r="I157" s="62">
        <v>1</v>
      </c>
      <c r="J157" s="62">
        <v>1</v>
      </c>
      <c r="K157" s="30">
        <v>947.05</v>
      </c>
      <c r="L157" s="27"/>
      <c r="M157" s="26">
        <f t="shared" si="0"/>
        <v>0</v>
      </c>
      <c r="N157" s="26"/>
      <c r="O157" s="31"/>
      <c r="P157" s="53">
        <v>1</v>
      </c>
      <c r="Q157" s="30">
        <v>576.29999999999995</v>
      </c>
      <c r="R157" s="205">
        <v>1</v>
      </c>
      <c r="S157" s="26">
        <f t="shared" si="3"/>
        <v>576.29999999999995</v>
      </c>
      <c r="T157" s="30">
        <v>576.29999999999995</v>
      </c>
      <c r="U157" s="22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80"/>
      <c r="F158" s="220" t="s">
        <v>241</v>
      </c>
      <c r="G158" s="35" t="s">
        <v>28</v>
      </c>
      <c r="H158" s="66">
        <v>5</v>
      </c>
      <c r="I158" s="38"/>
      <c r="J158" s="38"/>
      <c r="K158" s="39"/>
      <c r="L158" s="40"/>
      <c r="M158" s="39">
        <f t="shared" si="0"/>
        <v>0</v>
      </c>
      <c r="N158" s="39"/>
      <c r="O158" s="41"/>
      <c r="P158" s="115">
        <v>2</v>
      </c>
      <c r="Q158" s="68">
        <v>3265.7</v>
      </c>
      <c r="R158" s="40"/>
      <c r="S158" s="39">
        <f t="shared" si="3"/>
        <v>1921</v>
      </c>
      <c r="T158" s="39"/>
      <c r="U158" s="41">
        <f>1921</f>
        <v>1921</v>
      </c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138</v>
      </c>
      <c r="C159" s="374" t="s">
        <v>22</v>
      </c>
      <c r="D159" s="374"/>
      <c r="E159" s="374" t="s">
        <v>27</v>
      </c>
      <c r="F159" s="204" t="s">
        <v>324</v>
      </c>
      <c r="G159" s="176" t="s">
        <v>24</v>
      </c>
      <c r="H159" s="151">
        <v>4</v>
      </c>
      <c r="I159" s="203">
        <v>3</v>
      </c>
      <c r="J159" s="203">
        <v>3</v>
      </c>
      <c r="K159" s="65">
        <v>7338.22</v>
      </c>
      <c r="L159" s="51"/>
      <c r="M159" s="50">
        <f t="shared" si="0"/>
        <v>0</v>
      </c>
      <c r="N159" s="50"/>
      <c r="O159" s="31"/>
      <c r="P159" s="108">
        <v>8</v>
      </c>
      <c r="Q159" s="65">
        <v>16335.71</v>
      </c>
      <c r="R159" s="224">
        <v>7</v>
      </c>
      <c r="S159" s="50">
        <f t="shared" si="3"/>
        <v>11686.89</v>
      </c>
      <c r="T159" s="65">
        <v>11686.89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220" t="s">
        <v>242</v>
      </c>
      <c r="G160" s="229" t="s">
        <v>28</v>
      </c>
      <c r="H160" s="133">
        <v>6</v>
      </c>
      <c r="I160" s="130">
        <v>2</v>
      </c>
      <c r="J160" s="130">
        <v>2</v>
      </c>
      <c r="K160" s="114">
        <v>3880.42</v>
      </c>
      <c r="L160" s="44"/>
      <c r="M160" s="43">
        <f t="shared" si="0"/>
        <v>0</v>
      </c>
      <c r="N160" s="43"/>
      <c r="O160" s="41"/>
      <c r="P160" s="113">
        <v>3</v>
      </c>
      <c r="Q160" s="114">
        <v>7203.75</v>
      </c>
      <c r="R160" s="44"/>
      <c r="S160" s="43">
        <f t="shared" si="3"/>
        <v>4802.5</v>
      </c>
      <c r="T160" s="114">
        <v>4802.5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139</v>
      </c>
      <c r="C161" s="374" t="s">
        <v>22</v>
      </c>
      <c r="D161" s="374"/>
      <c r="E161" s="374" t="s">
        <v>67</v>
      </c>
      <c r="F161" s="232" t="s">
        <v>325</v>
      </c>
      <c r="G161" s="23" t="s">
        <v>24</v>
      </c>
      <c r="H161" s="151">
        <v>4</v>
      </c>
      <c r="I161" s="62">
        <v>3</v>
      </c>
      <c r="J161" s="62">
        <v>4</v>
      </c>
      <c r="K161" s="30">
        <v>11839.32</v>
      </c>
      <c r="L161" s="27"/>
      <c r="M161" s="26">
        <f t="shared" si="0"/>
        <v>0</v>
      </c>
      <c r="N161" s="26"/>
      <c r="O161" s="31"/>
      <c r="P161" s="53">
        <v>9</v>
      </c>
      <c r="Q161" s="30">
        <v>21556.66</v>
      </c>
      <c r="R161" s="205">
        <v>2</v>
      </c>
      <c r="S161" s="26">
        <f t="shared" si="3"/>
        <v>5290.28</v>
      </c>
      <c r="T161" s="30">
        <v>5290.28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33" t="s">
        <v>326</v>
      </c>
      <c r="G162" s="227" t="s">
        <v>28</v>
      </c>
      <c r="H162" s="112">
        <v>4</v>
      </c>
      <c r="I162" s="130">
        <v>1</v>
      </c>
      <c r="J162" s="130">
        <v>1</v>
      </c>
      <c r="K162" s="114">
        <v>1728.9</v>
      </c>
      <c r="L162" s="44"/>
      <c r="M162" s="43">
        <f t="shared" si="0"/>
        <v>0</v>
      </c>
      <c r="N162" s="43"/>
      <c r="O162" s="45"/>
      <c r="P162" s="113">
        <v>2</v>
      </c>
      <c r="Q162" s="114">
        <v>3976.1</v>
      </c>
      <c r="R162" s="44"/>
      <c r="S162" s="43">
        <f t="shared" si="3"/>
        <v>10253.700000000001</v>
      </c>
      <c r="T162" s="114">
        <v>6269.7</v>
      </c>
      <c r="U162" s="45">
        <f>2401.2+1582.8</f>
        <v>3984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140</v>
      </c>
      <c r="C163" s="374" t="s">
        <v>39</v>
      </c>
      <c r="D163" s="374" t="s">
        <v>369</v>
      </c>
      <c r="E163" s="374" t="s">
        <v>27</v>
      </c>
      <c r="F163" s="204" t="s">
        <v>370</v>
      </c>
      <c r="G163" s="176" t="s">
        <v>24</v>
      </c>
      <c r="H163" s="24">
        <v>3</v>
      </c>
      <c r="I163" s="62">
        <v>1</v>
      </c>
      <c r="J163" s="62">
        <v>1</v>
      </c>
      <c r="K163" s="30">
        <v>1045.98</v>
      </c>
      <c r="L163" s="27"/>
      <c r="M163" s="26">
        <f t="shared" si="0"/>
        <v>0</v>
      </c>
      <c r="N163" s="26"/>
      <c r="O163" s="159"/>
      <c r="P163" s="53">
        <v>3</v>
      </c>
      <c r="Q163" s="30">
        <v>20168.78</v>
      </c>
      <c r="R163" s="27"/>
      <c r="S163" s="26">
        <f t="shared" si="3"/>
        <v>20168.78</v>
      </c>
      <c r="T163" s="30">
        <v>2014.19</v>
      </c>
      <c r="U163" s="241">
        <v>18154.59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243</v>
      </c>
      <c r="G164" s="282" t="s">
        <v>28</v>
      </c>
      <c r="H164" s="207">
        <v>4</v>
      </c>
      <c r="I164" s="208">
        <v>1</v>
      </c>
      <c r="J164" s="208">
        <v>1</v>
      </c>
      <c r="K164" s="209">
        <v>1728</v>
      </c>
      <c r="L164" s="210"/>
      <c r="M164" s="211">
        <f t="shared" si="0"/>
        <v>1728.9</v>
      </c>
      <c r="N164" s="211"/>
      <c r="O164" s="274">
        <f>1728.9</f>
        <v>1728.9</v>
      </c>
      <c r="P164" s="262">
        <v>2</v>
      </c>
      <c r="Q164" s="209">
        <v>2420.46</v>
      </c>
      <c r="R164" s="210"/>
      <c r="S164" s="211">
        <f t="shared" si="3"/>
        <v>0</v>
      </c>
      <c r="T164" s="211"/>
      <c r="U164" s="212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413</v>
      </c>
      <c r="C165" s="374" t="s">
        <v>22</v>
      </c>
      <c r="D165" s="374"/>
      <c r="E165" s="374" t="s">
        <v>391</v>
      </c>
      <c r="F165" s="223" t="s">
        <v>414</v>
      </c>
      <c r="G165" s="213" t="s">
        <v>24</v>
      </c>
      <c r="H165" s="24"/>
      <c r="I165" s="25"/>
      <c r="J165" s="25"/>
      <c r="K165" s="26"/>
      <c r="L165" s="27"/>
      <c r="M165" s="26">
        <f t="shared" si="0"/>
        <v>0</v>
      </c>
      <c r="N165" s="26"/>
      <c r="O165" s="28"/>
      <c r="P165" s="214"/>
      <c r="Q165" s="30"/>
      <c r="R165" s="205"/>
      <c r="S165" s="26">
        <f t="shared" si="3"/>
        <v>0</v>
      </c>
      <c r="T165" s="30"/>
      <c r="U165" s="2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/>
      <c r="G166" s="215" t="s">
        <v>28</v>
      </c>
      <c r="H166" s="66"/>
      <c r="I166" s="38"/>
      <c r="J166" s="38"/>
      <c r="K166" s="39"/>
      <c r="L166" s="40"/>
      <c r="M166" s="39">
        <f t="shared" si="0"/>
        <v>0</v>
      </c>
      <c r="N166" s="39"/>
      <c r="O166" s="41"/>
      <c r="P166" s="217"/>
      <c r="Q166" s="68"/>
      <c r="R166" s="285"/>
      <c r="S166" s="39">
        <f t="shared" si="3"/>
        <v>0</v>
      </c>
      <c r="T166" s="68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6"/>
      <c r="B167" s="377" t="s">
        <v>141</v>
      </c>
      <c r="C167" s="377" t="s">
        <v>39</v>
      </c>
      <c r="D167" s="377" t="s">
        <v>371</v>
      </c>
      <c r="E167" s="377" t="s">
        <v>27</v>
      </c>
      <c r="F167" s="232" t="s">
        <v>372</v>
      </c>
      <c r="G167" s="95" t="s">
        <v>24</v>
      </c>
      <c r="H167" s="281">
        <v>3</v>
      </c>
      <c r="I167" s="96"/>
      <c r="J167" s="96"/>
      <c r="K167" s="81"/>
      <c r="L167" s="80"/>
      <c r="M167" s="81">
        <f t="shared" si="0"/>
        <v>0</v>
      </c>
      <c r="N167" s="81"/>
      <c r="O167" s="219"/>
      <c r="P167" s="267">
        <v>2</v>
      </c>
      <c r="Q167" s="79">
        <v>4427.91</v>
      </c>
      <c r="R167" s="268">
        <v>1</v>
      </c>
      <c r="S167" s="81">
        <f t="shared" si="3"/>
        <v>2497.3000000000002</v>
      </c>
      <c r="T167" s="79">
        <v>2497.3000000000002</v>
      </c>
      <c r="U167" s="219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54"/>
      <c r="G168" s="55" t="s">
        <v>28</v>
      </c>
      <c r="H168" s="118"/>
      <c r="I168" s="57"/>
      <c r="J168" s="57"/>
      <c r="K168" s="43"/>
      <c r="L168" s="44"/>
      <c r="M168" s="43">
        <f t="shared" si="0"/>
        <v>0</v>
      </c>
      <c r="N168" s="43"/>
      <c r="O168" s="45"/>
      <c r="P168" s="103"/>
      <c r="Q168" s="43"/>
      <c r="R168" s="44"/>
      <c r="S168" s="43">
        <f t="shared" si="3"/>
        <v>0</v>
      </c>
      <c r="T168" s="43"/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142</v>
      </c>
      <c r="C169" s="374" t="s">
        <v>39</v>
      </c>
      <c r="D169" s="374" t="s">
        <v>415</v>
      </c>
      <c r="E169" s="374" t="s">
        <v>27</v>
      </c>
      <c r="F169" s="223" t="s">
        <v>416</v>
      </c>
      <c r="G169" s="23" t="s">
        <v>24</v>
      </c>
      <c r="H169" s="24">
        <v>2</v>
      </c>
      <c r="I169" s="62">
        <v>2</v>
      </c>
      <c r="J169" s="62">
        <v>2</v>
      </c>
      <c r="K169" s="30">
        <v>524.91</v>
      </c>
      <c r="L169" s="27"/>
      <c r="M169" s="26">
        <f t="shared" si="0"/>
        <v>524.91</v>
      </c>
      <c r="N169" s="26"/>
      <c r="O169" s="241">
        <v>524.91</v>
      </c>
      <c r="P169" s="53">
        <v>1</v>
      </c>
      <c r="Q169" s="30">
        <v>412.05</v>
      </c>
      <c r="R169" s="27"/>
      <c r="S169" s="26">
        <f t="shared" si="3"/>
        <v>412.05</v>
      </c>
      <c r="T169" s="26"/>
      <c r="U169" s="241">
        <v>412.05</v>
      </c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105"/>
      <c r="G170" s="35" t="s">
        <v>28</v>
      </c>
      <c r="H170" s="36"/>
      <c r="I170" s="38"/>
      <c r="J170" s="38"/>
      <c r="K170" s="39"/>
      <c r="L170" s="40"/>
      <c r="M170" s="39">
        <f t="shared" si="0"/>
        <v>0</v>
      </c>
      <c r="N170" s="39"/>
      <c r="O170" s="41"/>
      <c r="P170" s="59"/>
      <c r="Q170" s="39"/>
      <c r="R170" s="40"/>
      <c r="S170" s="39">
        <f t="shared" si="3"/>
        <v>0</v>
      </c>
      <c r="T170" s="39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82"/>
      <c r="B171" s="381" t="s">
        <v>143</v>
      </c>
      <c r="C171" s="381" t="s">
        <v>39</v>
      </c>
      <c r="D171" s="381" t="s">
        <v>327</v>
      </c>
      <c r="E171" s="381" t="s">
        <v>145</v>
      </c>
      <c r="F171" s="223" t="s">
        <v>215</v>
      </c>
      <c r="G171" s="47" t="s">
        <v>24</v>
      </c>
      <c r="H171" s="151">
        <v>3</v>
      </c>
      <c r="I171" s="49"/>
      <c r="J171" s="49"/>
      <c r="K171" s="50"/>
      <c r="L171" s="51"/>
      <c r="M171" s="50">
        <f t="shared" si="0"/>
        <v>0</v>
      </c>
      <c r="N171" s="50"/>
      <c r="O171" s="31"/>
      <c r="P171" s="108">
        <v>10</v>
      </c>
      <c r="Q171" s="65">
        <v>34311.440000000002</v>
      </c>
      <c r="R171" s="224">
        <v>4</v>
      </c>
      <c r="S171" s="50">
        <f t="shared" si="3"/>
        <v>16502.04</v>
      </c>
      <c r="T171" s="65">
        <v>14714.18</v>
      </c>
      <c r="U171" s="225">
        <v>1787.86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9"/>
      <c r="B172" s="380"/>
      <c r="C172" s="380"/>
      <c r="D172" s="380"/>
      <c r="E172" s="380"/>
      <c r="F172" s="233" t="s">
        <v>244</v>
      </c>
      <c r="G172" s="227" t="s">
        <v>28</v>
      </c>
      <c r="H172" s="133">
        <v>5</v>
      </c>
      <c r="I172" s="130">
        <v>1</v>
      </c>
      <c r="J172" s="130">
        <v>1</v>
      </c>
      <c r="K172" s="114">
        <v>2497.3000000000002</v>
      </c>
      <c r="L172" s="128"/>
      <c r="M172" s="50">
        <f t="shared" si="0"/>
        <v>0</v>
      </c>
      <c r="N172" s="43"/>
      <c r="O172" s="41"/>
      <c r="P172" s="113">
        <v>1</v>
      </c>
      <c r="Q172" s="114">
        <v>5426.7</v>
      </c>
      <c r="R172" s="44"/>
      <c r="S172" s="43">
        <f t="shared" si="3"/>
        <v>576.29999999999995</v>
      </c>
      <c r="T172" s="114">
        <v>576.29999999999995</v>
      </c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146</v>
      </c>
      <c r="C173" s="374" t="s">
        <v>39</v>
      </c>
      <c r="D173" s="374" t="s">
        <v>328</v>
      </c>
      <c r="E173" s="374" t="s">
        <v>27</v>
      </c>
      <c r="F173" s="204" t="s">
        <v>329</v>
      </c>
      <c r="G173" s="176" t="s">
        <v>24</v>
      </c>
      <c r="H173" s="48">
        <v>5</v>
      </c>
      <c r="I173" s="62">
        <v>1</v>
      </c>
      <c r="J173" s="62">
        <v>1</v>
      </c>
      <c r="K173" s="30">
        <v>1477.25</v>
      </c>
      <c r="L173" s="27"/>
      <c r="M173" s="26">
        <f t="shared" si="0"/>
        <v>0</v>
      </c>
      <c r="N173" s="26"/>
      <c r="O173" s="31"/>
      <c r="P173" s="53">
        <v>8</v>
      </c>
      <c r="Q173" s="30">
        <v>17730.189999999999</v>
      </c>
      <c r="R173" s="205">
        <v>1</v>
      </c>
      <c r="S173" s="26">
        <f t="shared" si="3"/>
        <v>1267.8599999999999</v>
      </c>
      <c r="T173" s="30">
        <v>1267.8599999999999</v>
      </c>
      <c r="U173" s="225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 t="s">
        <v>330</v>
      </c>
      <c r="G174" s="229" t="s">
        <v>28</v>
      </c>
      <c r="H174" s="153">
        <v>1</v>
      </c>
      <c r="I174" s="57"/>
      <c r="J174" s="57"/>
      <c r="K174" s="43"/>
      <c r="L174" s="44"/>
      <c r="M174" s="43">
        <f t="shared" si="0"/>
        <v>0</v>
      </c>
      <c r="N174" s="43"/>
      <c r="O174" s="41"/>
      <c r="P174" s="115">
        <v>3</v>
      </c>
      <c r="Q174" s="68">
        <v>16520.599999999999</v>
      </c>
      <c r="R174" s="40"/>
      <c r="S174" s="39">
        <f t="shared" si="3"/>
        <v>16520.600000000002</v>
      </c>
      <c r="T174" s="68">
        <v>576.29999999999995</v>
      </c>
      <c r="U174" s="41">
        <f>11910.2+4034.1</f>
        <v>15944.300000000001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148</v>
      </c>
      <c r="C175" s="374" t="s">
        <v>39</v>
      </c>
      <c r="D175" s="374" t="s">
        <v>149</v>
      </c>
      <c r="E175" s="374" t="s">
        <v>27</v>
      </c>
      <c r="F175" s="232" t="s">
        <v>218</v>
      </c>
      <c r="G175" s="23" t="s">
        <v>24</v>
      </c>
      <c r="H175" s="48">
        <v>12</v>
      </c>
      <c r="I175" s="62">
        <v>8</v>
      </c>
      <c r="J175" s="204">
        <v>9</v>
      </c>
      <c r="K175" s="30">
        <v>11351.58</v>
      </c>
      <c r="L175" s="27"/>
      <c r="M175" s="26">
        <f t="shared" si="0"/>
        <v>0</v>
      </c>
      <c r="N175" s="26"/>
      <c r="O175" s="31"/>
      <c r="P175" s="108">
        <v>19</v>
      </c>
      <c r="Q175" s="65">
        <v>55500.42</v>
      </c>
      <c r="R175" s="224">
        <v>5</v>
      </c>
      <c r="S175" s="50">
        <f t="shared" si="3"/>
        <v>17249.09</v>
      </c>
      <c r="T175" s="65">
        <v>17249.09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247"/>
      <c r="G176" s="227" t="s">
        <v>28</v>
      </c>
      <c r="H176" s="292">
        <v>2</v>
      </c>
      <c r="I176" s="261"/>
      <c r="J176" s="261"/>
      <c r="K176" s="211"/>
      <c r="L176" s="210"/>
      <c r="M176" s="211">
        <f t="shared" si="0"/>
        <v>0</v>
      </c>
      <c r="N176" s="211"/>
      <c r="O176" s="212"/>
      <c r="P176" s="262">
        <v>1</v>
      </c>
      <c r="Q176" s="209">
        <v>576.29999999999995</v>
      </c>
      <c r="R176" s="210"/>
      <c r="S176" s="211">
        <f t="shared" si="3"/>
        <v>1921</v>
      </c>
      <c r="T176" s="209">
        <v>1921</v>
      </c>
      <c r="U176" s="212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373</v>
      </c>
      <c r="C177" s="374" t="s">
        <v>22</v>
      </c>
      <c r="D177" s="374"/>
      <c r="E177" s="374" t="s">
        <v>27</v>
      </c>
      <c r="F177" s="223" t="s">
        <v>417</v>
      </c>
      <c r="G177" s="213" t="s">
        <v>24</v>
      </c>
      <c r="H177" s="104"/>
      <c r="I177" s="25"/>
      <c r="J177" s="25"/>
      <c r="K177" s="162"/>
      <c r="L177" s="163"/>
      <c r="M177" s="162">
        <f t="shared" si="0"/>
        <v>0</v>
      </c>
      <c r="N177" s="162"/>
      <c r="O177" s="28"/>
      <c r="P177" s="275"/>
      <c r="Q177" s="26"/>
      <c r="R177" s="27"/>
      <c r="S177" s="26">
        <f t="shared" si="3"/>
        <v>0</v>
      </c>
      <c r="T177" s="26"/>
      <c r="U177" s="2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105"/>
      <c r="G178" s="215" t="s">
        <v>28</v>
      </c>
      <c r="H178" s="117">
        <v>2</v>
      </c>
      <c r="I178" s="38"/>
      <c r="J178" s="38"/>
      <c r="K178" s="164"/>
      <c r="L178" s="165"/>
      <c r="M178" s="164">
        <f t="shared" si="0"/>
        <v>0</v>
      </c>
      <c r="N178" s="164"/>
      <c r="O178" s="41"/>
      <c r="P178" s="276"/>
      <c r="Q178" s="39"/>
      <c r="R178" s="40"/>
      <c r="S178" s="39">
        <f t="shared" si="3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6"/>
      <c r="B179" s="402" t="s">
        <v>150</v>
      </c>
      <c r="C179" s="377" t="s">
        <v>39</v>
      </c>
      <c r="D179" s="377" t="s">
        <v>151</v>
      </c>
      <c r="E179" s="377" t="s">
        <v>152</v>
      </c>
      <c r="F179" s="72"/>
      <c r="G179" s="95" t="s">
        <v>24</v>
      </c>
      <c r="H179" s="74"/>
      <c r="I179" s="96"/>
      <c r="J179" s="96"/>
      <c r="K179" s="293"/>
      <c r="L179" s="294"/>
      <c r="M179" s="293">
        <f t="shared" si="0"/>
        <v>0</v>
      </c>
      <c r="N179" s="293"/>
      <c r="O179" s="82"/>
      <c r="P179" s="295"/>
      <c r="Q179" s="81"/>
      <c r="R179" s="80"/>
      <c r="S179" s="81">
        <f t="shared" si="3"/>
        <v>0</v>
      </c>
      <c r="T179" s="81"/>
      <c r="U179" s="8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89"/>
      <c r="C180" s="375"/>
      <c r="D180" s="375"/>
      <c r="E180" s="375"/>
      <c r="F180" s="220" t="s">
        <v>331</v>
      </c>
      <c r="G180" s="35" t="s">
        <v>25</v>
      </c>
      <c r="H180" s="106"/>
      <c r="I180" s="38"/>
      <c r="J180" s="38"/>
      <c r="K180" s="164"/>
      <c r="L180" s="165"/>
      <c r="M180" s="164">
        <f t="shared" si="0"/>
        <v>0</v>
      </c>
      <c r="N180" s="164"/>
      <c r="O180" s="41"/>
      <c r="P180" s="67">
        <v>3</v>
      </c>
      <c r="Q180" s="68">
        <v>10841.33</v>
      </c>
      <c r="R180" s="285">
        <v>3</v>
      </c>
      <c r="S180" s="68">
        <v>10841.33</v>
      </c>
      <c r="T180" s="68">
        <v>10841.33</v>
      </c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82"/>
      <c r="B181" s="381" t="s">
        <v>153</v>
      </c>
      <c r="C181" s="374" t="s">
        <v>39</v>
      </c>
      <c r="D181" s="381" t="s">
        <v>332</v>
      </c>
      <c r="E181" s="381" t="s">
        <v>27</v>
      </c>
      <c r="F181" s="223" t="s">
        <v>333</v>
      </c>
      <c r="G181" s="47" t="s">
        <v>24</v>
      </c>
      <c r="H181" s="48">
        <v>7</v>
      </c>
      <c r="I181" s="203">
        <v>6</v>
      </c>
      <c r="J181" s="203">
        <v>7</v>
      </c>
      <c r="K181" s="242">
        <v>15611.12</v>
      </c>
      <c r="L181" s="167"/>
      <c r="M181" s="166">
        <f t="shared" si="0"/>
        <v>0</v>
      </c>
      <c r="N181" s="166"/>
      <c r="O181" s="31"/>
      <c r="P181" s="108">
        <v>6</v>
      </c>
      <c r="Q181" s="65">
        <v>34185.78</v>
      </c>
      <c r="R181" s="224">
        <v>4</v>
      </c>
      <c r="S181" s="50">
        <f t="shared" ref="S181:S200" si="4">T181+U181</f>
        <v>15452.64</v>
      </c>
      <c r="T181" s="65">
        <v>15452.64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9"/>
      <c r="B182" s="380"/>
      <c r="C182" s="375"/>
      <c r="D182" s="380"/>
      <c r="E182" s="380"/>
      <c r="F182" s="34"/>
      <c r="G182" s="35" t="s">
        <v>28</v>
      </c>
      <c r="H182" s="111"/>
      <c r="I182" s="57"/>
      <c r="J182" s="57"/>
      <c r="K182" s="43"/>
      <c r="L182" s="44"/>
      <c r="M182" s="43">
        <f t="shared" si="0"/>
        <v>0</v>
      </c>
      <c r="N182" s="43"/>
      <c r="O182" s="41"/>
      <c r="P182" s="103"/>
      <c r="Q182" s="43"/>
      <c r="R182" s="44"/>
      <c r="S182" s="43">
        <f t="shared" si="4"/>
        <v>1921</v>
      </c>
      <c r="T182" s="114">
        <v>1921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155</v>
      </c>
      <c r="C183" s="374" t="s">
        <v>22</v>
      </c>
      <c r="D183" s="374"/>
      <c r="E183" s="374" t="s">
        <v>37</v>
      </c>
      <c r="F183" s="223" t="s">
        <v>245</v>
      </c>
      <c r="G183" s="23" t="s">
        <v>24</v>
      </c>
      <c r="H183" s="48">
        <v>3</v>
      </c>
      <c r="I183" s="25"/>
      <c r="J183" s="25"/>
      <c r="K183" s="26"/>
      <c r="L183" s="27"/>
      <c r="M183" s="26">
        <f t="shared" si="0"/>
        <v>0</v>
      </c>
      <c r="N183" s="26"/>
      <c r="O183" s="31"/>
      <c r="P183" s="53">
        <v>4</v>
      </c>
      <c r="Q183" s="30">
        <v>10125.48</v>
      </c>
      <c r="R183" s="205">
        <v>1</v>
      </c>
      <c r="S183" s="26">
        <f t="shared" si="4"/>
        <v>3759.09</v>
      </c>
      <c r="T183" s="30">
        <v>3759.09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105"/>
      <c r="G184" s="35" t="s">
        <v>28</v>
      </c>
      <c r="H184" s="116"/>
      <c r="I184" s="38"/>
      <c r="J184" s="38"/>
      <c r="K184" s="39"/>
      <c r="L184" s="40"/>
      <c r="M184" s="39">
        <f t="shared" si="0"/>
        <v>0</v>
      </c>
      <c r="N184" s="39"/>
      <c r="O184" s="41"/>
      <c r="P184" s="59"/>
      <c r="Q184" s="39"/>
      <c r="R184" s="40"/>
      <c r="S184" s="39">
        <f t="shared" si="4"/>
        <v>0</v>
      </c>
      <c r="T184" s="39"/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156</v>
      </c>
      <c r="C185" s="381" t="s">
        <v>46</v>
      </c>
      <c r="D185" s="385" t="s">
        <v>418</v>
      </c>
      <c r="E185" s="381" t="s">
        <v>27</v>
      </c>
      <c r="F185" s="223" t="s">
        <v>419</v>
      </c>
      <c r="G185" s="23" t="s">
        <v>24</v>
      </c>
      <c r="H185" s="98"/>
      <c r="I185" s="49"/>
      <c r="J185" s="49"/>
      <c r="K185" s="50"/>
      <c r="L185" s="51"/>
      <c r="M185" s="50">
        <f t="shared" si="0"/>
        <v>0</v>
      </c>
      <c r="N185" s="50"/>
      <c r="O185" s="31"/>
      <c r="P185" s="108">
        <v>1</v>
      </c>
      <c r="Q185" s="65">
        <v>11832.5</v>
      </c>
      <c r="R185" s="51"/>
      <c r="S185" s="50">
        <f t="shared" si="4"/>
        <v>11832.5</v>
      </c>
      <c r="T185" s="50"/>
      <c r="U185" s="225">
        <v>11832.5</v>
      </c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80"/>
      <c r="D186" s="380"/>
      <c r="E186" s="380"/>
      <c r="F186" s="54"/>
      <c r="G186" s="55" t="s">
        <v>28</v>
      </c>
      <c r="H186" s="118"/>
      <c r="I186" s="57"/>
      <c r="J186" s="57"/>
      <c r="K186" s="43"/>
      <c r="L186" s="44"/>
      <c r="M186" s="43">
        <f t="shared" si="0"/>
        <v>0</v>
      </c>
      <c r="N186" s="43"/>
      <c r="O186" s="41"/>
      <c r="P186" s="103"/>
      <c r="Q186" s="43"/>
      <c r="R186" s="44"/>
      <c r="S186" s="43">
        <f t="shared" si="4"/>
        <v>0</v>
      </c>
      <c r="T186" s="43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157</v>
      </c>
      <c r="C187" s="390"/>
      <c r="D187" s="374"/>
      <c r="E187" s="374"/>
      <c r="F187" s="22"/>
      <c r="G187" s="23" t="s">
        <v>24</v>
      </c>
      <c r="H187" s="104"/>
      <c r="I187" s="25"/>
      <c r="J187" s="25"/>
      <c r="K187" s="26"/>
      <c r="L187" s="27"/>
      <c r="M187" s="26">
        <f t="shared" si="0"/>
        <v>0</v>
      </c>
      <c r="N187" s="26"/>
      <c r="O187" s="31"/>
      <c r="P187" s="120"/>
      <c r="Q187" s="26"/>
      <c r="R187" s="27"/>
      <c r="S187" s="26">
        <f t="shared" si="4"/>
        <v>0</v>
      </c>
      <c r="T187" s="26"/>
      <c r="U187" s="3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34"/>
      <c r="G188" s="35" t="s">
        <v>28</v>
      </c>
      <c r="H188" s="106"/>
      <c r="I188" s="38"/>
      <c r="J188" s="38"/>
      <c r="K188" s="39"/>
      <c r="L188" s="40"/>
      <c r="M188" s="39">
        <f t="shared" si="0"/>
        <v>0</v>
      </c>
      <c r="N188" s="39"/>
      <c r="O188" s="41"/>
      <c r="P188" s="69"/>
      <c r="Q188" s="39"/>
      <c r="R188" s="40"/>
      <c r="S188" s="39">
        <f t="shared" si="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2"/>
      <c r="B189" s="374" t="s">
        <v>158</v>
      </c>
      <c r="C189" s="374" t="s">
        <v>39</v>
      </c>
      <c r="D189" s="374" t="s">
        <v>288</v>
      </c>
      <c r="E189" s="374" t="s">
        <v>27</v>
      </c>
      <c r="F189" s="204" t="s">
        <v>289</v>
      </c>
      <c r="G189" s="176" t="s">
        <v>24</v>
      </c>
      <c r="H189" s="48">
        <v>7</v>
      </c>
      <c r="I189" s="203">
        <v>6</v>
      </c>
      <c r="J189" s="203">
        <v>6</v>
      </c>
      <c r="K189" s="65">
        <v>11123.36</v>
      </c>
      <c r="L189" s="51"/>
      <c r="M189" s="50">
        <f t="shared" si="0"/>
        <v>0</v>
      </c>
      <c r="N189" s="50"/>
      <c r="O189" s="31"/>
      <c r="P189" s="108">
        <v>6</v>
      </c>
      <c r="Q189" s="65">
        <v>12417.59</v>
      </c>
      <c r="R189" s="224">
        <v>1</v>
      </c>
      <c r="S189" s="50">
        <f t="shared" si="4"/>
        <v>2627.93</v>
      </c>
      <c r="T189" s="65">
        <v>2627.93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3"/>
      <c r="B190" s="375"/>
      <c r="C190" s="375"/>
      <c r="D190" s="375"/>
      <c r="E190" s="375"/>
      <c r="F190" s="220" t="s">
        <v>334</v>
      </c>
      <c r="G190" s="229" t="s">
        <v>28</v>
      </c>
      <c r="H190" s="117">
        <v>1</v>
      </c>
      <c r="I190" s="38"/>
      <c r="J190" s="38"/>
      <c r="K190" s="39"/>
      <c r="L190" s="40"/>
      <c r="M190" s="39">
        <f t="shared" si="0"/>
        <v>0</v>
      </c>
      <c r="N190" s="39"/>
      <c r="O190" s="41"/>
      <c r="P190" s="59"/>
      <c r="Q190" s="39"/>
      <c r="R190" s="40"/>
      <c r="S190" s="39">
        <f t="shared" si="4"/>
        <v>1152.5999999999999</v>
      </c>
      <c r="T190" s="68">
        <v>1152.5999999999999</v>
      </c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6"/>
      <c r="B191" s="377" t="s">
        <v>159</v>
      </c>
      <c r="C191" s="377" t="s">
        <v>22</v>
      </c>
      <c r="D191" s="377"/>
      <c r="E191" s="377" t="s">
        <v>160</v>
      </c>
      <c r="F191" s="232" t="s">
        <v>246</v>
      </c>
      <c r="G191" s="95" t="s">
        <v>24</v>
      </c>
      <c r="H191" s="48">
        <v>6</v>
      </c>
      <c r="I191" s="203">
        <v>3</v>
      </c>
      <c r="J191" s="203">
        <v>4</v>
      </c>
      <c r="K191" s="65">
        <v>5908.22</v>
      </c>
      <c r="L191" s="51"/>
      <c r="M191" s="50">
        <f t="shared" si="0"/>
        <v>0</v>
      </c>
      <c r="N191" s="50"/>
      <c r="O191" s="31"/>
      <c r="P191" s="108">
        <v>22</v>
      </c>
      <c r="Q191" s="65">
        <v>35606.5</v>
      </c>
      <c r="R191" s="224">
        <v>9</v>
      </c>
      <c r="S191" s="50">
        <f t="shared" si="4"/>
        <v>12661.42</v>
      </c>
      <c r="T191" s="65">
        <v>12661.42</v>
      </c>
      <c r="U191" s="225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54"/>
      <c r="G192" s="55" t="s">
        <v>28</v>
      </c>
      <c r="H192" s="112">
        <v>2</v>
      </c>
      <c r="I192" s="130">
        <v>1</v>
      </c>
      <c r="J192" s="130">
        <v>1</v>
      </c>
      <c r="K192" s="114">
        <v>1056.55</v>
      </c>
      <c r="L192" s="128"/>
      <c r="M192" s="50">
        <f t="shared" si="0"/>
        <v>0</v>
      </c>
      <c r="N192" s="43"/>
      <c r="O192" s="41"/>
      <c r="P192" s="113">
        <v>3</v>
      </c>
      <c r="Q192" s="114">
        <v>5551.69</v>
      </c>
      <c r="R192" s="44"/>
      <c r="S192" s="43">
        <f t="shared" si="4"/>
        <v>0</v>
      </c>
      <c r="T192" s="43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161</v>
      </c>
      <c r="C193" s="374"/>
      <c r="D193" s="374"/>
      <c r="E193" s="374"/>
      <c r="F193" s="60"/>
      <c r="G193" s="23" t="s">
        <v>24</v>
      </c>
      <c r="H193" s="24">
        <v>5</v>
      </c>
      <c r="I193" s="25"/>
      <c r="J193" s="25"/>
      <c r="K193" s="26"/>
      <c r="L193" s="27"/>
      <c r="M193" s="26">
        <f t="shared" si="0"/>
        <v>0</v>
      </c>
      <c r="N193" s="26"/>
      <c r="O193" s="31"/>
      <c r="P193" s="53">
        <v>3</v>
      </c>
      <c r="Q193" s="30">
        <v>8280.19</v>
      </c>
      <c r="R193" s="27"/>
      <c r="S193" s="26">
        <f t="shared" si="4"/>
        <v>0</v>
      </c>
      <c r="T193" s="26"/>
      <c r="U193" s="3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92"/>
      <c r="F194" s="34"/>
      <c r="G194" s="35" t="s">
        <v>28</v>
      </c>
      <c r="H194" s="66">
        <v>4</v>
      </c>
      <c r="I194" s="38"/>
      <c r="J194" s="38"/>
      <c r="K194" s="39"/>
      <c r="L194" s="40"/>
      <c r="M194" s="39">
        <f t="shared" si="0"/>
        <v>0</v>
      </c>
      <c r="N194" s="39"/>
      <c r="O194" s="41"/>
      <c r="P194" s="59"/>
      <c r="Q194" s="39"/>
      <c r="R194" s="40"/>
      <c r="S194" s="39">
        <f t="shared" si="4"/>
        <v>0</v>
      </c>
      <c r="T194" s="39"/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82"/>
      <c r="B195" s="381" t="s">
        <v>162</v>
      </c>
      <c r="C195" s="381" t="s">
        <v>39</v>
      </c>
      <c r="D195" s="381" t="s">
        <v>163</v>
      </c>
      <c r="E195" s="374" t="s">
        <v>27</v>
      </c>
      <c r="F195" s="135"/>
      <c r="G195" s="47" t="s">
        <v>24</v>
      </c>
      <c r="H195" s="98"/>
      <c r="I195" s="49"/>
      <c r="J195" s="49"/>
      <c r="K195" s="50"/>
      <c r="L195" s="51"/>
      <c r="M195" s="50">
        <f t="shared" si="0"/>
        <v>0</v>
      </c>
      <c r="N195" s="50"/>
      <c r="O195" s="31"/>
      <c r="P195" s="123"/>
      <c r="Q195" s="50"/>
      <c r="R195" s="51"/>
      <c r="S195" s="50">
        <f t="shared" si="4"/>
        <v>0</v>
      </c>
      <c r="T195" s="50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7"/>
      <c r="B196" s="386"/>
      <c r="C196" s="386"/>
      <c r="D196" s="386"/>
      <c r="E196" s="386"/>
      <c r="F196" s="54"/>
      <c r="G196" s="47" t="s">
        <v>25</v>
      </c>
      <c r="H196" s="98"/>
      <c r="I196" s="49"/>
      <c r="J196" s="49"/>
      <c r="K196" s="50"/>
      <c r="L196" s="51"/>
      <c r="M196" s="50">
        <f t="shared" si="0"/>
        <v>0</v>
      </c>
      <c r="N196" s="50"/>
      <c r="O196" s="45"/>
      <c r="P196" s="123"/>
      <c r="Q196" s="50"/>
      <c r="R196" s="51"/>
      <c r="S196" s="50">
        <f t="shared" si="4"/>
        <v>0</v>
      </c>
      <c r="T196" s="50"/>
      <c r="U196" s="4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116"/>
      <c r="I197" s="57"/>
      <c r="J197" s="57"/>
      <c r="K197" s="43"/>
      <c r="L197" s="44"/>
      <c r="M197" s="43">
        <f t="shared" si="0"/>
        <v>0</v>
      </c>
      <c r="N197" s="43"/>
      <c r="O197" s="41"/>
      <c r="P197" s="113">
        <v>1</v>
      </c>
      <c r="Q197" s="114">
        <v>4602.5</v>
      </c>
      <c r="R197" s="44"/>
      <c r="S197" s="43">
        <f t="shared" si="4"/>
        <v>4602.5</v>
      </c>
      <c r="T197" s="114">
        <v>4602.5</v>
      </c>
      <c r="U197" s="23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164</v>
      </c>
      <c r="C198" s="374" t="s">
        <v>22</v>
      </c>
      <c r="D198" s="374"/>
      <c r="E198" s="374" t="s">
        <v>27</v>
      </c>
      <c r="F198" s="22"/>
      <c r="G198" s="23" t="s">
        <v>24</v>
      </c>
      <c r="H198" s="98"/>
      <c r="I198" s="25"/>
      <c r="J198" s="25"/>
      <c r="K198" s="26"/>
      <c r="L198" s="27"/>
      <c r="M198" s="26">
        <f t="shared" si="0"/>
        <v>0</v>
      </c>
      <c r="N198" s="26"/>
      <c r="O198" s="31"/>
      <c r="P198" s="99"/>
      <c r="Q198" s="26"/>
      <c r="R198" s="27"/>
      <c r="S198" s="26">
        <f t="shared" si="4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1" t="s">
        <v>335</v>
      </c>
      <c r="G199" s="55" t="s">
        <v>28</v>
      </c>
      <c r="H199" s="56">
        <v>3</v>
      </c>
      <c r="I199" s="57"/>
      <c r="J199" s="57"/>
      <c r="K199" s="43"/>
      <c r="L199" s="44"/>
      <c r="M199" s="43">
        <f t="shared" si="0"/>
        <v>0</v>
      </c>
      <c r="N199" s="43"/>
      <c r="O199" s="41"/>
      <c r="P199" s="113">
        <v>4</v>
      </c>
      <c r="Q199" s="114">
        <v>7395.85</v>
      </c>
      <c r="R199" s="44"/>
      <c r="S199" s="43">
        <f t="shared" si="4"/>
        <v>5955.1</v>
      </c>
      <c r="T199" s="114">
        <v>4034.1</v>
      </c>
      <c r="U199" s="41">
        <f>1921</f>
        <v>1921</v>
      </c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165</v>
      </c>
      <c r="C200" s="374"/>
      <c r="D200" s="374"/>
      <c r="E200" s="374"/>
      <c r="F200" s="22"/>
      <c r="G200" s="23" t="s">
        <v>24</v>
      </c>
      <c r="H200" s="119"/>
      <c r="I200" s="25"/>
      <c r="J200" s="25"/>
      <c r="K200" s="26"/>
      <c r="L200" s="27"/>
      <c r="M200" s="26">
        <f t="shared" si="0"/>
        <v>0</v>
      </c>
      <c r="N200" s="26"/>
      <c r="O200" s="31"/>
      <c r="P200" s="99"/>
      <c r="Q200" s="26"/>
      <c r="R200" s="27"/>
      <c r="S200" s="26">
        <f t="shared" si="4"/>
        <v>0</v>
      </c>
      <c r="T200" s="26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34"/>
      <c r="G201" s="35" t="s">
        <v>25</v>
      </c>
      <c r="H201" s="66">
        <v>1</v>
      </c>
      <c r="I201" s="38"/>
      <c r="J201" s="38"/>
      <c r="K201" s="39"/>
      <c r="L201" s="40"/>
      <c r="M201" s="39">
        <f t="shared" si="0"/>
        <v>0</v>
      </c>
      <c r="N201" s="39"/>
      <c r="O201" s="41"/>
      <c r="P201" s="115">
        <v>2</v>
      </c>
      <c r="Q201" s="68">
        <v>288.14999999999998</v>
      </c>
      <c r="R201" s="285">
        <v>1</v>
      </c>
      <c r="S201" s="68">
        <v>288.14999999999998</v>
      </c>
      <c r="T201" s="68">
        <v>288.14999999999998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82"/>
      <c r="B202" s="381" t="s">
        <v>166</v>
      </c>
      <c r="C202" s="381" t="s">
        <v>22</v>
      </c>
      <c r="D202" s="381"/>
      <c r="E202" s="381" t="s">
        <v>27</v>
      </c>
      <c r="F202" s="223" t="s">
        <v>420</v>
      </c>
      <c r="G202" s="47" t="s">
        <v>24</v>
      </c>
      <c r="H202" s="98"/>
      <c r="I202" s="49"/>
      <c r="J202" s="49"/>
      <c r="K202" s="50"/>
      <c r="L202" s="51"/>
      <c r="M202" s="50">
        <f t="shared" si="0"/>
        <v>0</v>
      </c>
      <c r="N202" s="50"/>
      <c r="O202" s="31"/>
      <c r="P202" s="108">
        <v>3</v>
      </c>
      <c r="Q202" s="65">
        <v>12689.15</v>
      </c>
      <c r="R202" s="51"/>
      <c r="S202" s="50">
        <f t="shared" ref="S202:S216" si="5">T202+U202</f>
        <v>2541.1999999999998</v>
      </c>
      <c r="T202" s="50"/>
      <c r="U202" s="225">
        <v>2541.1999999999998</v>
      </c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6"/>
      <c r="G203" s="227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5"/>
      <c r="P203" s="273"/>
      <c r="Q203" s="211"/>
      <c r="R203" s="210"/>
      <c r="S203" s="211">
        <f t="shared" si="5"/>
        <v>0</v>
      </c>
      <c r="T203" s="211"/>
      <c r="U203" s="21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296"/>
      <c r="B204" s="374" t="s">
        <v>167</v>
      </c>
      <c r="C204" s="374" t="s">
        <v>46</v>
      </c>
      <c r="D204" s="374" t="s">
        <v>168</v>
      </c>
      <c r="E204" s="377" t="s">
        <v>27</v>
      </c>
      <c r="F204" s="223" t="s">
        <v>421</v>
      </c>
      <c r="G204" s="176" t="s">
        <v>24</v>
      </c>
      <c r="H204" s="248">
        <v>2</v>
      </c>
      <c r="I204" s="62">
        <v>1</v>
      </c>
      <c r="J204" s="62">
        <v>1</v>
      </c>
      <c r="K204" s="30">
        <v>576.29999999999995</v>
      </c>
      <c r="L204" s="27"/>
      <c r="M204" s="26">
        <f t="shared" si="0"/>
        <v>576.29999999999995</v>
      </c>
      <c r="N204" s="26"/>
      <c r="O204" s="308">
        <v>576.29999999999995</v>
      </c>
      <c r="P204" s="99"/>
      <c r="Q204" s="26"/>
      <c r="R204" s="27"/>
      <c r="S204" s="26">
        <f t="shared" si="5"/>
        <v>0</v>
      </c>
      <c r="T204" s="26"/>
      <c r="U204" s="28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297"/>
      <c r="B205" s="375"/>
      <c r="C205" s="375"/>
      <c r="D205" s="375"/>
      <c r="E205" s="375"/>
      <c r="F205" s="220" t="s">
        <v>247</v>
      </c>
      <c r="G205" s="229" t="s">
        <v>28</v>
      </c>
      <c r="H205" s="258">
        <v>3</v>
      </c>
      <c r="I205" s="37"/>
      <c r="J205" s="37"/>
      <c r="K205" s="39"/>
      <c r="L205" s="40"/>
      <c r="M205" s="39">
        <f t="shared" si="0"/>
        <v>0</v>
      </c>
      <c r="N205" s="39"/>
      <c r="O205" s="309"/>
      <c r="P205" s="310">
        <v>3</v>
      </c>
      <c r="Q205" s="245">
        <v>14273.03</v>
      </c>
      <c r="R205" s="40"/>
      <c r="S205" s="39">
        <f t="shared" si="5"/>
        <v>5186.7</v>
      </c>
      <c r="T205" s="68">
        <v>4034.1</v>
      </c>
      <c r="U205" s="41">
        <f>1152.6</f>
        <v>1152.5999999999999</v>
      </c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169</v>
      </c>
      <c r="C206" s="377" t="s">
        <v>39</v>
      </c>
      <c r="D206" s="377"/>
      <c r="E206" s="377" t="s">
        <v>27</v>
      </c>
      <c r="F206" s="72"/>
      <c r="G206" s="291" t="s">
        <v>24</v>
      </c>
      <c r="H206" s="98"/>
      <c r="I206" s="49"/>
      <c r="J206" s="49"/>
      <c r="K206" s="50"/>
      <c r="L206" s="51"/>
      <c r="M206" s="50">
        <f t="shared" si="0"/>
        <v>0</v>
      </c>
      <c r="N206" s="50"/>
      <c r="O206" s="31"/>
      <c r="P206" s="277"/>
      <c r="Q206" s="81"/>
      <c r="R206" s="80"/>
      <c r="S206" s="81">
        <f t="shared" si="5"/>
        <v>0</v>
      </c>
      <c r="T206" s="81"/>
      <c r="U206" s="219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0" t="s">
        <v>336</v>
      </c>
      <c r="G207" s="229" t="s">
        <v>28</v>
      </c>
      <c r="H207" s="153">
        <v>1</v>
      </c>
      <c r="I207" s="57"/>
      <c r="J207" s="57"/>
      <c r="K207" s="43"/>
      <c r="L207" s="44"/>
      <c r="M207" s="43">
        <f t="shared" si="0"/>
        <v>0</v>
      </c>
      <c r="N207" s="43"/>
      <c r="O207" s="41"/>
      <c r="P207" s="103"/>
      <c r="Q207" s="43"/>
      <c r="R207" s="128"/>
      <c r="S207" s="50">
        <f t="shared" si="5"/>
        <v>0</v>
      </c>
      <c r="T207" s="43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170</v>
      </c>
      <c r="C208" s="374" t="s">
        <v>22</v>
      </c>
      <c r="D208" s="374"/>
      <c r="E208" s="374" t="s">
        <v>160</v>
      </c>
      <c r="F208" s="232" t="s">
        <v>248</v>
      </c>
      <c r="G208" s="23" t="s">
        <v>24</v>
      </c>
      <c r="H208" s="48">
        <v>4</v>
      </c>
      <c r="I208" s="62">
        <v>4</v>
      </c>
      <c r="J208" s="62">
        <v>7</v>
      </c>
      <c r="K208" s="30">
        <v>15928.13</v>
      </c>
      <c r="L208" s="27"/>
      <c r="M208" s="26">
        <f t="shared" si="0"/>
        <v>0</v>
      </c>
      <c r="N208" s="26"/>
      <c r="O208" s="31"/>
      <c r="P208" s="53">
        <v>17</v>
      </c>
      <c r="Q208" s="30">
        <v>46159.82</v>
      </c>
      <c r="R208" s="205">
        <v>2</v>
      </c>
      <c r="S208" s="26">
        <f t="shared" si="5"/>
        <v>22498.43</v>
      </c>
      <c r="T208" s="30">
        <v>5534.4</v>
      </c>
      <c r="U208" s="225">
        <v>16964.03</v>
      </c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105"/>
      <c r="G209" s="35" t="s">
        <v>28</v>
      </c>
      <c r="H209" s="116"/>
      <c r="I209" s="38"/>
      <c r="J209" s="38"/>
      <c r="K209" s="39"/>
      <c r="L209" s="40"/>
      <c r="M209" s="39">
        <f t="shared" si="0"/>
        <v>0</v>
      </c>
      <c r="N209" s="39"/>
      <c r="O209" s="41"/>
      <c r="P209" s="59"/>
      <c r="Q209" s="39"/>
      <c r="R209" s="40"/>
      <c r="S209" s="39">
        <f t="shared" si="5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171</v>
      </c>
      <c r="C210" s="374" t="s">
        <v>39</v>
      </c>
      <c r="D210" s="374" t="s">
        <v>374</v>
      </c>
      <c r="E210" s="374" t="s">
        <v>27</v>
      </c>
      <c r="F210" s="223" t="s">
        <v>375</v>
      </c>
      <c r="G210" s="176" t="s">
        <v>24</v>
      </c>
      <c r="H210" s="48">
        <v>2</v>
      </c>
      <c r="I210" s="49"/>
      <c r="J210" s="49"/>
      <c r="K210" s="50"/>
      <c r="L210" s="51"/>
      <c r="M210" s="50">
        <f t="shared" si="0"/>
        <v>0</v>
      </c>
      <c r="N210" s="50"/>
      <c r="O210" s="31"/>
      <c r="P210" s="108">
        <v>5</v>
      </c>
      <c r="Q210" s="65">
        <v>16087.92</v>
      </c>
      <c r="R210" s="224">
        <v>5</v>
      </c>
      <c r="S210" s="50">
        <f t="shared" si="5"/>
        <v>16087.92</v>
      </c>
      <c r="T210" s="65">
        <v>16087.92</v>
      </c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337</v>
      </c>
      <c r="G211" s="229" t="s">
        <v>28</v>
      </c>
      <c r="H211" s="133">
        <v>3</v>
      </c>
      <c r="I211" s="57"/>
      <c r="J211" s="57"/>
      <c r="K211" s="43"/>
      <c r="L211" s="128"/>
      <c r="M211" s="50">
        <f t="shared" si="0"/>
        <v>0</v>
      </c>
      <c r="N211" s="43"/>
      <c r="O211" s="41"/>
      <c r="P211" s="113">
        <v>1</v>
      </c>
      <c r="Q211" s="114">
        <v>4226.2</v>
      </c>
      <c r="R211" s="44"/>
      <c r="S211" s="43">
        <f t="shared" si="5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172</v>
      </c>
      <c r="C212" s="374" t="s">
        <v>39</v>
      </c>
      <c r="D212" s="374" t="s">
        <v>303</v>
      </c>
      <c r="E212" s="374" t="s">
        <v>121</v>
      </c>
      <c r="F212" s="204" t="s">
        <v>304</v>
      </c>
      <c r="G212" s="176" t="s">
        <v>24</v>
      </c>
      <c r="H212" s="48">
        <v>8</v>
      </c>
      <c r="I212" s="62">
        <v>3</v>
      </c>
      <c r="J212" s="62">
        <v>3</v>
      </c>
      <c r="K212" s="30">
        <v>1757.72</v>
      </c>
      <c r="L212" s="27"/>
      <c r="M212" s="26">
        <f t="shared" si="0"/>
        <v>0</v>
      </c>
      <c r="N212" s="26"/>
      <c r="O212" s="31"/>
      <c r="P212" s="53">
        <v>26</v>
      </c>
      <c r="Q212" s="30">
        <v>35477.370000000003</v>
      </c>
      <c r="R212" s="205">
        <v>4</v>
      </c>
      <c r="S212" s="26">
        <f t="shared" si="5"/>
        <v>6109.65</v>
      </c>
      <c r="T212" s="30">
        <v>6109.65</v>
      </c>
      <c r="U212" s="30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34"/>
      <c r="G213" s="229" t="s">
        <v>25</v>
      </c>
      <c r="H213" s="102"/>
      <c r="I213" s="57"/>
      <c r="J213" s="57"/>
      <c r="K213" s="43"/>
      <c r="L213" s="44"/>
      <c r="M213" s="43">
        <f t="shared" si="0"/>
        <v>0</v>
      </c>
      <c r="N213" s="43"/>
      <c r="O213" s="41"/>
      <c r="P213" s="113">
        <v>1</v>
      </c>
      <c r="Q213" s="114">
        <v>1728.9</v>
      </c>
      <c r="R213" s="44"/>
      <c r="S213" s="43">
        <f t="shared" si="5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173</v>
      </c>
      <c r="C214" s="374" t="s">
        <v>39</v>
      </c>
      <c r="D214" s="374" t="s">
        <v>338</v>
      </c>
      <c r="E214" s="374" t="s">
        <v>121</v>
      </c>
      <c r="F214" s="232" t="s">
        <v>376</v>
      </c>
      <c r="G214" s="23" t="s">
        <v>24</v>
      </c>
      <c r="H214" s="61">
        <v>16</v>
      </c>
      <c r="I214" s="25"/>
      <c r="J214" s="25"/>
      <c r="K214" s="26"/>
      <c r="L214" s="27"/>
      <c r="M214" s="26">
        <f t="shared" si="0"/>
        <v>0</v>
      </c>
      <c r="N214" s="26"/>
      <c r="O214" s="31"/>
      <c r="P214" s="53">
        <v>6</v>
      </c>
      <c r="Q214" s="30">
        <v>5292.88</v>
      </c>
      <c r="R214" s="205">
        <v>5</v>
      </c>
      <c r="S214" s="26">
        <f t="shared" si="5"/>
        <v>4887.8599999999997</v>
      </c>
      <c r="T214" s="30">
        <v>4887.8599999999997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339</v>
      </c>
      <c r="G215" s="35" t="s">
        <v>25</v>
      </c>
      <c r="H215" s="117">
        <v>5</v>
      </c>
      <c r="I215" s="37">
        <v>1</v>
      </c>
      <c r="J215" s="37">
        <v>1</v>
      </c>
      <c r="K215" s="68">
        <v>1152.5999999999999</v>
      </c>
      <c r="L215" s="40"/>
      <c r="M215" s="39">
        <f t="shared" si="0"/>
        <v>0</v>
      </c>
      <c r="N215" s="39"/>
      <c r="O215" s="41"/>
      <c r="P215" s="115">
        <v>2</v>
      </c>
      <c r="Q215" s="68">
        <v>4942.5</v>
      </c>
      <c r="R215" s="40"/>
      <c r="S215" s="39">
        <f t="shared" si="5"/>
        <v>0</v>
      </c>
      <c r="T215" s="39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174</v>
      </c>
      <c r="C216" s="374" t="s">
        <v>39</v>
      </c>
      <c r="D216" s="374" t="s">
        <v>175</v>
      </c>
      <c r="E216" s="374" t="s">
        <v>176</v>
      </c>
      <c r="F216" s="204" t="s">
        <v>377</v>
      </c>
      <c r="G216" s="176" t="s">
        <v>24</v>
      </c>
      <c r="H216" s="48">
        <v>7</v>
      </c>
      <c r="I216" s="203">
        <v>4</v>
      </c>
      <c r="J216" s="203">
        <v>5</v>
      </c>
      <c r="K216" s="65">
        <v>5845.61</v>
      </c>
      <c r="L216" s="51"/>
      <c r="M216" s="50">
        <f t="shared" si="0"/>
        <v>0</v>
      </c>
      <c r="N216" s="50"/>
      <c r="O216" s="31"/>
      <c r="P216" s="108">
        <v>16</v>
      </c>
      <c r="Q216" s="65">
        <v>50670.65</v>
      </c>
      <c r="R216" s="51"/>
      <c r="S216" s="50">
        <f t="shared" si="5"/>
        <v>24141.61</v>
      </c>
      <c r="T216" s="50"/>
      <c r="U216" s="225">
        <v>24141.61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340</v>
      </c>
      <c r="G217" s="229" t="s">
        <v>25</v>
      </c>
      <c r="H217" s="15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5</v>
      </c>
      <c r="Q217" s="114">
        <v>24781.439999999999</v>
      </c>
      <c r="R217" s="270">
        <v>2</v>
      </c>
      <c r="S217" s="114">
        <v>13811.2</v>
      </c>
      <c r="T217" s="114">
        <v>13811.2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177</v>
      </c>
      <c r="C218" s="377" t="s">
        <v>39</v>
      </c>
      <c r="D218" s="374" t="s">
        <v>226</v>
      </c>
      <c r="E218" s="374" t="s">
        <v>27</v>
      </c>
      <c r="F218" s="204" t="s">
        <v>227</v>
      </c>
      <c r="G218" s="23" t="s">
        <v>24</v>
      </c>
      <c r="H218" s="48">
        <v>2</v>
      </c>
      <c r="I218" s="62">
        <v>1</v>
      </c>
      <c r="J218" s="62">
        <v>1</v>
      </c>
      <c r="K218" s="30">
        <v>609.15</v>
      </c>
      <c r="L218" s="27"/>
      <c r="M218" s="26">
        <f t="shared" si="0"/>
        <v>0</v>
      </c>
      <c r="N218" s="26"/>
      <c r="O218" s="31"/>
      <c r="P218" s="53">
        <v>14</v>
      </c>
      <c r="Q218" s="30">
        <v>45509.18</v>
      </c>
      <c r="R218" s="205">
        <v>3</v>
      </c>
      <c r="S218" s="26">
        <f t="shared" ref="S218:S264" si="6">T218+U218</f>
        <v>19390.669999999998</v>
      </c>
      <c r="T218" s="30">
        <v>7081.87</v>
      </c>
      <c r="U218" s="225">
        <v>12308.8</v>
      </c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80"/>
      <c r="D219" s="375"/>
      <c r="E219" s="375"/>
      <c r="F219" s="126"/>
      <c r="G219" s="55" t="s">
        <v>28</v>
      </c>
      <c r="H219" s="118"/>
      <c r="I219" s="57"/>
      <c r="J219" s="57"/>
      <c r="K219" s="43"/>
      <c r="L219" s="44"/>
      <c r="M219" s="43">
        <f t="shared" si="0"/>
        <v>0</v>
      </c>
      <c r="N219" s="43"/>
      <c r="O219" s="41"/>
      <c r="P219" s="103"/>
      <c r="Q219" s="43"/>
      <c r="R219" s="44"/>
      <c r="S219" s="43">
        <f t="shared" si="6"/>
        <v>0</v>
      </c>
      <c r="T219" s="43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178</v>
      </c>
      <c r="C220" s="374"/>
      <c r="D220" s="374"/>
      <c r="E220" s="374"/>
      <c r="F220" s="22"/>
      <c r="G220" s="176" t="s">
        <v>24</v>
      </c>
      <c r="H220" s="61">
        <v>1</v>
      </c>
      <c r="I220" s="25"/>
      <c r="J220" s="25"/>
      <c r="K220" s="26"/>
      <c r="L220" s="27"/>
      <c r="M220" s="26">
        <f t="shared" si="0"/>
        <v>0</v>
      </c>
      <c r="N220" s="26"/>
      <c r="O220" s="31"/>
      <c r="P220" s="120"/>
      <c r="Q220" s="26"/>
      <c r="R220" s="27"/>
      <c r="S220" s="26">
        <f t="shared" si="6"/>
        <v>0</v>
      </c>
      <c r="T220" s="26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126"/>
      <c r="G221" s="177" t="s">
        <v>28</v>
      </c>
      <c r="H221" s="131"/>
      <c r="I221" s="57"/>
      <c r="J221" s="57"/>
      <c r="K221" s="43"/>
      <c r="L221" s="44"/>
      <c r="M221" s="43">
        <f t="shared" si="0"/>
        <v>0</v>
      </c>
      <c r="N221" s="43"/>
      <c r="O221" s="45"/>
      <c r="P221" s="42"/>
      <c r="Q221" s="43"/>
      <c r="R221" s="44"/>
      <c r="S221" s="43">
        <f t="shared" si="6"/>
        <v>0</v>
      </c>
      <c r="T221" s="43"/>
      <c r="U221" s="4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179</v>
      </c>
      <c r="C222" s="374"/>
      <c r="D222" s="374"/>
      <c r="E222" s="374" t="s">
        <v>27</v>
      </c>
      <c r="F222" s="22"/>
      <c r="G222" s="23" t="s">
        <v>24</v>
      </c>
      <c r="H222" s="61">
        <v>2</v>
      </c>
      <c r="I222" s="25"/>
      <c r="J222" s="25"/>
      <c r="K222" s="26"/>
      <c r="L222" s="27"/>
      <c r="M222" s="26">
        <f t="shared" si="0"/>
        <v>0</v>
      </c>
      <c r="N222" s="26"/>
      <c r="O222" s="28"/>
      <c r="P222" s="120"/>
      <c r="Q222" s="26"/>
      <c r="R222" s="27"/>
      <c r="S222" s="26">
        <f t="shared" si="6"/>
        <v>0</v>
      </c>
      <c r="T222" s="26"/>
      <c r="U222" s="28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226"/>
      <c r="G223" s="227" t="s">
        <v>28</v>
      </c>
      <c r="H223" s="298"/>
      <c r="I223" s="261"/>
      <c r="J223" s="261"/>
      <c r="K223" s="211"/>
      <c r="L223" s="210"/>
      <c r="M223" s="211">
        <f t="shared" si="0"/>
        <v>0</v>
      </c>
      <c r="N223" s="211"/>
      <c r="O223" s="212"/>
      <c r="P223" s="284"/>
      <c r="Q223" s="211"/>
      <c r="R223" s="210"/>
      <c r="S223" s="211">
        <f t="shared" si="6"/>
        <v>0</v>
      </c>
      <c r="T223" s="211"/>
      <c r="U223" s="21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378</v>
      </c>
      <c r="C224" s="374" t="s">
        <v>46</v>
      </c>
      <c r="D224" s="374" t="s">
        <v>422</v>
      </c>
      <c r="E224" s="374" t="s">
        <v>27</v>
      </c>
      <c r="F224" s="232" t="s">
        <v>423</v>
      </c>
      <c r="G224" s="213" t="s">
        <v>24</v>
      </c>
      <c r="H224" s="61"/>
      <c r="I224" s="62"/>
      <c r="J224" s="62"/>
      <c r="K224" s="30"/>
      <c r="L224" s="27"/>
      <c r="M224" s="26">
        <f t="shared" si="0"/>
        <v>0</v>
      </c>
      <c r="N224" s="26"/>
      <c r="O224" s="28"/>
      <c r="P224" s="214"/>
      <c r="Q224" s="30"/>
      <c r="R224" s="205"/>
      <c r="S224" s="26">
        <f t="shared" si="6"/>
        <v>0</v>
      </c>
      <c r="T224" s="30"/>
      <c r="U224" s="2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/>
      <c r="G225" s="215" t="s">
        <v>28</v>
      </c>
      <c r="H225" s="117">
        <v>3</v>
      </c>
      <c r="I225" s="37"/>
      <c r="J225" s="37"/>
      <c r="K225" s="68"/>
      <c r="L225" s="40"/>
      <c r="M225" s="39">
        <f t="shared" si="0"/>
        <v>0</v>
      </c>
      <c r="N225" s="39"/>
      <c r="O225" s="41"/>
      <c r="P225" s="217"/>
      <c r="Q225" s="68"/>
      <c r="R225" s="285"/>
      <c r="S225" s="39">
        <f t="shared" si="6"/>
        <v>0</v>
      </c>
      <c r="T225" s="68"/>
      <c r="U225" s="23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6"/>
      <c r="B226" s="377" t="s">
        <v>180</v>
      </c>
      <c r="C226" s="377" t="s">
        <v>46</v>
      </c>
      <c r="D226" s="377" t="s">
        <v>181</v>
      </c>
      <c r="E226" s="377" t="s">
        <v>27</v>
      </c>
      <c r="F226" s="232" t="s">
        <v>228</v>
      </c>
      <c r="G226" s="95" t="s">
        <v>24</v>
      </c>
      <c r="H226" s="265">
        <v>9</v>
      </c>
      <c r="I226" s="266">
        <v>3</v>
      </c>
      <c r="J226" s="266">
        <v>3</v>
      </c>
      <c r="K226" s="79">
        <v>1527.2</v>
      </c>
      <c r="L226" s="80"/>
      <c r="M226" s="81">
        <f t="shared" si="0"/>
        <v>0</v>
      </c>
      <c r="N226" s="81"/>
      <c r="O226" s="219"/>
      <c r="P226" s="267">
        <v>10</v>
      </c>
      <c r="Q226" s="79">
        <v>31753.040000000001</v>
      </c>
      <c r="R226" s="268">
        <v>8</v>
      </c>
      <c r="S226" s="81">
        <f t="shared" si="6"/>
        <v>31034.59</v>
      </c>
      <c r="T226" s="79">
        <v>28968.84</v>
      </c>
      <c r="U226" s="269">
        <v>2065.75</v>
      </c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9"/>
      <c r="B227" s="380"/>
      <c r="C227" s="380"/>
      <c r="D227" s="380"/>
      <c r="E227" s="380"/>
      <c r="F227" s="54"/>
      <c r="G227" s="55" t="s">
        <v>28</v>
      </c>
      <c r="H227" s="116"/>
      <c r="I227" s="57"/>
      <c r="J227" s="57"/>
      <c r="K227" s="43"/>
      <c r="L227" s="128"/>
      <c r="M227" s="50">
        <f t="shared" si="0"/>
        <v>0</v>
      </c>
      <c r="N227" s="43"/>
      <c r="O227" s="41"/>
      <c r="P227" s="113">
        <v>2</v>
      </c>
      <c r="Q227" s="114">
        <v>14503.6</v>
      </c>
      <c r="R227" s="44"/>
      <c r="S227" s="43">
        <f t="shared" si="6"/>
        <v>2209.1999999999998</v>
      </c>
      <c r="T227" s="114">
        <v>2209.1999999999998</v>
      </c>
      <c r="U227" s="45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6.5" customHeight="1">
      <c r="A228" s="372"/>
      <c r="B228" s="374" t="s">
        <v>182</v>
      </c>
      <c r="C228" s="374" t="s">
        <v>46</v>
      </c>
      <c r="D228" s="374" t="s">
        <v>181</v>
      </c>
      <c r="E228" s="374" t="s">
        <v>27</v>
      </c>
      <c r="F228" s="204" t="s">
        <v>379</v>
      </c>
      <c r="G228" s="23" t="s">
        <v>24</v>
      </c>
      <c r="H228" s="48">
        <v>12</v>
      </c>
      <c r="I228" s="62">
        <v>9</v>
      </c>
      <c r="J228" s="62">
        <v>10</v>
      </c>
      <c r="K228" s="30">
        <v>14606.92</v>
      </c>
      <c r="L228" s="27"/>
      <c r="M228" s="26">
        <f t="shared" si="0"/>
        <v>0</v>
      </c>
      <c r="N228" s="26"/>
      <c r="O228" s="31"/>
      <c r="P228" s="53">
        <v>6</v>
      </c>
      <c r="Q228" s="30">
        <v>31478.57</v>
      </c>
      <c r="R228" s="205">
        <v>2</v>
      </c>
      <c r="S228" s="26">
        <f t="shared" si="6"/>
        <v>10615.44</v>
      </c>
      <c r="T228" s="30">
        <v>10615.44</v>
      </c>
      <c r="U228" s="100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6.5" customHeight="1">
      <c r="A229" s="373"/>
      <c r="B229" s="375"/>
      <c r="C229" s="375"/>
      <c r="D229" s="375"/>
      <c r="E229" s="375"/>
      <c r="F229" s="34"/>
      <c r="G229" s="3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59"/>
      <c r="Q229" s="39"/>
      <c r="R229" s="40"/>
      <c r="S229" s="39">
        <f t="shared" si="6"/>
        <v>0</v>
      </c>
      <c r="T229" s="39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6.5" customHeight="1">
      <c r="A230" s="382"/>
      <c r="B230" s="381" t="s">
        <v>183</v>
      </c>
      <c r="C230" s="381" t="s">
        <v>22</v>
      </c>
      <c r="D230" s="381"/>
      <c r="E230" s="381" t="s">
        <v>99</v>
      </c>
      <c r="F230" s="223" t="s">
        <v>380</v>
      </c>
      <c r="G230" s="23" t="s">
        <v>24</v>
      </c>
      <c r="H230" s="48">
        <v>2</v>
      </c>
      <c r="I230" s="49"/>
      <c r="J230" s="49"/>
      <c r="K230" s="50"/>
      <c r="L230" s="51"/>
      <c r="M230" s="50">
        <f t="shared" si="0"/>
        <v>0</v>
      </c>
      <c r="N230" s="50"/>
      <c r="O230" s="31"/>
      <c r="P230" s="108">
        <v>7</v>
      </c>
      <c r="Q230" s="65">
        <v>8094.01</v>
      </c>
      <c r="R230" s="51"/>
      <c r="S230" s="50">
        <f t="shared" si="6"/>
        <v>1319.81</v>
      </c>
      <c r="T230" s="50"/>
      <c r="U230" s="225">
        <v>1319.81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6.5" customHeight="1">
      <c r="A231" s="379"/>
      <c r="B231" s="380"/>
      <c r="C231" s="380"/>
      <c r="D231" s="380"/>
      <c r="E231" s="380"/>
      <c r="F231" s="233" t="s">
        <v>252</v>
      </c>
      <c r="G231" s="227" t="s">
        <v>28</v>
      </c>
      <c r="H231" s="292">
        <v>5</v>
      </c>
      <c r="I231" s="261"/>
      <c r="J231" s="261"/>
      <c r="K231" s="211"/>
      <c r="L231" s="210"/>
      <c r="M231" s="211">
        <f t="shared" si="0"/>
        <v>0</v>
      </c>
      <c r="N231" s="211"/>
      <c r="O231" s="212"/>
      <c r="P231" s="262">
        <v>1</v>
      </c>
      <c r="Q231" s="209">
        <v>4034.1</v>
      </c>
      <c r="R231" s="210"/>
      <c r="S231" s="211">
        <f t="shared" si="6"/>
        <v>0</v>
      </c>
      <c r="T231" s="211"/>
      <c r="U231" s="21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425</v>
      </c>
      <c r="C232" s="374" t="s">
        <v>22</v>
      </c>
      <c r="D232" s="374"/>
      <c r="E232" s="381" t="s">
        <v>131</v>
      </c>
      <c r="F232" s="232" t="s">
        <v>426</v>
      </c>
      <c r="G232" s="213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28"/>
      <c r="P232" s="275"/>
      <c r="Q232" s="26"/>
      <c r="R232" s="27"/>
      <c r="S232" s="26">
        <f t="shared" si="6"/>
        <v>0</v>
      </c>
      <c r="T232" s="26"/>
      <c r="U232" s="28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80"/>
      <c r="F233" s="34"/>
      <c r="G233" s="215" t="s">
        <v>25</v>
      </c>
      <c r="H233" s="106"/>
      <c r="I233" s="38"/>
      <c r="J233" s="38"/>
      <c r="K233" s="39"/>
      <c r="L233" s="40"/>
      <c r="M233" s="39">
        <f t="shared" si="0"/>
        <v>0</v>
      </c>
      <c r="N233" s="39"/>
      <c r="O233" s="41"/>
      <c r="P233" s="276"/>
      <c r="Q233" s="39"/>
      <c r="R233" s="40"/>
      <c r="S233" s="39">
        <f t="shared" si="6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76"/>
      <c r="B234" s="377" t="s">
        <v>184</v>
      </c>
      <c r="C234" s="377" t="s">
        <v>22</v>
      </c>
      <c r="D234" s="377"/>
      <c r="E234" s="377" t="s">
        <v>27</v>
      </c>
      <c r="F234" s="76"/>
      <c r="G234" s="95" t="s">
        <v>24</v>
      </c>
      <c r="H234" s="74"/>
      <c r="I234" s="96"/>
      <c r="J234" s="96"/>
      <c r="K234" s="81"/>
      <c r="L234" s="80"/>
      <c r="M234" s="81">
        <f t="shared" si="0"/>
        <v>0</v>
      </c>
      <c r="N234" s="81"/>
      <c r="O234" s="219"/>
      <c r="P234" s="277"/>
      <c r="Q234" s="81"/>
      <c r="R234" s="80"/>
      <c r="S234" s="81">
        <f t="shared" si="6"/>
        <v>0</v>
      </c>
      <c r="T234" s="81"/>
      <c r="U234" s="219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253</v>
      </c>
      <c r="G235" s="227" t="s">
        <v>28</v>
      </c>
      <c r="H235" s="153">
        <v>4</v>
      </c>
      <c r="I235" s="130">
        <v>1</v>
      </c>
      <c r="J235" s="130">
        <v>1</v>
      </c>
      <c r="K235" s="114">
        <v>1921</v>
      </c>
      <c r="L235" s="44"/>
      <c r="M235" s="43">
        <f t="shared" si="0"/>
        <v>0</v>
      </c>
      <c r="N235" s="43"/>
      <c r="O235" s="41"/>
      <c r="P235" s="113">
        <v>2</v>
      </c>
      <c r="Q235" s="114">
        <v>2958.34</v>
      </c>
      <c r="R235" s="44"/>
      <c r="S235" s="43">
        <f t="shared" si="6"/>
        <v>2958.34</v>
      </c>
      <c r="T235" s="114">
        <v>2958.34</v>
      </c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185</v>
      </c>
      <c r="C236" s="374" t="s">
        <v>22</v>
      </c>
      <c r="D236" s="374"/>
      <c r="E236" s="374" t="s">
        <v>27</v>
      </c>
      <c r="F236" s="204" t="s">
        <v>341</v>
      </c>
      <c r="G236" s="176" t="s">
        <v>24</v>
      </c>
      <c r="H236" s="98"/>
      <c r="I236" s="25"/>
      <c r="J236" s="25"/>
      <c r="K236" s="26"/>
      <c r="L236" s="27"/>
      <c r="M236" s="26">
        <f t="shared" si="0"/>
        <v>0</v>
      </c>
      <c r="N236" s="26"/>
      <c r="O236" s="31"/>
      <c r="P236" s="53">
        <v>2</v>
      </c>
      <c r="Q236" s="30">
        <v>2633.4</v>
      </c>
      <c r="R236" s="205">
        <v>1</v>
      </c>
      <c r="S236" s="26">
        <f t="shared" si="6"/>
        <v>1288.7</v>
      </c>
      <c r="T236" s="30">
        <v>1288.7</v>
      </c>
      <c r="U236" s="225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 t="s">
        <v>342</v>
      </c>
      <c r="G237" s="229" t="s">
        <v>28</v>
      </c>
      <c r="H237" s="133">
        <v>2</v>
      </c>
      <c r="I237" s="57"/>
      <c r="J237" s="57"/>
      <c r="K237" s="43"/>
      <c r="L237" s="44"/>
      <c r="M237" s="43">
        <f t="shared" si="0"/>
        <v>0</v>
      </c>
      <c r="N237" s="43"/>
      <c r="O237" s="41"/>
      <c r="P237" s="113">
        <v>1</v>
      </c>
      <c r="Q237" s="114">
        <v>2994.47</v>
      </c>
      <c r="R237" s="44"/>
      <c r="S237" s="43">
        <f t="shared" si="6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186</v>
      </c>
      <c r="C238" s="374" t="s">
        <v>22</v>
      </c>
      <c r="D238" s="374"/>
      <c r="E238" s="374" t="s">
        <v>99</v>
      </c>
      <c r="F238" s="232" t="s">
        <v>315</v>
      </c>
      <c r="G238" s="23" t="s">
        <v>24</v>
      </c>
      <c r="H238" s="48">
        <v>3</v>
      </c>
      <c r="I238" s="62">
        <v>1</v>
      </c>
      <c r="J238" s="62">
        <v>1</v>
      </c>
      <c r="K238" s="30">
        <v>2294.19</v>
      </c>
      <c r="L238" s="27"/>
      <c r="M238" s="26">
        <f t="shared" si="0"/>
        <v>0</v>
      </c>
      <c r="N238" s="26"/>
      <c r="O238" s="31"/>
      <c r="P238" s="53">
        <v>12</v>
      </c>
      <c r="Q238" s="30">
        <v>25040</v>
      </c>
      <c r="R238" s="205">
        <v>3</v>
      </c>
      <c r="S238" s="26">
        <f t="shared" si="6"/>
        <v>6447.76</v>
      </c>
      <c r="T238" s="30">
        <v>6447.76</v>
      </c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254</v>
      </c>
      <c r="G239" s="35" t="s">
        <v>28</v>
      </c>
      <c r="H239" s="153">
        <v>5</v>
      </c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6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187</v>
      </c>
      <c r="C240" s="381" t="s">
        <v>22</v>
      </c>
      <c r="D240" s="381"/>
      <c r="E240" s="381" t="s">
        <v>131</v>
      </c>
      <c r="F240" s="223" t="s">
        <v>343</v>
      </c>
      <c r="G240" s="23" t="s">
        <v>24</v>
      </c>
      <c r="H240" s="48">
        <v>10</v>
      </c>
      <c r="I240" s="203">
        <v>7</v>
      </c>
      <c r="J240" s="203">
        <v>8</v>
      </c>
      <c r="K240" s="65">
        <v>9147.81</v>
      </c>
      <c r="L240" s="51"/>
      <c r="M240" s="50">
        <f t="shared" si="0"/>
        <v>0</v>
      </c>
      <c r="N240" s="50"/>
      <c r="O240" s="31"/>
      <c r="P240" s="108">
        <v>16</v>
      </c>
      <c r="Q240" s="65">
        <v>43025.45</v>
      </c>
      <c r="R240" s="224">
        <v>1</v>
      </c>
      <c r="S240" s="50">
        <f t="shared" si="6"/>
        <v>1046.6300000000001</v>
      </c>
      <c r="T240" s="65">
        <v>1046.6300000000001</v>
      </c>
      <c r="U240" s="225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54"/>
      <c r="G241" s="55" t="s">
        <v>25</v>
      </c>
      <c r="H241" s="111"/>
      <c r="I241" s="57"/>
      <c r="J241" s="57"/>
      <c r="K241" s="43"/>
      <c r="L241" s="44"/>
      <c r="M241" s="43">
        <f t="shared" si="0"/>
        <v>0</v>
      </c>
      <c r="N241" s="43"/>
      <c r="O241" s="41"/>
      <c r="P241" s="113">
        <v>2</v>
      </c>
      <c r="Q241" s="114">
        <v>15252.74</v>
      </c>
      <c r="R241" s="44"/>
      <c r="S241" s="43">
        <f t="shared" si="6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188</v>
      </c>
      <c r="C242" s="374" t="s">
        <v>22</v>
      </c>
      <c r="D242" s="374"/>
      <c r="E242" s="374" t="s">
        <v>27</v>
      </c>
      <c r="F242" s="22"/>
      <c r="G242" s="23" t="s">
        <v>24</v>
      </c>
      <c r="H242" s="151">
        <v>1</v>
      </c>
      <c r="I242" s="25"/>
      <c r="J242" s="25"/>
      <c r="K242" s="26"/>
      <c r="L242" s="27"/>
      <c r="M242" s="26">
        <f t="shared" si="0"/>
        <v>0</v>
      </c>
      <c r="N242" s="26"/>
      <c r="O242" s="31"/>
      <c r="P242" s="99"/>
      <c r="Q242" s="26"/>
      <c r="R242" s="27"/>
      <c r="S242" s="26">
        <f t="shared" si="6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20.25" customHeight="1">
      <c r="A243" s="373"/>
      <c r="B243" s="375"/>
      <c r="C243" s="375"/>
      <c r="D243" s="375"/>
      <c r="E243" s="375"/>
      <c r="F243" s="221" t="s">
        <v>344</v>
      </c>
      <c r="G243" s="55" t="s">
        <v>28</v>
      </c>
      <c r="H243" s="56">
        <v>2</v>
      </c>
      <c r="I243" s="57"/>
      <c r="J243" s="57"/>
      <c r="K243" s="43"/>
      <c r="L243" s="44"/>
      <c r="M243" s="43">
        <f t="shared" si="0"/>
        <v>0</v>
      </c>
      <c r="N243" s="43"/>
      <c r="O243" s="45"/>
      <c r="P243" s="113">
        <v>11</v>
      </c>
      <c r="Q243" s="114">
        <v>13054.9</v>
      </c>
      <c r="R243" s="44"/>
      <c r="S243" s="43">
        <f t="shared" si="6"/>
        <v>4050.2</v>
      </c>
      <c r="T243" s="114">
        <v>4050.2</v>
      </c>
      <c r="U243" s="22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189</v>
      </c>
      <c r="C244" s="374" t="s">
        <v>39</v>
      </c>
      <c r="D244" s="374" t="s">
        <v>427</v>
      </c>
      <c r="E244" s="374" t="s">
        <v>27</v>
      </c>
      <c r="F244" s="223" t="s">
        <v>428</v>
      </c>
      <c r="G244" s="23" t="s">
        <v>24</v>
      </c>
      <c r="H244" s="24">
        <v>8</v>
      </c>
      <c r="I244" s="62">
        <v>4</v>
      </c>
      <c r="J244" s="62">
        <v>6</v>
      </c>
      <c r="K244" s="30">
        <v>9191.0300000000007</v>
      </c>
      <c r="L244" s="27"/>
      <c r="M244" s="26">
        <f t="shared" si="0"/>
        <v>2828.68</v>
      </c>
      <c r="N244" s="26"/>
      <c r="O244" s="241">
        <v>2828.68</v>
      </c>
      <c r="P244" s="29">
        <v>2</v>
      </c>
      <c r="Q244" s="30">
        <v>1870.81</v>
      </c>
      <c r="R244" s="27"/>
      <c r="S244" s="26">
        <f t="shared" si="6"/>
        <v>1870.81</v>
      </c>
      <c r="T244" s="26"/>
      <c r="U244" s="241">
        <v>1870.81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256</v>
      </c>
      <c r="G245" s="35" t="s">
        <v>28</v>
      </c>
      <c r="H245" s="66">
        <v>3</v>
      </c>
      <c r="I245" s="38"/>
      <c r="J245" s="38"/>
      <c r="K245" s="39"/>
      <c r="L245" s="40"/>
      <c r="M245" s="39">
        <f t="shared" si="0"/>
        <v>0</v>
      </c>
      <c r="N245" s="39"/>
      <c r="O245" s="41"/>
      <c r="P245" s="69"/>
      <c r="Q245" s="39"/>
      <c r="R245" s="40"/>
      <c r="S245" s="39">
        <f t="shared" si="6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190</v>
      </c>
      <c r="C246" s="381" t="s">
        <v>39</v>
      </c>
      <c r="D246" s="381" t="s">
        <v>191</v>
      </c>
      <c r="E246" s="381" t="s">
        <v>27</v>
      </c>
      <c r="F246" s="46"/>
      <c r="G246" s="47" t="s">
        <v>24</v>
      </c>
      <c r="H246" s="98"/>
      <c r="I246" s="49"/>
      <c r="J246" s="49"/>
      <c r="K246" s="50"/>
      <c r="L246" s="51"/>
      <c r="M246" s="50">
        <f t="shared" si="0"/>
        <v>0</v>
      </c>
      <c r="N246" s="50"/>
      <c r="O246" s="31"/>
      <c r="P246" s="123"/>
      <c r="Q246" s="50"/>
      <c r="R246" s="51"/>
      <c r="S246" s="50">
        <f t="shared" si="6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345</v>
      </c>
      <c r="G247" s="35" t="s">
        <v>28</v>
      </c>
      <c r="H247" s="112">
        <v>2</v>
      </c>
      <c r="I247" s="57"/>
      <c r="J247" s="57"/>
      <c r="K247" s="43"/>
      <c r="L247" s="44"/>
      <c r="M247" s="43">
        <f t="shared" si="0"/>
        <v>0</v>
      </c>
      <c r="N247" s="43"/>
      <c r="O247" s="45"/>
      <c r="P247" s="115">
        <v>4</v>
      </c>
      <c r="Q247" s="68">
        <v>5106.7</v>
      </c>
      <c r="R247" s="40"/>
      <c r="S247" s="39">
        <f t="shared" si="6"/>
        <v>6739.58</v>
      </c>
      <c r="T247" s="68">
        <v>3818</v>
      </c>
      <c r="U247" s="41">
        <f>2921.58</f>
        <v>2921.58</v>
      </c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192</v>
      </c>
      <c r="C248" s="374" t="s">
        <v>22</v>
      </c>
      <c r="D248" s="374"/>
      <c r="E248" s="374" t="s">
        <v>193</v>
      </c>
      <c r="F248" s="204" t="s">
        <v>318</v>
      </c>
      <c r="G248" s="176" t="s">
        <v>24</v>
      </c>
      <c r="H248" s="61">
        <v>5</v>
      </c>
      <c r="I248" s="62">
        <v>4</v>
      </c>
      <c r="J248" s="62">
        <v>4</v>
      </c>
      <c r="K248" s="30">
        <v>4934.76</v>
      </c>
      <c r="L248" s="27"/>
      <c r="M248" s="26">
        <f t="shared" si="0"/>
        <v>0</v>
      </c>
      <c r="N248" s="26"/>
      <c r="O248" s="100"/>
      <c r="P248" s="64">
        <v>17</v>
      </c>
      <c r="Q248" s="65">
        <v>46158.400000000001</v>
      </c>
      <c r="R248" s="224">
        <v>9</v>
      </c>
      <c r="S248" s="50">
        <f t="shared" si="6"/>
        <v>32753.78</v>
      </c>
      <c r="T248" s="65">
        <v>15520.42</v>
      </c>
      <c r="U248" s="225">
        <v>17233.36</v>
      </c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346</v>
      </c>
      <c r="G249" s="229" t="s">
        <v>28</v>
      </c>
      <c r="H249" s="133">
        <v>1</v>
      </c>
      <c r="I249" s="37">
        <v>1</v>
      </c>
      <c r="J249" s="37">
        <v>1</v>
      </c>
      <c r="K249" s="68">
        <v>1728.9</v>
      </c>
      <c r="L249" s="40"/>
      <c r="M249" s="39">
        <f t="shared" si="0"/>
        <v>0</v>
      </c>
      <c r="N249" s="39"/>
      <c r="O249" s="41"/>
      <c r="P249" s="42"/>
      <c r="Q249" s="43"/>
      <c r="R249" s="44"/>
      <c r="S249" s="43">
        <f t="shared" si="6"/>
        <v>0</v>
      </c>
      <c r="T249" s="43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194</v>
      </c>
      <c r="C250" s="377" t="s">
        <v>39</v>
      </c>
      <c r="D250" s="377" t="s">
        <v>319</v>
      </c>
      <c r="E250" s="374" t="s">
        <v>160</v>
      </c>
      <c r="F250" s="232" t="s">
        <v>320</v>
      </c>
      <c r="G250" s="23" t="s">
        <v>24</v>
      </c>
      <c r="H250" s="48">
        <v>4</v>
      </c>
      <c r="I250" s="203">
        <v>3</v>
      </c>
      <c r="J250" s="203">
        <v>3</v>
      </c>
      <c r="K250" s="65">
        <v>2090.2399999999998</v>
      </c>
      <c r="L250" s="128"/>
      <c r="M250" s="129">
        <f t="shared" si="0"/>
        <v>0</v>
      </c>
      <c r="N250" s="50"/>
      <c r="O250" s="31"/>
      <c r="P250" s="29">
        <v>3</v>
      </c>
      <c r="Q250" s="30">
        <v>6107.21</v>
      </c>
      <c r="R250" s="205">
        <v>2</v>
      </c>
      <c r="S250" s="26">
        <f t="shared" si="6"/>
        <v>2951.62</v>
      </c>
      <c r="T250" s="30">
        <v>2951.62</v>
      </c>
      <c r="U250" s="225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347</v>
      </c>
      <c r="G251" s="35" t="s">
        <v>28</v>
      </c>
      <c r="H251" s="117">
        <v>1</v>
      </c>
      <c r="I251" s="37"/>
      <c r="J251" s="37"/>
      <c r="K251" s="39"/>
      <c r="L251" s="44"/>
      <c r="M251" s="43">
        <f t="shared" si="0"/>
        <v>0</v>
      </c>
      <c r="N251" s="39"/>
      <c r="O251" s="41"/>
      <c r="P251" s="37">
        <v>5</v>
      </c>
      <c r="Q251" s="37">
        <v>12038.63</v>
      </c>
      <c r="R251" s="40"/>
      <c r="S251" s="39">
        <f t="shared" si="6"/>
        <v>4621.6400000000003</v>
      </c>
      <c r="T251" s="68">
        <v>576.29999999999995</v>
      </c>
      <c r="U251" s="234">
        <v>4045.34</v>
      </c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195</v>
      </c>
      <c r="C252" s="377" t="s">
        <v>39</v>
      </c>
      <c r="D252" s="377" t="s">
        <v>231</v>
      </c>
      <c r="E252" s="381" t="s">
        <v>27</v>
      </c>
      <c r="F252" s="204" t="s">
        <v>232</v>
      </c>
      <c r="G252" s="47" t="s">
        <v>24</v>
      </c>
      <c r="H252" s="61">
        <v>1</v>
      </c>
      <c r="I252" s="25"/>
      <c r="J252" s="25"/>
      <c r="K252" s="26"/>
      <c r="L252" s="27"/>
      <c r="M252" s="26">
        <f t="shared" si="0"/>
        <v>0</v>
      </c>
      <c r="N252" s="26"/>
      <c r="O252" s="31"/>
      <c r="P252" s="64">
        <v>7</v>
      </c>
      <c r="Q252" s="65">
        <v>46859.35</v>
      </c>
      <c r="R252" s="224">
        <v>3</v>
      </c>
      <c r="S252" s="50">
        <f t="shared" si="6"/>
        <v>38298.170000000006</v>
      </c>
      <c r="T252" s="65">
        <v>35948.410000000003</v>
      </c>
      <c r="U252" s="225">
        <v>2349.7600000000002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1" t="s">
        <v>260</v>
      </c>
      <c r="G253" s="55" t="s">
        <v>28</v>
      </c>
      <c r="H253" s="178">
        <v>3</v>
      </c>
      <c r="I253" s="130">
        <v>1</v>
      </c>
      <c r="J253" s="130">
        <v>1</v>
      </c>
      <c r="K253" s="114">
        <v>1152.5999999999999</v>
      </c>
      <c r="L253" s="44"/>
      <c r="M253" s="43">
        <f t="shared" si="0"/>
        <v>1152.5999999999999</v>
      </c>
      <c r="N253" s="43"/>
      <c r="O253" s="222">
        <v>1152.5999999999999</v>
      </c>
      <c r="P253" s="130">
        <v>4</v>
      </c>
      <c r="Q253" s="130">
        <v>15104.45</v>
      </c>
      <c r="R253" s="44"/>
      <c r="S253" s="43">
        <f t="shared" si="6"/>
        <v>17673.2</v>
      </c>
      <c r="T253" s="114">
        <v>4994.6000000000004</v>
      </c>
      <c r="U253" s="222">
        <f>6339.3+6339.3</f>
        <v>12678.6</v>
      </c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196</v>
      </c>
      <c r="C254" s="381" t="s">
        <v>22</v>
      </c>
      <c r="D254" s="374"/>
      <c r="E254" s="381" t="s">
        <v>27</v>
      </c>
      <c r="F254" s="22"/>
      <c r="G254" s="23" t="s">
        <v>24</v>
      </c>
      <c r="H254" s="119"/>
      <c r="I254" s="25"/>
      <c r="J254" s="25"/>
      <c r="K254" s="26"/>
      <c r="L254" s="27"/>
      <c r="M254" s="26">
        <f t="shared" si="0"/>
        <v>0</v>
      </c>
      <c r="N254" s="26"/>
      <c r="O254" s="28"/>
      <c r="P254" s="120"/>
      <c r="Q254" s="26"/>
      <c r="R254" s="27"/>
      <c r="S254" s="26">
        <f t="shared" si="6"/>
        <v>0</v>
      </c>
      <c r="T254" s="26"/>
      <c r="U254" s="28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348</v>
      </c>
      <c r="G255" s="35" t="s">
        <v>28</v>
      </c>
      <c r="H255" s="66">
        <v>4</v>
      </c>
      <c r="I255" s="38"/>
      <c r="J255" s="38"/>
      <c r="K255" s="39"/>
      <c r="L255" s="40"/>
      <c r="M255" s="39">
        <f t="shared" si="0"/>
        <v>0</v>
      </c>
      <c r="N255" s="39"/>
      <c r="O255" s="41"/>
      <c r="P255" s="67">
        <v>2</v>
      </c>
      <c r="Q255" s="68">
        <v>6723.5</v>
      </c>
      <c r="R255" s="40"/>
      <c r="S255" s="39">
        <f t="shared" si="6"/>
        <v>0</v>
      </c>
      <c r="T255" s="39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197</v>
      </c>
      <c r="C256" s="381" t="s">
        <v>39</v>
      </c>
      <c r="D256" s="381" t="s">
        <v>381</v>
      </c>
      <c r="E256" s="381" t="s">
        <v>27</v>
      </c>
      <c r="F256" s="204" t="s">
        <v>382</v>
      </c>
      <c r="G256" s="47" t="s">
        <v>24</v>
      </c>
      <c r="H256" s="98"/>
      <c r="I256" s="49"/>
      <c r="J256" s="49"/>
      <c r="K256" s="50"/>
      <c r="L256" s="51"/>
      <c r="M256" s="50">
        <f t="shared" si="0"/>
        <v>0</v>
      </c>
      <c r="N256" s="50"/>
      <c r="O256" s="31"/>
      <c r="P256" s="108">
        <v>1</v>
      </c>
      <c r="Q256" s="65">
        <v>748.24</v>
      </c>
      <c r="R256" s="51"/>
      <c r="S256" s="50">
        <f t="shared" si="6"/>
        <v>748.24</v>
      </c>
      <c r="T256" s="50"/>
      <c r="U256" s="225">
        <v>748.24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9"/>
      <c r="B257" s="380"/>
      <c r="C257" s="380"/>
      <c r="D257" s="380"/>
      <c r="E257" s="380"/>
      <c r="F257" s="221" t="s">
        <v>349</v>
      </c>
      <c r="G257" s="55" t="s">
        <v>28</v>
      </c>
      <c r="H257" s="153">
        <v>3</v>
      </c>
      <c r="I257" s="130">
        <v>2</v>
      </c>
      <c r="J257" s="130">
        <v>2</v>
      </c>
      <c r="K257" s="114">
        <v>3265.7</v>
      </c>
      <c r="L257" s="44"/>
      <c r="M257" s="43">
        <f t="shared" si="0"/>
        <v>0</v>
      </c>
      <c r="N257" s="43"/>
      <c r="O257" s="41"/>
      <c r="P257" s="103"/>
      <c r="Q257" s="43"/>
      <c r="R257" s="44"/>
      <c r="S257" s="43">
        <f t="shared" si="6"/>
        <v>3765.16</v>
      </c>
      <c r="T257" s="114">
        <v>1440.75</v>
      </c>
      <c r="U257" s="41">
        <f>2324.41</f>
        <v>2324.41</v>
      </c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198</v>
      </c>
      <c r="C258" s="374" t="s">
        <v>22</v>
      </c>
      <c r="D258" s="374"/>
      <c r="E258" s="374" t="s">
        <v>112</v>
      </c>
      <c r="F258" s="204" t="s">
        <v>383</v>
      </c>
      <c r="G258" s="23" t="s">
        <v>24</v>
      </c>
      <c r="H258" s="48">
        <v>5</v>
      </c>
      <c r="I258" s="62">
        <v>3</v>
      </c>
      <c r="J258" s="62">
        <v>3</v>
      </c>
      <c r="K258" s="30">
        <v>4187.78</v>
      </c>
      <c r="L258" s="27"/>
      <c r="M258" s="26">
        <f t="shared" si="0"/>
        <v>0</v>
      </c>
      <c r="N258" s="26"/>
      <c r="O258" s="31"/>
      <c r="P258" s="53">
        <v>9</v>
      </c>
      <c r="Q258" s="30">
        <v>37359.620000000003</v>
      </c>
      <c r="R258" s="27"/>
      <c r="S258" s="26">
        <f t="shared" si="6"/>
        <v>10703.11</v>
      </c>
      <c r="T258" s="26"/>
      <c r="U258" s="225">
        <v>10703.11</v>
      </c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350</v>
      </c>
      <c r="G259" s="35" t="s">
        <v>28</v>
      </c>
      <c r="H259" s="153">
        <v>1</v>
      </c>
      <c r="I259" s="38"/>
      <c r="J259" s="38"/>
      <c r="K259" s="39"/>
      <c r="L259" s="40"/>
      <c r="M259" s="39">
        <f t="shared" si="0"/>
        <v>0</v>
      </c>
      <c r="N259" s="39"/>
      <c r="O259" s="41"/>
      <c r="P259" s="59"/>
      <c r="Q259" s="39"/>
      <c r="R259" s="40"/>
      <c r="S259" s="39">
        <f t="shared" si="6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199</v>
      </c>
      <c r="C260" s="381" t="s">
        <v>22</v>
      </c>
      <c r="D260" s="381"/>
      <c r="E260" s="381" t="s">
        <v>131</v>
      </c>
      <c r="F260" s="46"/>
      <c r="G260" s="23" t="s">
        <v>24</v>
      </c>
      <c r="H260" s="98"/>
      <c r="I260" s="49"/>
      <c r="J260" s="49"/>
      <c r="K260" s="50"/>
      <c r="L260" s="51"/>
      <c r="M260" s="50">
        <f t="shared" si="0"/>
        <v>0</v>
      </c>
      <c r="N260" s="50"/>
      <c r="O260" s="31"/>
      <c r="P260" s="123"/>
      <c r="Q260" s="50"/>
      <c r="R260" s="51"/>
      <c r="S260" s="50">
        <f t="shared" si="6"/>
        <v>0</v>
      </c>
      <c r="T260" s="50"/>
      <c r="U260" s="3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9"/>
      <c r="B261" s="380"/>
      <c r="C261" s="380"/>
      <c r="D261" s="380"/>
      <c r="E261" s="380"/>
      <c r="F261" s="126"/>
      <c r="G261" s="55" t="s">
        <v>25</v>
      </c>
      <c r="H261" s="118"/>
      <c r="I261" s="57"/>
      <c r="J261" s="57"/>
      <c r="K261" s="43"/>
      <c r="L261" s="44"/>
      <c r="M261" s="43">
        <f t="shared" si="0"/>
        <v>0</v>
      </c>
      <c r="N261" s="43"/>
      <c r="O261" s="41"/>
      <c r="P261" s="103"/>
      <c r="Q261" s="43"/>
      <c r="R261" s="44"/>
      <c r="S261" s="43">
        <f t="shared" si="6"/>
        <v>0</v>
      </c>
      <c r="T261" s="43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200</v>
      </c>
      <c r="C262" s="374" t="s">
        <v>22</v>
      </c>
      <c r="D262" s="374"/>
      <c r="E262" s="374" t="s">
        <v>27</v>
      </c>
      <c r="F262" s="204" t="s">
        <v>384</v>
      </c>
      <c r="G262" s="23" t="s">
        <v>24</v>
      </c>
      <c r="H262" s="61">
        <v>1</v>
      </c>
      <c r="I262" s="25"/>
      <c r="J262" s="25"/>
      <c r="K262" s="26"/>
      <c r="L262" s="27"/>
      <c r="M262" s="26">
        <f t="shared" si="0"/>
        <v>0</v>
      </c>
      <c r="N262" s="26"/>
      <c r="O262" s="31"/>
      <c r="P262" s="29">
        <v>5</v>
      </c>
      <c r="Q262" s="30">
        <v>20287.48</v>
      </c>
      <c r="R262" s="27"/>
      <c r="S262" s="26">
        <f t="shared" si="6"/>
        <v>1911.09</v>
      </c>
      <c r="T262" s="26"/>
      <c r="U262" s="225">
        <v>1911.09</v>
      </c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1" t="s">
        <v>351</v>
      </c>
      <c r="G263" s="55" t="s">
        <v>28</v>
      </c>
      <c r="H263" s="121">
        <v>1</v>
      </c>
      <c r="I263" s="130">
        <v>1</v>
      </c>
      <c r="J263" s="130">
        <v>1</v>
      </c>
      <c r="K263" s="114">
        <v>1056.55</v>
      </c>
      <c r="L263" s="44"/>
      <c r="M263" s="43">
        <f t="shared" si="0"/>
        <v>0</v>
      </c>
      <c r="N263" s="43"/>
      <c r="O263" s="45"/>
      <c r="P263" s="42"/>
      <c r="Q263" s="43"/>
      <c r="R263" s="44"/>
      <c r="S263" s="43">
        <f t="shared" si="6"/>
        <v>1921</v>
      </c>
      <c r="T263" s="114">
        <v>1921</v>
      </c>
      <c r="U263" s="45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201</v>
      </c>
      <c r="C264" s="374" t="s">
        <v>39</v>
      </c>
      <c r="D264" s="374" t="s">
        <v>385</v>
      </c>
      <c r="E264" s="374" t="s">
        <v>386</v>
      </c>
      <c r="F264" s="204" t="s">
        <v>387</v>
      </c>
      <c r="G264" s="23" t="s">
        <v>24</v>
      </c>
      <c r="H264" s="61">
        <v>8</v>
      </c>
      <c r="I264" s="62">
        <v>5</v>
      </c>
      <c r="J264" s="62">
        <v>7</v>
      </c>
      <c r="K264" s="30">
        <v>8145.22</v>
      </c>
      <c r="L264" s="27"/>
      <c r="M264" s="26">
        <f t="shared" si="0"/>
        <v>4589.6499999999996</v>
      </c>
      <c r="N264" s="26"/>
      <c r="O264" s="312">
        <v>4589.6499999999996</v>
      </c>
      <c r="P264" s="53">
        <v>2</v>
      </c>
      <c r="Q264" s="30">
        <v>4356.83</v>
      </c>
      <c r="R264" s="205">
        <v>2</v>
      </c>
      <c r="S264" s="26">
        <f t="shared" si="6"/>
        <v>4356.83</v>
      </c>
      <c r="T264" s="30">
        <v>4356.83</v>
      </c>
      <c r="U264" s="28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105"/>
      <c r="G265" s="35" t="s">
        <v>25</v>
      </c>
      <c r="H265" s="106"/>
      <c r="I265" s="38"/>
      <c r="J265" s="38"/>
      <c r="K265" s="39"/>
      <c r="L265" s="40"/>
      <c r="M265" s="39">
        <f t="shared" si="0"/>
        <v>0</v>
      </c>
      <c r="N265" s="39"/>
      <c r="O265" s="58"/>
      <c r="P265" s="115">
        <v>2</v>
      </c>
      <c r="Q265" s="68">
        <v>4418.3</v>
      </c>
      <c r="R265" s="285">
        <v>1</v>
      </c>
      <c r="S265" s="68">
        <v>3073.6</v>
      </c>
      <c r="T265" s="68">
        <v>3073.6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202</v>
      </c>
      <c r="C266" s="381" t="s">
        <v>39</v>
      </c>
      <c r="D266" s="377"/>
      <c r="E266" s="381" t="s">
        <v>27</v>
      </c>
      <c r="F266" s="110"/>
      <c r="G266" s="47" t="s">
        <v>24</v>
      </c>
      <c r="H266" s="48">
        <v>1</v>
      </c>
      <c r="I266" s="49"/>
      <c r="J266" s="49"/>
      <c r="K266" s="50"/>
      <c r="L266" s="51"/>
      <c r="M266" s="50">
        <f t="shared" si="0"/>
        <v>0</v>
      </c>
      <c r="N266" s="50"/>
      <c r="O266" s="31"/>
      <c r="P266" s="108">
        <v>1</v>
      </c>
      <c r="Q266" s="65">
        <v>1124.17</v>
      </c>
      <c r="R266" s="51"/>
      <c r="S266" s="50">
        <f t="shared" ref="S266:S271" si="7">T266+U266</f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1" t="s">
        <v>262</v>
      </c>
      <c r="G267" s="55" t="s">
        <v>28</v>
      </c>
      <c r="H267" s="112">
        <v>1</v>
      </c>
      <c r="I267" s="57"/>
      <c r="J267" s="57"/>
      <c r="K267" s="43"/>
      <c r="L267" s="128"/>
      <c r="M267" s="129">
        <f t="shared" si="0"/>
        <v>0</v>
      </c>
      <c r="N267" s="43"/>
      <c r="O267" s="45"/>
      <c r="P267" s="113">
        <v>1</v>
      </c>
      <c r="Q267" s="114">
        <v>1344.7</v>
      </c>
      <c r="R267" s="128"/>
      <c r="S267" s="129">
        <f t="shared" si="7"/>
        <v>4994.6000000000004</v>
      </c>
      <c r="T267" s="114">
        <v>3649.9</v>
      </c>
      <c r="U267" s="45">
        <f>1344.7</f>
        <v>1344.7</v>
      </c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203</v>
      </c>
      <c r="C268" s="374"/>
      <c r="D268" s="374"/>
      <c r="E268" s="374" t="s">
        <v>27</v>
      </c>
      <c r="F268" s="60"/>
      <c r="G268" s="23" t="s">
        <v>24</v>
      </c>
      <c r="H268" s="104"/>
      <c r="I268" s="25"/>
      <c r="J268" s="25"/>
      <c r="K268" s="26"/>
      <c r="L268" s="27"/>
      <c r="M268" s="26">
        <f t="shared" si="0"/>
        <v>0</v>
      </c>
      <c r="N268" s="26"/>
      <c r="O268" s="28"/>
      <c r="P268" s="120"/>
      <c r="Q268" s="26"/>
      <c r="R268" s="27"/>
      <c r="S268" s="26">
        <f t="shared" si="7"/>
        <v>0</v>
      </c>
      <c r="T268" s="26"/>
      <c r="U268" s="28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34"/>
      <c r="G269" s="35" t="s">
        <v>28</v>
      </c>
      <c r="H269" s="117"/>
      <c r="I269" s="38"/>
      <c r="J269" s="38"/>
      <c r="K269" s="39"/>
      <c r="L269" s="40"/>
      <c r="M269" s="39">
        <f t="shared" si="0"/>
        <v>0</v>
      </c>
      <c r="N269" s="39"/>
      <c r="O269" s="41"/>
      <c r="P269" s="69"/>
      <c r="Q269" s="39"/>
      <c r="R269" s="40"/>
      <c r="S269" s="39">
        <f t="shared" si="7"/>
        <v>0</v>
      </c>
      <c r="T269" s="39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204</v>
      </c>
      <c r="C270" s="381" t="s">
        <v>22</v>
      </c>
      <c r="D270" s="381"/>
      <c r="E270" s="381" t="s">
        <v>23</v>
      </c>
      <c r="F270" s="127"/>
      <c r="G270" s="47" t="s">
        <v>24</v>
      </c>
      <c r="H270" s="48">
        <v>6</v>
      </c>
      <c r="I270" s="203">
        <v>1</v>
      </c>
      <c r="J270" s="203">
        <v>1</v>
      </c>
      <c r="K270" s="65">
        <v>384.2</v>
      </c>
      <c r="L270" s="51"/>
      <c r="M270" s="50">
        <f t="shared" si="0"/>
        <v>0</v>
      </c>
      <c r="N270" s="50"/>
      <c r="O270" s="31"/>
      <c r="P270" s="108">
        <v>4</v>
      </c>
      <c r="Q270" s="65">
        <v>3363.11</v>
      </c>
      <c r="R270" s="51"/>
      <c r="S270" s="50">
        <f t="shared" si="7"/>
        <v>0</v>
      </c>
      <c r="T270" s="50"/>
      <c r="U270" s="3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34"/>
      <c r="G271" s="35" t="s">
        <v>25</v>
      </c>
      <c r="H271" s="111"/>
      <c r="I271" s="38"/>
      <c r="J271" s="38"/>
      <c r="K271" s="39"/>
      <c r="L271" s="40"/>
      <c r="M271" s="39">
        <f t="shared" si="0"/>
        <v>0</v>
      </c>
      <c r="N271" s="39"/>
      <c r="O271" s="41"/>
      <c r="P271" s="59"/>
      <c r="Q271" s="39"/>
      <c r="R271" s="40"/>
      <c r="S271" s="39">
        <f t="shared" si="7"/>
        <v>0</v>
      </c>
      <c r="T271" s="39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179"/>
      <c r="B272" s="180" t="s">
        <v>205</v>
      </c>
      <c r="C272" s="180"/>
      <c r="D272" s="180"/>
      <c r="E272" s="180"/>
      <c r="F272" s="180"/>
      <c r="G272" s="181"/>
      <c r="H272" s="182">
        <f t="shared" ref="H272:U272" si="8">SUM(H9:H271)</f>
        <v>679</v>
      </c>
      <c r="I272" s="183">
        <f t="shared" si="8"/>
        <v>262</v>
      </c>
      <c r="J272" s="183">
        <f t="shared" si="8"/>
        <v>298</v>
      </c>
      <c r="K272" s="184">
        <f t="shared" si="8"/>
        <v>438965.92999999993</v>
      </c>
      <c r="L272" s="185">
        <f t="shared" si="8"/>
        <v>3</v>
      </c>
      <c r="M272" s="184">
        <f t="shared" si="8"/>
        <v>46271.30000000001</v>
      </c>
      <c r="N272" s="184">
        <f t="shared" si="8"/>
        <v>3566.3100000000004</v>
      </c>
      <c r="O272" s="186">
        <f t="shared" si="8"/>
        <v>42704.990000000005</v>
      </c>
      <c r="P272" s="187">
        <f t="shared" si="8"/>
        <v>921</v>
      </c>
      <c r="Q272" s="188">
        <f t="shared" si="8"/>
        <v>2800785.84</v>
      </c>
      <c r="R272" s="185">
        <f t="shared" si="8"/>
        <v>249</v>
      </c>
      <c r="S272" s="188">
        <f t="shared" si="8"/>
        <v>1210712.6200000006</v>
      </c>
      <c r="T272" s="188">
        <f t="shared" si="8"/>
        <v>846742.03</v>
      </c>
      <c r="U272" s="189">
        <f t="shared" si="8"/>
        <v>363970.58999999997</v>
      </c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4"/>
      <c r="I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4"/>
      <c r="B275" s="4"/>
      <c r="C275" s="4"/>
      <c r="D275" s="4"/>
      <c r="E275" s="4"/>
      <c r="F275" s="4"/>
      <c r="G275" s="4"/>
      <c r="H275" s="4" t="s">
        <v>206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27.75" customHeight="1">
      <c r="A276" s="4"/>
      <c r="B276" s="4"/>
      <c r="C276" s="4"/>
      <c r="D276" s="4"/>
      <c r="E276" s="4"/>
      <c r="F276" s="394"/>
      <c r="G276" s="395" t="s">
        <v>5</v>
      </c>
      <c r="H276" s="396"/>
      <c r="I276" s="396"/>
      <c r="J276" s="396"/>
      <c r="K276" s="396"/>
      <c r="L276" s="396"/>
      <c r="M276" s="396"/>
      <c r="N276" s="397"/>
      <c r="O276" s="395" t="s">
        <v>6</v>
      </c>
      <c r="P276" s="396"/>
      <c r="Q276" s="396"/>
      <c r="R276" s="396"/>
      <c r="S276" s="396"/>
      <c r="T276" s="397"/>
      <c r="U276" s="393" t="s">
        <v>207</v>
      </c>
      <c r="V276" s="393" t="s">
        <v>208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4"/>
      <c r="B277" s="4"/>
      <c r="C277" s="4"/>
      <c r="D277" s="4"/>
      <c r="E277" s="4"/>
      <c r="F277" s="386"/>
      <c r="G277" s="190" t="s">
        <v>13</v>
      </c>
      <c r="H277" s="190" t="s">
        <v>14</v>
      </c>
      <c r="I277" s="190" t="s">
        <v>15</v>
      </c>
      <c r="J277" s="190" t="s">
        <v>16</v>
      </c>
      <c r="K277" s="191" t="s">
        <v>17</v>
      </c>
      <c r="L277" s="190" t="s">
        <v>18</v>
      </c>
      <c r="M277" s="190" t="s">
        <v>19</v>
      </c>
      <c r="N277" s="190" t="s">
        <v>20</v>
      </c>
      <c r="O277" s="190" t="s">
        <v>15</v>
      </c>
      <c r="P277" s="190" t="s">
        <v>16</v>
      </c>
      <c r="Q277" s="191" t="s">
        <v>17</v>
      </c>
      <c r="R277" s="190" t="s">
        <v>18</v>
      </c>
      <c r="S277" s="190" t="s">
        <v>19</v>
      </c>
      <c r="T277" s="190" t="s">
        <v>20</v>
      </c>
      <c r="U277" s="392"/>
      <c r="V277" s="392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4"/>
      <c r="B278" s="4"/>
      <c r="C278" s="4"/>
      <c r="D278" s="4"/>
      <c r="E278" s="4"/>
      <c r="F278" s="192" t="s">
        <v>24</v>
      </c>
      <c r="G278" s="193">
        <f t="shared" ref="G278:I278" si="9">SUMIF($G$9:$G$271,$F$278,H9:H271)</f>
        <v>449</v>
      </c>
      <c r="H278" s="193">
        <f t="shared" si="9"/>
        <v>210</v>
      </c>
      <c r="I278" s="193">
        <f t="shared" si="9"/>
        <v>246</v>
      </c>
      <c r="J278" s="194">
        <f t="shared" ref="J278:J280" si="10">SUMIF($G$9:$G$271,F278,$K$9:$K$271)</f>
        <v>364036.92</v>
      </c>
      <c r="K278" s="195">
        <f t="shared" ref="K278:K280" si="11">SUMIF($G$9:$G$271,F278,$L$9:$L$271)</f>
        <v>3</v>
      </c>
      <c r="L278" s="194">
        <f t="shared" ref="L278:L280" si="12">SUMIF($G$9:$G$271,F278,$M$9:$M$271)</f>
        <v>37008.5</v>
      </c>
      <c r="M278" s="194">
        <f t="shared" ref="M278:O278" si="13">SUMIF($G$9:$G$271,$F$278,N9:N271)</f>
        <v>2221.61</v>
      </c>
      <c r="N278" s="194">
        <f t="shared" si="13"/>
        <v>34786.89</v>
      </c>
      <c r="O278" s="193">
        <f t="shared" si="13"/>
        <v>777</v>
      </c>
      <c r="P278" s="194">
        <f t="shared" ref="P278:P280" si="14">SUMIF($G$9:$G$271,F278,$Q$9:$Q$271)</f>
        <v>2392076.3499999992</v>
      </c>
      <c r="Q278" s="195">
        <f t="shared" ref="Q278:Q280" si="15">SUMIF($G$9:$G$271,F278,$R$9:$R$271)</f>
        <v>235</v>
      </c>
      <c r="R278" s="194">
        <f t="shared" ref="R278:R280" si="16">SUMIF($G$9:$G$271,F278,$S$9:$S$271)</f>
        <v>968827.34000000032</v>
      </c>
      <c r="S278" s="194">
        <f t="shared" ref="S278:T278" si="17">SUMIF($G$9:$G$271,$F$278,T9:T271)</f>
        <v>683273.19000000006</v>
      </c>
      <c r="T278" s="194">
        <f t="shared" si="17"/>
        <v>285554.14999999997</v>
      </c>
      <c r="U278" s="194">
        <f t="shared" ref="U278:U280" si="18">S278+M278</f>
        <v>685494.8</v>
      </c>
      <c r="V278" s="196">
        <f t="shared" ref="V278:V280" si="19">J278-M278+P278-S278</f>
        <v>2070618.4699999993</v>
      </c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192" t="s">
        <v>28</v>
      </c>
      <c r="G279" s="236">
        <f t="shared" ref="G279:I279" si="20">SUMIF($G$9:$G$271,$F$279,H9:H271)</f>
        <v>190</v>
      </c>
      <c r="H279" s="193">
        <f t="shared" si="20"/>
        <v>38</v>
      </c>
      <c r="I279" s="193">
        <f t="shared" si="20"/>
        <v>38</v>
      </c>
      <c r="J279" s="194">
        <f t="shared" si="10"/>
        <v>55738.22</v>
      </c>
      <c r="K279" s="195">
        <f t="shared" si="11"/>
        <v>0</v>
      </c>
      <c r="L279" s="194">
        <f t="shared" si="12"/>
        <v>9262.8000000000011</v>
      </c>
      <c r="M279" s="194">
        <f t="shared" ref="M279:O279" si="21">SUMIF($G$9:$G$271,$F$279,N9:N271)</f>
        <v>1344.7</v>
      </c>
      <c r="N279" s="194">
        <f t="shared" si="21"/>
        <v>7918.1</v>
      </c>
      <c r="O279" s="193">
        <f t="shared" si="21"/>
        <v>109</v>
      </c>
      <c r="P279" s="194">
        <f t="shared" si="14"/>
        <v>299897.12000000005</v>
      </c>
      <c r="Q279" s="195">
        <f t="shared" si="15"/>
        <v>0</v>
      </c>
      <c r="R279" s="194">
        <f t="shared" si="16"/>
        <v>197062.25000000006</v>
      </c>
      <c r="S279" s="194">
        <f t="shared" ref="S279:T279" si="22">SUMIF($G$9:$G$271,$F$279,T9:T271)</f>
        <v>118645.81000000001</v>
      </c>
      <c r="T279" s="194">
        <f t="shared" si="22"/>
        <v>78416.440000000017</v>
      </c>
      <c r="U279" s="194">
        <f t="shared" si="18"/>
        <v>119990.51000000001</v>
      </c>
      <c r="V279" s="196">
        <f t="shared" si="19"/>
        <v>235644.83000000007</v>
      </c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192" t="s">
        <v>25</v>
      </c>
      <c r="G280" s="193">
        <f t="shared" ref="G280:I280" si="23">SUMIF($G$9:$G$271,$F$280,H9:H271)</f>
        <v>40</v>
      </c>
      <c r="H280" s="193">
        <f t="shared" si="23"/>
        <v>14</v>
      </c>
      <c r="I280" s="193">
        <f t="shared" si="23"/>
        <v>14</v>
      </c>
      <c r="J280" s="194">
        <f t="shared" si="10"/>
        <v>19190.79</v>
      </c>
      <c r="K280" s="195">
        <f t="shared" si="11"/>
        <v>0</v>
      </c>
      <c r="L280" s="194">
        <f t="shared" si="12"/>
        <v>0</v>
      </c>
      <c r="M280" s="194">
        <f t="shared" ref="M280:O280" si="24">SUMIF($G$9:$G$271,$F$280,N9:N271)</f>
        <v>0</v>
      </c>
      <c r="N280" s="194">
        <f t="shared" si="24"/>
        <v>0</v>
      </c>
      <c r="O280" s="193">
        <f t="shared" si="24"/>
        <v>35</v>
      </c>
      <c r="P280" s="194">
        <f t="shared" si="14"/>
        <v>108812.37000000002</v>
      </c>
      <c r="Q280" s="195">
        <f t="shared" si="15"/>
        <v>14</v>
      </c>
      <c r="R280" s="194">
        <f t="shared" si="16"/>
        <v>44823.030000000006</v>
      </c>
      <c r="S280" s="194">
        <f t="shared" ref="S280:T280" si="25">SUMIF($G$9:$G$271,$F$280,T9:T271)</f>
        <v>44823.030000000006</v>
      </c>
      <c r="T280" s="194">
        <f t="shared" si="25"/>
        <v>0</v>
      </c>
      <c r="U280" s="194">
        <f t="shared" si="18"/>
        <v>44823.030000000006</v>
      </c>
      <c r="V280" s="196">
        <f t="shared" si="19"/>
        <v>83180.130000000034</v>
      </c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197">
        <f t="shared" ref="G281:V281" si="26">G280+G279+G278</f>
        <v>679</v>
      </c>
      <c r="H281" s="197">
        <f t="shared" si="26"/>
        <v>262</v>
      </c>
      <c r="I281" s="197">
        <f t="shared" si="26"/>
        <v>298</v>
      </c>
      <c r="J281" s="198">
        <f t="shared" si="26"/>
        <v>438965.93</v>
      </c>
      <c r="K281" s="199">
        <f t="shared" si="26"/>
        <v>3</v>
      </c>
      <c r="L281" s="198">
        <f t="shared" si="26"/>
        <v>46271.3</v>
      </c>
      <c r="M281" s="198">
        <f t="shared" si="26"/>
        <v>3566.3100000000004</v>
      </c>
      <c r="N281" s="198">
        <f t="shared" si="26"/>
        <v>42704.99</v>
      </c>
      <c r="O281" s="197">
        <f t="shared" si="26"/>
        <v>921</v>
      </c>
      <c r="P281" s="198">
        <f t="shared" si="26"/>
        <v>2800785.8399999994</v>
      </c>
      <c r="Q281" s="200">
        <f t="shared" si="26"/>
        <v>249</v>
      </c>
      <c r="R281" s="198">
        <f t="shared" si="26"/>
        <v>1210712.6200000003</v>
      </c>
      <c r="S281" s="198">
        <f t="shared" si="26"/>
        <v>846742.03</v>
      </c>
      <c r="T281" s="198">
        <f t="shared" si="26"/>
        <v>363970.58999999997</v>
      </c>
      <c r="U281" s="198">
        <f t="shared" si="26"/>
        <v>850308.34000000008</v>
      </c>
      <c r="V281" s="198">
        <f t="shared" si="26"/>
        <v>2389443.4299999992</v>
      </c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K282" s="201"/>
      <c r="L282" s="201"/>
      <c r="R282" s="2"/>
    </row>
    <row r="283" spans="1:32" ht="15.75" customHeight="1">
      <c r="K283" s="201"/>
      <c r="L283" s="201"/>
      <c r="R283" s="2"/>
    </row>
    <row r="284" spans="1:32" ht="15.75" customHeight="1">
      <c r="K284" s="201"/>
      <c r="L284" s="201"/>
      <c r="R284" s="2"/>
    </row>
    <row r="285" spans="1:32" ht="15.75" customHeight="1">
      <c r="K285" s="201"/>
      <c r="L285" s="201"/>
      <c r="R285" s="2"/>
    </row>
    <row r="286" spans="1:32" ht="15.75" customHeight="1">
      <c r="K286" s="201"/>
      <c r="L286" s="201"/>
      <c r="R286" s="2"/>
    </row>
    <row r="287" spans="1:32" ht="15.75" customHeight="1">
      <c r="K287" s="201"/>
      <c r="L287" s="201"/>
      <c r="R287" s="2"/>
    </row>
    <row r="288" spans="1:32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L434" s="2"/>
      <c r="R434" s="2"/>
    </row>
    <row r="435" spans="11:18" ht="15.75" customHeight="1">
      <c r="L435" s="2"/>
      <c r="R435" s="2"/>
    </row>
    <row r="436" spans="11:18" ht="15.75" customHeight="1">
      <c r="L436" s="2"/>
      <c r="R436" s="2"/>
    </row>
    <row r="437" spans="11:18" ht="15.75" customHeight="1">
      <c r="L437" s="2"/>
      <c r="R437" s="2"/>
    </row>
    <row r="438" spans="11:18" ht="15.75" customHeight="1">
      <c r="L438" s="2"/>
      <c r="R438" s="2"/>
    </row>
    <row r="439" spans="11:18" ht="15.75" customHeight="1">
      <c r="L439" s="2"/>
      <c r="R439" s="2"/>
    </row>
    <row r="440" spans="11:18" ht="15.75" customHeight="1">
      <c r="L440" s="2"/>
      <c r="R440" s="2"/>
    </row>
    <row r="441" spans="11:18" ht="15.75" customHeight="1">
      <c r="L441" s="2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</sheetData>
  <mergeCells count="655">
    <mergeCell ref="B226:B227"/>
    <mergeCell ref="C226:C227"/>
    <mergeCell ref="D248:D249"/>
    <mergeCell ref="E248:E249"/>
    <mergeCell ref="D250:D251"/>
    <mergeCell ref="E250:E251"/>
    <mergeCell ref="D252:D253"/>
    <mergeCell ref="E252:E253"/>
    <mergeCell ref="B248:B249"/>
    <mergeCell ref="C248:C249"/>
    <mergeCell ref="B250:B251"/>
    <mergeCell ref="C250:C251"/>
    <mergeCell ref="B252:B253"/>
    <mergeCell ref="C252:C253"/>
    <mergeCell ref="C195:C197"/>
    <mergeCell ref="D195:D197"/>
    <mergeCell ref="E195:E197"/>
    <mergeCell ref="C200:C201"/>
    <mergeCell ref="D200:D201"/>
    <mergeCell ref="C204:C205"/>
    <mergeCell ref="D204:D205"/>
    <mergeCell ref="A206:A207"/>
    <mergeCell ref="B206:B207"/>
    <mergeCell ref="C206:C207"/>
    <mergeCell ref="D206:D207"/>
    <mergeCell ref="E206:E207"/>
    <mergeCell ref="B204:B205"/>
    <mergeCell ref="E204:E205"/>
    <mergeCell ref="C189:C190"/>
    <mergeCell ref="D189:D190"/>
    <mergeCell ref="A187:A188"/>
    <mergeCell ref="B187:B188"/>
    <mergeCell ref="C187:C188"/>
    <mergeCell ref="D187:D188"/>
    <mergeCell ref="E187:E188"/>
    <mergeCell ref="B189:B190"/>
    <mergeCell ref="E189:E190"/>
    <mergeCell ref="D193:D194"/>
    <mergeCell ref="E193:E194"/>
    <mergeCell ref="A189:A190"/>
    <mergeCell ref="A191:A192"/>
    <mergeCell ref="B191:B192"/>
    <mergeCell ref="C191:C192"/>
    <mergeCell ref="D191:D192"/>
    <mergeCell ref="E191:E192"/>
    <mergeCell ref="A193:A194"/>
    <mergeCell ref="B193:B194"/>
    <mergeCell ref="C193:C194"/>
    <mergeCell ref="A195:A197"/>
    <mergeCell ref="B195:B197"/>
    <mergeCell ref="A198:A199"/>
    <mergeCell ref="B198:B199"/>
    <mergeCell ref="C198:C199"/>
    <mergeCell ref="D198:D199"/>
    <mergeCell ref="E198:E199"/>
    <mergeCell ref="B200:B201"/>
    <mergeCell ref="E200:E201"/>
    <mergeCell ref="A200:A201"/>
    <mergeCell ref="A202:A203"/>
    <mergeCell ref="B202:B203"/>
    <mergeCell ref="C202:C203"/>
    <mergeCell ref="D202:D203"/>
    <mergeCell ref="E202:E203"/>
    <mergeCell ref="A173:A174"/>
    <mergeCell ref="B173:B174"/>
    <mergeCell ref="C173:C174"/>
    <mergeCell ref="D173:D174"/>
    <mergeCell ref="E173:E174"/>
    <mergeCell ref="A175:A176"/>
    <mergeCell ref="B183:B184"/>
    <mergeCell ref="C183:C184"/>
    <mergeCell ref="A185:A186"/>
    <mergeCell ref="B185:B186"/>
    <mergeCell ref="C185:C186"/>
    <mergeCell ref="D185:D186"/>
    <mergeCell ref="E185:E186"/>
    <mergeCell ref="D167:D168"/>
    <mergeCell ref="E167:E168"/>
    <mergeCell ref="D169:D170"/>
    <mergeCell ref="E169:E170"/>
    <mergeCell ref="D171:D172"/>
    <mergeCell ref="E171:E172"/>
    <mergeCell ref="A163:A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A169:A170"/>
    <mergeCell ref="B169:B170"/>
    <mergeCell ref="C169:C170"/>
    <mergeCell ref="B171:B172"/>
    <mergeCell ref="C171:C172"/>
    <mergeCell ref="A171:A172"/>
    <mergeCell ref="C163:C164"/>
    <mergeCell ref="D163:D164"/>
    <mergeCell ref="A161:A162"/>
    <mergeCell ref="B161:B162"/>
    <mergeCell ref="C161:C162"/>
    <mergeCell ref="D161:D162"/>
    <mergeCell ref="E161:E162"/>
    <mergeCell ref="B163:B164"/>
    <mergeCell ref="E163:E164"/>
    <mergeCell ref="D183:D184"/>
    <mergeCell ref="E183:E184"/>
    <mergeCell ref="A179:A180"/>
    <mergeCell ref="A181:A182"/>
    <mergeCell ref="B181:B182"/>
    <mergeCell ref="C181:C182"/>
    <mergeCell ref="D181:D182"/>
    <mergeCell ref="E181:E182"/>
    <mergeCell ref="A183:A184"/>
    <mergeCell ref="D175:D176"/>
    <mergeCell ref="E175:E176"/>
    <mergeCell ref="D177:D178"/>
    <mergeCell ref="E177:E178"/>
    <mergeCell ref="D179:D180"/>
    <mergeCell ref="E179:E180"/>
    <mergeCell ref="B175:B176"/>
    <mergeCell ref="C175:C176"/>
    <mergeCell ref="A177:A178"/>
    <mergeCell ref="B177:B178"/>
    <mergeCell ref="C177:C178"/>
    <mergeCell ref="B179:B180"/>
    <mergeCell ref="C179:C180"/>
    <mergeCell ref="A246:A247"/>
    <mergeCell ref="B246:B247"/>
    <mergeCell ref="C246:C247"/>
    <mergeCell ref="D246:D247"/>
    <mergeCell ref="E246:E247"/>
    <mergeCell ref="A248:A249"/>
    <mergeCell ref="B256:B257"/>
    <mergeCell ref="C256:C257"/>
    <mergeCell ref="A258:A259"/>
    <mergeCell ref="B258:B259"/>
    <mergeCell ref="C258:C259"/>
    <mergeCell ref="D258:D259"/>
    <mergeCell ref="E258:E259"/>
    <mergeCell ref="A250:A251"/>
    <mergeCell ref="D240:D241"/>
    <mergeCell ref="E240:E24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A244:A245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64:D265"/>
    <mergeCell ref="E264:E265"/>
    <mergeCell ref="A266:A267"/>
    <mergeCell ref="G276:N276"/>
    <mergeCell ref="O276:T276"/>
    <mergeCell ref="U276:U277"/>
    <mergeCell ref="V276:V277"/>
    <mergeCell ref="D266:D267"/>
    <mergeCell ref="E266:E267"/>
    <mergeCell ref="D268:D269"/>
    <mergeCell ref="E268:E269"/>
    <mergeCell ref="D270:D271"/>
    <mergeCell ref="E270:E271"/>
    <mergeCell ref="F276:F277"/>
    <mergeCell ref="B266:B267"/>
    <mergeCell ref="C266:C267"/>
    <mergeCell ref="A268:A269"/>
    <mergeCell ref="B268:B269"/>
    <mergeCell ref="C268:C269"/>
    <mergeCell ref="A270:A271"/>
    <mergeCell ref="B270:B271"/>
    <mergeCell ref="C270:C271"/>
    <mergeCell ref="A262:A263"/>
    <mergeCell ref="A264:A265"/>
    <mergeCell ref="B264:B265"/>
    <mergeCell ref="C264:C265"/>
    <mergeCell ref="C262:C263"/>
    <mergeCell ref="D262:D263"/>
    <mergeCell ref="A260:A261"/>
    <mergeCell ref="B260:B261"/>
    <mergeCell ref="C260:C261"/>
    <mergeCell ref="D260:D261"/>
    <mergeCell ref="E260:E261"/>
    <mergeCell ref="B262:B263"/>
    <mergeCell ref="E262:E263"/>
    <mergeCell ref="D256:D257"/>
    <mergeCell ref="E256:E257"/>
    <mergeCell ref="A252:A253"/>
    <mergeCell ref="A254:A255"/>
    <mergeCell ref="B254:B255"/>
    <mergeCell ref="C254:C255"/>
    <mergeCell ref="D254:D255"/>
    <mergeCell ref="E254:E255"/>
    <mergeCell ref="A256:A257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2:D223"/>
    <mergeCell ref="E222:E223"/>
    <mergeCell ref="D224:D225"/>
    <mergeCell ref="E224:E225"/>
    <mergeCell ref="D226:D227"/>
    <mergeCell ref="E226:E227"/>
    <mergeCell ref="B222:B223"/>
    <mergeCell ref="C222:C223"/>
    <mergeCell ref="A224:A225"/>
    <mergeCell ref="B224:B225"/>
    <mergeCell ref="C224:C22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A159:A160"/>
    <mergeCell ref="B159:B160"/>
    <mergeCell ref="C159:C160"/>
    <mergeCell ref="D159:D160"/>
    <mergeCell ref="E159:E160"/>
    <mergeCell ref="D230:D231"/>
    <mergeCell ref="E230:E231"/>
    <mergeCell ref="A226:A227"/>
    <mergeCell ref="A228:A229"/>
    <mergeCell ref="B228:B229"/>
    <mergeCell ref="C228:C229"/>
    <mergeCell ref="D228:D229"/>
    <mergeCell ref="E228:E229"/>
    <mergeCell ref="A230:A231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14:D215"/>
    <mergeCell ref="A138:A140"/>
    <mergeCell ref="A141:A142"/>
    <mergeCell ref="B141:B142"/>
    <mergeCell ref="A143:A144"/>
    <mergeCell ref="B143:B144"/>
    <mergeCell ref="A145:A146"/>
    <mergeCell ref="B145:B146"/>
    <mergeCell ref="C152:C153"/>
    <mergeCell ref="D152:D153"/>
    <mergeCell ref="D141:D142"/>
    <mergeCell ref="E141:E142"/>
    <mergeCell ref="D143:D144"/>
    <mergeCell ref="E143:E144"/>
    <mergeCell ref="A147:A148"/>
    <mergeCell ref="B147:B148"/>
    <mergeCell ref="C147:C148"/>
    <mergeCell ref="D147:D148"/>
    <mergeCell ref="E147:E148"/>
    <mergeCell ref="B152:B153"/>
    <mergeCell ref="E152:E153"/>
    <mergeCell ref="D157:D158"/>
    <mergeCell ref="E157:E158"/>
    <mergeCell ref="A152:A153"/>
    <mergeCell ref="A154:A156"/>
    <mergeCell ref="B154:B156"/>
    <mergeCell ref="C154:C156"/>
    <mergeCell ref="D154:D156"/>
    <mergeCell ref="E154:E156"/>
    <mergeCell ref="A157:A158"/>
    <mergeCell ref="B157:B158"/>
    <mergeCell ref="C157:C158"/>
    <mergeCell ref="A134:A135"/>
    <mergeCell ref="B134:B135"/>
    <mergeCell ref="C134:C135"/>
    <mergeCell ref="D134:D135"/>
    <mergeCell ref="E134:E135"/>
    <mergeCell ref="A149:A151"/>
    <mergeCell ref="B149:B151"/>
    <mergeCell ref="C149:C151"/>
    <mergeCell ref="D149:D151"/>
    <mergeCell ref="E149:E151"/>
    <mergeCell ref="A136:A137"/>
    <mergeCell ref="B136:B137"/>
    <mergeCell ref="C136:C137"/>
    <mergeCell ref="D136:D137"/>
    <mergeCell ref="E136:E137"/>
    <mergeCell ref="B138:B140"/>
    <mergeCell ref="E138:E140"/>
    <mergeCell ref="C143:C144"/>
    <mergeCell ref="C145:C146"/>
    <mergeCell ref="D145:D146"/>
    <mergeCell ref="E145:E146"/>
    <mergeCell ref="C138:C140"/>
    <mergeCell ref="D138:D140"/>
    <mergeCell ref="C141:C142"/>
    <mergeCell ref="A124:A125"/>
    <mergeCell ref="B124:B125"/>
    <mergeCell ref="C124:C125"/>
    <mergeCell ref="D124:D125"/>
    <mergeCell ref="E124:E125"/>
    <mergeCell ref="A115:A117"/>
    <mergeCell ref="A118:A119"/>
    <mergeCell ref="B118:B119"/>
    <mergeCell ref="A120:A121"/>
    <mergeCell ref="B120:B121"/>
    <mergeCell ref="A122:A123"/>
    <mergeCell ref="B122:B123"/>
    <mergeCell ref="A113:A114"/>
    <mergeCell ref="B113:B114"/>
    <mergeCell ref="C113:C114"/>
    <mergeCell ref="D113:D114"/>
    <mergeCell ref="E113:E114"/>
    <mergeCell ref="B115:B117"/>
    <mergeCell ref="E115:E117"/>
    <mergeCell ref="C120:C121"/>
    <mergeCell ref="C122:C123"/>
    <mergeCell ref="D122:D123"/>
    <mergeCell ref="E122:E123"/>
    <mergeCell ref="C115:C117"/>
    <mergeCell ref="D115:D117"/>
    <mergeCell ref="C118:C119"/>
    <mergeCell ref="D118:D119"/>
    <mergeCell ref="E118:E119"/>
    <mergeCell ref="D120:D121"/>
    <mergeCell ref="E120:E121"/>
    <mergeCell ref="A126:A127"/>
    <mergeCell ref="B126:B127"/>
    <mergeCell ref="C126:C127"/>
    <mergeCell ref="D126:D127"/>
    <mergeCell ref="E126:E127"/>
    <mergeCell ref="B128:B129"/>
    <mergeCell ref="E128:E129"/>
    <mergeCell ref="D132:D133"/>
    <mergeCell ref="E132:E133"/>
    <mergeCell ref="A128:A129"/>
    <mergeCell ref="A130:A131"/>
    <mergeCell ref="B130:B131"/>
    <mergeCell ref="C130:C131"/>
    <mergeCell ref="D130:D131"/>
    <mergeCell ref="E130:E131"/>
    <mergeCell ref="A132:A133"/>
    <mergeCell ref="C128:C129"/>
    <mergeCell ref="D128:D129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8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6</v>
      </c>
      <c r="I9" s="62">
        <v>2</v>
      </c>
      <c r="J9" s="62">
        <v>2</v>
      </c>
      <c r="K9" s="62">
        <v>4367.01</v>
      </c>
      <c r="L9" s="27"/>
      <c r="M9" s="26">
        <f t="shared" ref="M9:M279" si="0">N9+O9</f>
        <v>0</v>
      </c>
      <c r="N9" s="26"/>
      <c r="O9" s="28"/>
      <c r="P9" s="29">
        <v>11</v>
      </c>
      <c r="Q9" s="30">
        <v>33955.620000000003</v>
      </c>
      <c r="R9" s="205">
        <v>4</v>
      </c>
      <c r="S9" s="26">
        <f t="shared" ref="S9:S31" si="1">T9+U9</f>
        <v>11294.810000000001</v>
      </c>
      <c r="T9" s="30">
        <v>7969.55</v>
      </c>
      <c r="U9" s="225">
        <v>3325.26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7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6</v>
      </c>
      <c r="I13" s="62">
        <v>6</v>
      </c>
      <c r="J13" s="62">
        <v>9</v>
      </c>
      <c r="K13" s="30">
        <v>19302.2</v>
      </c>
      <c r="L13" s="27"/>
      <c r="M13" s="26">
        <f t="shared" si="0"/>
        <v>8982.8700000000008</v>
      </c>
      <c r="N13" s="26"/>
      <c r="O13" s="299">
        <v>8982.8700000000008</v>
      </c>
      <c r="P13" s="64">
        <v>13</v>
      </c>
      <c r="Q13" s="65">
        <v>52910.82</v>
      </c>
      <c r="R13" s="224">
        <v>6</v>
      </c>
      <c r="S13" s="50">
        <f t="shared" si="1"/>
        <v>32231.02</v>
      </c>
      <c r="T13" s="65">
        <v>13737.84</v>
      </c>
      <c r="U13" s="225">
        <v>18493.18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68">
        <v>15752.2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2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3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2</v>
      </c>
      <c r="J19" s="266">
        <v>2</v>
      </c>
      <c r="K19" s="79">
        <v>1978.63</v>
      </c>
      <c r="L19" s="80"/>
      <c r="M19" s="81">
        <f t="shared" si="0"/>
        <v>633.92999999999995</v>
      </c>
      <c r="N19" s="81"/>
      <c r="O19" s="269">
        <v>633.92999999999995</v>
      </c>
      <c r="P19" s="267">
        <v>8</v>
      </c>
      <c r="Q19" s="79">
        <v>13684.02</v>
      </c>
      <c r="R19" s="268">
        <v>1</v>
      </c>
      <c r="S19" s="81">
        <f t="shared" si="1"/>
        <v>7296.52</v>
      </c>
      <c r="T19" s="79">
        <v>1045.98</v>
      </c>
      <c r="U19" s="269">
        <v>6250.54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2497.3000000000002</v>
      </c>
      <c r="T20" s="39">
        <f>2497.3</f>
        <v>2497.3000000000002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40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4</v>
      </c>
      <c r="J21" s="203">
        <v>4</v>
      </c>
      <c r="K21" s="65">
        <v>4057.17</v>
      </c>
      <c r="L21" s="51"/>
      <c r="M21" s="50">
        <f t="shared" si="0"/>
        <v>4057.17</v>
      </c>
      <c r="N21" s="50"/>
      <c r="O21" s="225">
        <v>4057.17</v>
      </c>
      <c r="P21" s="53">
        <v>14</v>
      </c>
      <c r="Q21" s="30">
        <v>22822.54</v>
      </c>
      <c r="R21" s="205">
        <v>2</v>
      </c>
      <c r="S21" s="26">
        <f t="shared" si="1"/>
        <v>15383.27</v>
      </c>
      <c r="T21" s="30">
        <v>3564.82</v>
      </c>
      <c r="U21" s="243">
        <v>11818.45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6</v>
      </c>
      <c r="I23" s="62">
        <v>3</v>
      </c>
      <c r="J23" s="62">
        <v>3</v>
      </c>
      <c r="K23" s="62">
        <v>2554.9299999999998</v>
      </c>
      <c r="L23" s="27"/>
      <c r="M23" s="26">
        <f t="shared" si="0"/>
        <v>0</v>
      </c>
      <c r="N23" s="26"/>
      <c r="O23" s="31"/>
      <c r="P23" s="53">
        <v>3</v>
      </c>
      <c r="Q23" s="30">
        <v>4222.78</v>
      </c>
      <c r="R23" s="205">
        <v>1</v>
      </c>
      <c r="S23" s="26">
        <f t="shared" si="1"/>
        <v>1979.72</v>
      </c>
      <c r="T23" s="30">
        <v>1979.72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1</v>
      </c>
      <c r="Q24" s="68">
        <v>1921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9</v>
      </c>
      <c r="I25" s="203">
        <v>8</v>
      </c>
      <c r="J25" s="203">
        <v>12</v>
      </c>
      <c r="K25" s="65">
        <v>15701.6</v>
      </c>
      <c r="L25" s="224">
        <v>5</v>
      </c>
      <c r="M25" s="50">
        <f t="shared" si="0"/>
        <v>6428.44</v>
      </c>
      <c r="N25" s="65">
        <v>6428.44</v>
      </c>
      <c r="O25" s="225"/>
      <c r="P25" s="53">
        <v>12</v>
      </c>
      <c r="Q25" s="30">
        <v>19451.55</v>
      </c>
      <c r="R25" s="205">
        <v>8</v>
      </c>
      <c r="S25" s="26">
        <f t="shared" si="1"/>
        <v>12316.99</v>
      </c>
      <c r="T25" s="30">
        <v>12316.99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4302</v>
      </c>
      <c r="T26" s="68">
        <v>4302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05">
        <v>1</v>
      </c>
      <c r="S27" s="26">
        <f t="shared" si="1"/>
        <v>2497.3000000000002</v>
      </c>
      <c r="T27" s="30">
        <v>2497.3000000000002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14247.38</v>
      </c>
      <c r="T28" s="114">
        <v>14247.38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5744.16</v>
      </c>
      <c r="T29" s="26"/>
      <c r="U29" s="241">
        <v>5744.16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4</v>
      </c>
      <c r="I31" s="203">
        <v>2</v>
      </c>
      <c r="J31" s="203">
        <v>2</v>
      </c>
      <c r="K31" s="65">
        <v>2091.96</v>
      </c>
      <c r="L31" s="51"/>
      <c r="M31" s="50">
        <f t="shared" si="0"/>
        <v>0</v>
      </c>
      <c r="N31" s="50"/>
      <c r="O31" s="31"/>
      <c r="P31" s="108">
        <v>9</v>
      </c>
      <c r="Q31" s="65">
        <v>26163.18</v>
      </c>
      <c r="R31" s="224">
        <v>7</v>
      </c>
      <c r="S31" s="50">
        <f t="shared" si="1"/>
        <v>19258.7</v>
      </c>
      <c r="T31" s="65">
        <v>19258.7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270">
        <v>1</v>
      </c>
      <c r="M32" s="43">
        <f t="shared" si="0"/>
        <v>2497.3000000000002</v>
      </c>
      <c r="N32" s="114">
        <v>2497.3000000000002</v>
      </c>
      <c r="O32" s="222"/>
      <c r="P32" s="113">
        <v>4</v>
      </c>
      <c r="Q32" s="114">
        <v>8548.4500000000007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2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2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2</v>
      </c>
      <c r="S35" s="50">
        <f t="shared" si="2"/>
        <v>8719.3799999999992</v>
      </c>
      <c r="T35" s="65">
        <v>3647.94</v>
      </c>
      <c r="U35" s="225">
        <v>5071.4399999999996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1</v>
      </c>
      <c r="J36" s="208">
        <v>1</v>
      </c>
      <c r="K36" s="209">
        <v>1152.5999999999999</v>
      </c>
      <c r="L36" s="210"/>
      <c r="M36" s="211">
        <f t="shared" si="0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R36" s="210"/>
      <c r="S36" s="211">
        <f t="shared" si="2"/>
        <v>1428.75</v>
      </c>
      <c r="T36" s="209">
        <f>276.15+1152.6</f>
        <v>1428.75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/>
      <c r="D37" s="374"/>
      <c r="E37" s="374"/>
      <c r="F37" s="22"/>
      <c r="G37" s="213" t="s">
        <v>24</v>
      </c>
      <c r="H37" s="119"/>
      <c r="I37" s="25"/>
      <c r="J37" s="25"/>
      <c r="K37" s="26"/>
      <c r="L37" s="27"/>
      <c r="M37" s="26">
        <f t="shared" si="0"/>
        <v>0</v>
      </c>
      <c r="N37" s="26"/>
      <c r="O37" s="28"/>
      <c r="P37" s="275"/>
      <c r="Q37" s="26"/>
      <c r="R37" s="27"/>
      <c r="S37" s="26">
        <f t="shared" si="2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0"/>
        <v>0</v>
      </c>
      <c r="N38" s="39"/>
      <c r="O38" s="41"/>
      <c r="P38" s="276"/>
      <c r="Q38" s="39"/>
      <c r="R38" s="40"/>
      <c r="S38" s="39">
        <f t="shared" si="2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0"/>
        <v>0</v>
      </c>
      <c r="N39" s="81"/>
      <c r="O39" s="219"/>
      <c r="P39" s="277"/>
      <c r="Q39" s="81"/>
      <c r="R39" s="80"/>
      <c r="S39" s="81">
        <f t="shared" si="2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0"/>
        <v>0</v>
      </c>
      <c r="N40" s="211"/>
      <c r="O40" s="212"/>
      <c r="P40" s="273"/>
      <c r="Q40" s="211"/>
      <c r="R40" s="210"/>
      <c r="S40" s="211">
        <f t="shared" si="2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0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2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0"/>
        <v>0</v>
      </c>
      <c r="N42" s="39"/>
      <c r="O42" s="41"/>
      <c r="P42" s="59"/>
      <c r="Q42" s="39"/>
      <c r="R42" s="40"/>
      <c r="S42" s="39">
        <f t="shared" si="2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7</v>
      </c>
      <c r="I43" s="266">
        <v>7</v>
      </c>
      <c r="J43" s="266">
        <v>7</v>
      </c>
      <c r="K43" s="79">
        <v>8433.7800000000007</v>
      </c>
      <c r="L43" s="80"/>
      <c r="M43" s="81">
        <f t="shared" si="0"/>
        <v>0</v>
      </c>
      <c r="N43" s="81"/>
      <c r="O43" s="97"/>
      <c r="P43" s="53">
        <v>20</v>
      </c>
      <c r="Q43" s="30">
        <v>79577.89</v>
      </c>
      <c r="R43" s="205">
        <v>8</v>
      </c>
      <c r="S43" s="26">
        <f t="shared" si="2"/>
        <v>53218.61</v>
      </c>
      <c r="T43" s="30">
        <v>44991.43</v>
      </c>
      <c r="U43" s="241">
        <v>8227.18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2</v>
      </c>
      <c r="I45" s="25"/>
      <c r="J45" s="25"/>
      <c r="K45" s="26"/>
      <c r="L45" s="27"/>
      <c r="M45" s="26">
        <f t="shared" si="0"/>
        <v>0</v>
      </c>
      <c r="N45" s="26"/>
      <c r="O45" s="28"/>
      <c r="P45" s="214"/>
      <c r="Q45" s="30"/>
      <c r="R45" s="27"/>
      <c r="S45" s="26">
        <f t="shared" si="2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3</v>
      </c>
      <c r="I46" s="261"/>
      <c r="J46" s="261"/>
      <c r="K46" s="211"/>
      <c r="L46" s="210"/>
      <c r="M46" s="211">
        <f t="shared" si="0"/>
        <v>0</v>
      </c>
      <c r="N46" s="211"/>
      <c r="O46" s="212"/>
      <c r="P46" s="280"/>
      <c r="Q46" s="209"/>
      <c r="R46" s="210"/>
      <c r="S46" s="211">
        <f t="shared" si="2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0"/>
        <v>0</v>
      </c>
      <c r="N47" s="26"/>
      <c r="O47" s="28"/>
      <c r="P47" s="275"/>
      <c r="Q47" s="26"/>
      <c r="R47" s="27"/>
      <c r="S47" s="26">
        <f t="shared" si="2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0"/>
        <v>0</v>
      </c>
      <c r="N48" s="39"/>
      <c r="O48" s="41"/>
      <c r="P48" s="276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0"/>
        <v>0</v>
      </c>
      <c r="N49" s="81"/>
      <c r="O49" s="82"/>
      <c r="P49" s="303"/>
      <c r="Q49" s="81"/>
      <c r="R49" s="80"/>
      <c r="S49" s="81">
        <f t="shared" si="2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0"/>
        <v>0</v>
      </c>
      <c r="N50" s="39"/>
      <c r="O50" s="41"/>
      <c r="P50" s="276"/>
      <c r="Q50" s="39"/>
      <c r="R50" s="40"/>
      <c r="S50" s="39">
        <f t="shared" si="2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0"/>
        <v>0</v>
      </c>
      <c r="N51" s="81"/>
      <c r="O51" s="97"/>
      <c r="P51" s="277"/>
      <c r="Q51" s="81"/>
      <c r="R51" s="80"/>
      <c r="S51" s="81">
        <f t="shared" si="2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0"/>
        <v>0</v>
      </c>
      <c r="N52" s="43"/>
      <c r="O52" s="58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1889.58</v>
      </c>
      <c r="L53" s="27"/>
      <c r="M53" s="26">
        <f t="shared" si="0"/>
        <v>0</v>
      </c>
      <c r="N53" s="26"/>
      <c r="O53" s="31"/>
      <c r="P53" s="108">
        <v>2</v>
      </c>
      <c r="Q53" s="65">
        <v>3734.91</v>
      </c>
      <c r="R53" s="224">
        <v>2</v>
      </c>
      <c r="S53" s="50">
        <f t="shared" si="2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0"/>
        <v>0</v>
      </c>
      <c r="N54" s="39"/>
      <c r="O54" s="41"/>
      <c r="P54" s="115">
        <v>6</v>
      </c>
      <c r="Q54" s="68">
        <v>11213.6</v>
      </c>
      <c r="R54" s="40"/>
      <c r="S54" s="39">
        <f t="shared" si="2"/>
        <v>2785.5</v>
      </c>
      <c r="T54" s="68">
        <f>2209.2+576.3</f>
        <v>2785.5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2</v>
      </c>
      <c r="I55" s="203">
        <v>1</v>
      </c>
      <c r="J55" s="203">
        <v>1</v>
      </c>
      <c r="K55" s="65">
        <v>1973.25</v>
      </c>
      <c r="L55" s="51"/>
      <c r="M55" s="50">
        <f t="shared" si="0"/>
        <v>0</v>
      </c>
      <c r="N55" s="50"/>
      <c r="O55" s="31"/>
      <c r="P55" s="53">
        <v>2</v>
      </c>
      <c r="Q55" s="30">
        <v>5899.35</v>
      </c>
      <c r="R55" s="205">
        <v>1</v>
      </c>
      <c r="S55" s="26">
        <f t="shared" si="2"/>
        <v>1854.88</v>
      </c>
      <c r="T55" s="30">
        <v>1854.88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0"/>
        <v>0</v>
      </c>
      <c r="N56" s="43"/>
      <c r="O56" s="41"/>
      <c r="P56" s="59"/>
      <c r="Q56" s="39"/>
      <c r="R56" s="40"/>
      <c r="S56" s="39">
        <f t="shared" si="2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6</v>
      </c>
      <c r="I57" s="62">
        <v>5</v>
      </c>
      <c r="J57" s="62">
        <v>6</v>
      </c>
      <c r="K57" s="30">
        <v>10625.63</v>
      </c>
      <c r="L57" s="27"/>
      <c r="M57" s="26">
        <f t="shared" si="0"/>
        <v>9831.69</v>
      </c>
      <c r="N57" s="26"/>
      <c r="O57" s="225">
        <v>9831.69</v>
      </c>
      <c r="P57" s="53">
        <v>6</v>
      </c>
      <c r="Q57" s="30">
        <v>45189.01</v>
      </c>
      <c r="R57" s="205">
        <v>1</v>
      </c>
      <c r="S57" s="26">
        <f t="shared" si="2"/>
        <v>23645.91</v>
      </c>
      <c r="T57" s="30">
        <v>1997.49</v>
      </c>
      <c r="U57" s="225">
        <v>21648.42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8"/>
      <c r="J58" s="38"/>
      <c r="K58" s="39"/>
      <c r="L58" s="40"/>
      <c r="M58" s="39">
        <f t="shared" si="0"/>
        <v>0</v>
      </c>
      <c r="N58" s="39"/>
      <c r="O58" s="41"/>
      <c r="P58" s="59"/>
      <c r="Q58" s="39"/>
      <c r="R58" s="40"/>
      <c r="S58" s="39">
        <f t="shared" si="2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11</v>
      </c>
      <c r="I59" s="203">
        <v>3</v>
      </c>
      <c r="J59" s="203">
        <v>4</v>
      </c>
      <c r="K59" s="65">
        <v>3534.63</v>
      </c>
      <c r="L59" s="51"/>
      <c r="M59" s="50">
        <f t="shared" si="0"/>
        <v>0</v>
      </c>
      <c r="N59" s="50"/>
      <c r="O59" s="31"/>
      <c r="P59" s="53">
        <v>31</v>
      </c>
      <c r="Q59" s="30">
        <v>70755.789999999994</v>
      </c>
      <c r="R59" s="205">
        <v>12</v>
      </c>
      <c r="S59" s="26">
        <f t="shared" si="2"/>
        <v>39611.06</v>
      </c>
      <c r="T59" s="30">
        <v>26448.86</v>
      </c>
      <c r="U59" s="243">
        <v>13162.2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0"/>
        <v>0</v>
      </c>
      <c r="N60" s="211"/>
      <c r="O60" s="212"/>
      <c r="P60" s="273"/>
      <c r="Q60" s="211"/>
      <c r="R60" s="210"/>
      <c r="S60" s="211">
        <f t="shared" si="2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2</v>
      </c>
      <c r="I61" s="62"/>
      <c r="J61" s="62"/>
      <c r="K61" s="30"/>
      <c r="L61" s="27"/>
      <c r="M61" s="26">
        <f t="shared" si="0"/>
        <v>0</v>
      </c>
      <c r="N61" s="26"/>
      <c r="O61" s="28"/>
      <c r="P61" s="214"/>
      <c r="Q61" s="30"/>
      <c r="R61" s="27"/>
      <c r="S61" s="26">
        <f t="shared" si="2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3</v>
      </c>
      <c r="I62" s="208"/>
      <c r="J62" s="208"/>
      <c r="K62" s="209"/>
      <c r="L62" s="210"/>
      <c r="M62" s="211">
        <f t="shared" si="0"/>
        <v>0</v>
      </c>
      <c r="N62" s="211"/>
      <c r="O62" s="212"/>
      <c r="P62" s="280"/>
      <c r="Q62" s="209"/>
      <c r="R62" s="210"/>
      <c r="S62" s="211">
        <f t="shared" si="2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2</v>
      </c>
      <c r="I63" s="62"/>
      <c r="J63" s="62"/>
      <c r="K63" s="30"/>
      <c r="L63" s="27"/>
      <c r="M63" s="26">
        <f t="shared" si="0"/>
        <v>0</v>
      </c>
      <c r="N63" s="26"/>
      <c r="O63" s="28"/>
      <c r="P63" s="214"/>
      <c r="Q63" s="30"/>
      <c r="R63" s="27"/>
      <c r="S63" s="26">
        <f t="shared" si="2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0"/>
        <v>0</v>
      </c>
      <c r="N64" s="39"/>
      <c r="O64" s="41"/>
      <c r="P64" s="217"/>
      <c r="Q64" s="68"/>
      <c r="R64" s="40"/>
      <c r="S64" s="39">
        <f t="shared" si="2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576.29999999999995</v>
      </c>
      <c r="L65" s="80"/>
      <c r="M65" s="81">
        <f t="shared" si="0"/>
        <v>0</v>
      </c>
      <c r="N65" s="81"/>
      <c r="O65" s="219"/>
      <c r="P65" s="267">
        <v>4</v>
      </c>
      <c r="Q65" s="79">
        <v>6405.31</v>
      </c>
      <c r="R65" s="268">
        <v>2</v>
      </c>
      <c r="S65" s="81">
        <f t="shared" si="2"/>
        <v>3104.71</v>
      </c>
      <c r="T65" s="79">
        <v>3104.71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0"/>
        <v>0</v>
      </c>
      <c r="N66" s="43"/>
      <c r="O66" s="45"/>
      <c r="P66" s="103"/>
      <c r="Q66" s="43"/>
      <c r="R66" s="128"/>
      <c r="S66" s="129">
        <f t="shared" si="2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3</v>
      </c>
      <c r="I67" s="62">
        <v>2</v>
      </c>
      <c r="J67" s="62">
        <v>2</v>
      </c>
      <c r="K67" s="30">
        <v>4562.99</v>
      </c>
      <c r="L67" s="27"/>
      <c r="M67" s="26">
        <f t="shared" si="0"/>
        <v>0</v>
      </c>
      <c r="N67" s="26"/>
      <c r="O67" s="28"/>
      <c r="P67" s="29">
        <v>8</v>
      </c>
      <c r="Q67" s="30">
        <v>15651.3</v>
      </c>
      <c r="R67" s="205">
        <v>7</v>
      </c>
      <c r="S67" s="26">
        <f t="shared" si="2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69"/>
      <c r="Q68" s="39"/>
      <c r="R68" s="40"/>
      <c r="S68" s="39">
        <f t="shared" si="2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14</v>
      </c>
      <c r="Q69" s="65">
        <v>46342.05</v>
      </c>
      <c r="R69" s="224">
        <v>5</v>
      </c>
      <c r="S69" s="50">
        <f t="shared" si="2"/>
        <v>19918.689999999999</v>
      </c>
      <c r="T69" s="65">
        <v>19918.689999999999</v>
      </c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1</v>
      </c>
      <c r="I70" s="130"/>
      <c r="J70" s="130"/>
      <c r="K70" s="43"/>
      <c r="L70" s="44"/>
      <c r="M70" s="43">
        <f t="shared" si="0"/>
        <v>0</v>
      </c>
      <c r="N70" s="43"/>
      <c r="O70" s="41"/>
      <c r="P70" s="113">
        <v>1</v>
      </c>
      <c r="Q70" s="114">
        <v>2881.5</v>
      </c>
      <c r="R70" s="44"/>
      <c r="S70" s="43">
        <f t="shared" si="2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6</v>
      </c>
      <c r="I71" s="62">
        <v>2</v>
      </c>
      <c r="J71" s="62">
        <v>3</v>
      </c>
      <c r="K71" s="30">
        <v>6129.52</v>
      </c>
      <c r="L71" s="27"/>
      <c r="M71" s="26">
        <f t="shared" si="0"/>
        <v>0</v>
      </c>
      <c r="N71" s="26"/>
      <c r="O71" s="31"/>
      <c r="P71" s="29">
        <v>4</v>
      </c>
      <c r="Q71" s="30">
        <v>2984.28</v>
      </c>
      <c r="R71" s="27"/>
      <c r="S71" s="26">
        <f t="shared" si="2"/>
        <v>4026.42</v>
      </c>
      <c r="T71" s="26"/>
      <c r="U71" s="225">
        <v>4026.42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2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2</v>
      </c>
      <c r="K73" s="65">
        <v>1018.13</v>
      </c>
      <c r="L73" s="51"/>
      <c r="M73" s="50">
        <f t="shared" si="0"/>
        <v>633.92999999999995</v>
      </c>
      <c r="N73" s="50"/>
      <c r="O73" s="225">
        <v>633.92999999999995</v>
      </c>
      <c r="P73" s="123"/>
      <c r="Q73" s="50"/>
      <c r="R73" s="51"/>
      <c r="S73" s="50">
        <f t="shared" si="2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2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25"/>
      <c r="J75" s="25"/>
      <c r="K75" s="26"/>
      <c r="L75" s="27"/>
      <c r="M75" s="26">
        <f t="shared" si="0"/>
        <v>0</v>
      </c>
      <c r="N75" s="26"/>
      <c r="O75" s="31"/>
      <c r="P75" s="53">
        <v>1</v>
      </c>
      <c r="Q75" s="30">
        <v>1505.87</v>
      </c>
      <c r="R75" s="27"/>
      <c r="S75" s="26">
        <f t="shared" si="2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2</v>
      </c>
      <c r="I76" s="37">
        <v>1</v>
      </c>
      <c r="J76" s="37">
        <v>1</v>
      </c>
      <c r="K76" s="68">
        <v>576.29999999999995</v>
      </c>
      <c r="L76" s="40"/>
      <c r="M76" s="39">
        <f t="shared" si="0"/>
        <v>0</v>
      </c>
      <c r="N76" s="39"/>
      <c r="O76" s="41"/>
      <c r="P76" s="59"/>
      <c r="Q76" s="39"/>
      <c r="R76" s="40"/>
      <c r="S76" s="39">
        <f t="shared" si="2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8</v>
      </c>
      <c r="I77" s="203">
        <v>4</v>
      </c>
      <c r="J77" s="203">
        <v>4</v>
      </c>
      <c r="K77" s="65">
        <v>3878.5</v>
      </c>
      <c r="L77" s="51"/>
      <c r="M77" s="50">
        <f t="shared" si="0"/>
        <v>0</v>
      </c>
      <c r="N77" s="50"/>
      <c r="O77" s="31"/>
      <c r="P77" s="108">
        <v>6</v>
      </c>
      <c r="Q77" s="65">
        <v>19829.79</v>
      </c>
      <c r="R77" s="224">
        <v>4</v>
      </c>
      <c r="S77" s="50">
        <f t="shared" si="2"/>
        <v>16789.810000000001</v>
      </c>
      <c r="T77" s="65">
        <v>16789.810000000001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2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20</v>
      </c>
      <c r="I79" s="62">
        <v>14</v>
      </c>
      <c r="J79" s="62">
        <v>21</v>
      </c>
      <c r="K79" s="30">
        <v>47136.57</v>
      </c>
      <c r="L79" s="27"/>
      <c r="M79" s="26">
        <f t="shared" si="0"/>
        <v>0</v>
      </c>
      <c r="N79" s="26"/>
      <c r="O79" s="31"/>
      <c r="P79" s="29">
        <v>22</v>
      </c>
      <c r="Q79" s="30">
        <v>65219.18</v>
      </c>
      <c r="R79" s="205">
        <v>10</v>
      </c>
      <c r="S79" s="26">
        <f t="shared" si="2"/>
        <v>23648.47</v>
      </c>
      <c r="T79" s="30">
        <v>23648.47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0"/>
        <v>0</v>
      </c>
      <c r="N80" s="211"/>
      <c r="O80" s="212"/>
      <c r="P80" s="284"/>
      <c r="Q80" s="211"/>
      <c r="R80" s="210"/>
      <c r="S80" s="211">
        <f t="shared" si="2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2</v>
      </c>
      <c r="I81" s="62"/>
      <c r="J81" s="62"/>
      <c r="K81" s="30"/>
      <c r="L81" s="27"/>
      <c r="M81" s="26">
        <f t="shared" si="0"/>
        <v>0</v>
      </c>
      <c r="N81" s="26"/>
      <c r="O81" s="28"/>
      <c r="P81" s="214"/>
      <c r="Q81" s="30"/>
      <c r="R81" s="27"/>
      <c r="S81" s="26">
        <f t="shared" si="2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2</v>
      </c>
      <c r="I82" s="208"/>
      <c r="J82" s="208"/>
      <c r="K82" s="209"/>
      <c r="L82" s="210"/>
      <c r="M82" s="211">
        <f t="shared" si="0"/>
        <v>0</v>
      </c>
      <c r="N82" s="211"/>
      <c r="O82" s="212"/>
      <c r="P82" s="280"/>
      <c r="Q82" s="209"/>
      <c r="R82" s="210"/>
      <c r="S82" s="211">
        <f t="shared" si="2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0"/>
        <v>0</v>
      </c>
      <c r="N83" s="26"/>
      <c r="O83" s="28"/>
      <c r="P83" s="214"/>
      <c r="Q83" s="30"/>
      <c r="R83" s="27"/>
      <c r="S83" s="26">
        <f t="shared" si="2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0"/>
        <v>0</v>
      </c>
      <c r="N84" s="39"/>
      <c r="O84" s="41"/>
      <c r="P84" s="217"/>
      <c r="Q84" s="68"/>
      <c r="R84" s="40"/>
      <c r="S84" s="39">
        <f t="shared" si="2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6</v>
      </c>
      <c r="I85" s="266">
        <v>3</v>
      </c>
      <c r="J85" s="266">
        <v>4</v>
      </c>
      <c r="K85" s="79">
        <v>5917.36</v>
      </c>
      <c r="L85" s="80"/>
      <c r="M85" s="81">
        <f t="shared" si="0"/>
        <v>5917.36</v>
      </c>
      <c r="N85" s="79">
        <v>5917.36</v>
      </c>
      <c r="O85" s="269"/>
      <c r="P85" s="267">
        <v>9</v>
      </c>
      <c r="Q85" s="79">
        <v>14307.26</v>
      </c>
      <c r="R85" s="268">
        <v>7</v>
      </c>
      <c r="S85" s="81">
        <f t="shared" si="2"/>
        <v>10924.74</v>
      </c>
      <c r="T85" s="79">
        <v>10924.74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0"/>
        <v>1344.7</v>
      </c>
      <c r="N86" s="114">
        <v>1344.7</v>
      </c>
      <c r="O86" s="234"/>
      <c r="P86" s="103"/>
      <c r="Q86" s="43"/>
      <c r="R86" s="44"/>
      <c r="S86" s="43">
        <f t="shared" si="2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0"/>
        <v>0</v>
      </c>
      <c r="N87" s="26"/>
      <c r="O87" s="31"/>
      <c r="P87" s="120"/>
      <c r="Q87" s="26"/>
      <c r="R87" s="27"/>
      <c r="S87" s="26">
        <f t="shared" si="2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0"/>
        <v>0</v>
      </c>
      <c r="N88" s="39"/>
      <c r="O88" s="41"/>
      <c r="P88" s="69"/>
      <c r="Q88" s="39"/>
      <c r="R88" s="40"/>
      <c r="S88" s="39">
        <f t="shared" si="2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0"/>
        <v>0</v>
      </c>
      <c r="N89" s="50"/>
      <c r="O89" s="31"/>
      <c r="P89" s="108">
        <v>1</v>
      </c>
      <c r="Q89" s="65">
        <v>405.02</v>
      </c>
      <c r="R89" s="51"/>
      <c r="S89" s="50">
        <f t="shared" si="2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2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3</v>
      </c>
      <c r="Q91" s="30">
        <v>7652.33</v>
      </c>
      <c r="R91" s="205">
        <v>2</v>
      </c>
      <c r="S91" s="26">
        <f t="shared" si="2"/>
        <v>7652.33</v>
      </c>
      <c r="T91" s="30">
        <v>5673.46</v>
      </c>
      <c r="U91" s="225">
        <v>1978.87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2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11</v>
      </c>
      <c r="I93" s="62">
        <v>7</v>
      </c>
      <c r="J93" s="62">
        <v>7</v>
      </c>
      <c r="K93" s="30">
        <v>12418.66</v>
      </c>
      <c r="L93" s="27"/>
      <c r="M93" s="26">
        <f t="shared" si="0"/>
        <v>0</v>
      </c>
      <c r="N93" s="26"/>
      <c r="O93" s="31"/>
      <c r="P93" s="53">
        <v>7</v>
      </c>
      <c r="Q93" s="30">
        <v>25411.62</v>
      </c>
      <c r="R93" s="205">
        <v>2</v>
      </c>
      <c r="S93" s="26">
        <f t="shared" si="2"/>
        <v>14914.91</v>
      </c>
      <c r="T93" s="30">
        <v>5094.8</v>
      </c>
      <c r="U93" s="225">
        <v>9820.11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5</v>
      </c>
      <c r="I94" s="37">
        <v>2</v>
      </c>
      <c r="J94" s="37">
        <v>2</v>
      </c>
      <c r="K94" s="68">
        <v>2958.34</v>
      </c>
      <c r="L94" s="285">
        <v>1</v>
      </c>
      <c r="M94" s="39">
        <f t="shared" si="0"/>
        <v>1056.55</v>
      </c>
      <c r="N94" s="68">
        <v>1056.55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1</v>
      </c>
      <c r="J95" s="203">
        <v>1</v>
      </c>
      <c r="K95" s="65">
        <v>697.32</v>
      </c>
      <c r="L95" s="51"/>
      <c r="M95" s="50">
        <f t="shared" si="0"/>
        <v>0</v>
      </c>
      <c r="N95" s="50"/>
      <c r="O95" s="31"/>
      <c r="P95" s="108">
        <v>5</v>
      </c>
      <c r="Q95" s="65">
        <v>42966.97</v>
      </c>
      <c r="R95" s="224">
        <v>1</v>
      </c>
      <c r="S95" s="50">
        <f t="shared" ref="S95:S183" si="3">T95+U95</f>
        <v>32117.38</v>
      </c>
      <c r="T95" s="65">
        <v>4050.2</v>
      </c>
      <c r="U95" s="225">
        <v>28067.18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0"/>
        <v>0</v>
      </c>
      <c r="N96" s="43"/>
      <c r="O96" s="41"/>
      <c r="P96" s="103"/>
      <c r="Q96" s="43"/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25"/>
      <c r="J97" s="25"/>
      <c r="K97" s="26"/>
      <c r="L97" s="27"/>
      <c r="M97" s="26">
        <f t="shared" si="0"/>
        <v>0</v>
      </c>
      <c r="N97" s="26"/>
      <c r="O97" s="31"/>
      <c r="P97" s="53">
        <v>6</v>
      </c>
      <c r="Q97" s="30">
        <v>31199.119999999999</v>
      </c>
      <c r="R97" s="205">
        <v>2</v>
      </c>
      <c r="S97" s="26">
        <f t="shared" si="3"/>
        <v>23473.01</v>
      </c>
      <c r="T97" s="30">
        <v>3751.96</v>
      </c>
      <c r="U97" s="225">
        <v>19721.05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0"/>
        <v>0</v>
      </c>
      <c r="N98" s="43"/>
      <c r="O98" s="41"/>
      <c r="P98" s="103"/>
      <c r="Q98" s="43"/>
      <c r="R98" s="44"/>
      <c r="S98" s="43">
        <f t="shared" si="3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1</v>
      </c>
      <c r="I99" s="62">
        <v>1</v>
      </c>
      <c r="J99" s="62">
        <v>2</v>
      </c>
      <c r="K99" s="30">
        <v>4354.43</v>
      </c>
      <c r="L99" s="27"/>
      <c r="M99" s="26">
        <f t="shared" si="0"/>
        <v>0</v>
      </c>
      <c r="N99" s="26"/>
      <c r="O99" s="31"/>
      <c r="P99" s="53">
        <v>1</v>
      </c>
      <c r="Q99" s="30">
        <v>633.92999999999995</v>
      </c>
      <c r="R99" s="27"/>
      <c r="S99" s="26">
        <f t="shared" si="3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0"/>
        <v>0</v>
      </c>
      <c r="N100" s="43"/>
      <c r="O100" s="41"/>
      <c r="P100" s="103"/>
      <c r="Q100" s="43"/>
      <c r="R100" s="44"/>
      <c r="S100" s="43">
        <f t="shared" si="3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2</v>
      </c>
      <c r="J101" s="62">
        <v>2</v>
      </c>
      <c r="K101" s="30">
        <v>6578.57</v>
      </c>
      <c r="L101" s="27"/>
      <c r="M101" s="26">
        <f t="shared" si="0"/>
        <v>0</v>
      </c>
      <c r="N101" s="26"/>
      <c r="O101" s="31"/>
      <c r="P101" s="53">
        <v>19</v>
      </c>
      <c r="Q101" s="30">
        <v>41920.480000000003</v>
      </c>
      <c r="R101" s="205">
        <v>4</v>
      </c>
      <c r="S101" s="26">
        <f t="shared" si="3"/>
        <v>15992.85</v>
      </c>
      <c r="T101" s="30">
        <v>9997.9500000000007</v>
      </c>
      <c r="U101" s="225">
        <v>5994.9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5</v>
      </c>
      <c r="I102" s="130">
        <v>2</v>
      </c>
      <c r="J102" s="130">
        <v>2</v>
      </c>
      <c r="K102" s="114">
        <v>2305.1999999999998</v>
      </c>
      <c r="L102" s="270">
        <v>2</v>
      </c>
      <c r="M102" s="43">
        <f t="shared" si="0"/>
        <v>2305.1999999999998</v>
      </c>
      <c r="N102" s="114">
        <v>2305.1999999999998</v>
      </c>
      <c r="O102" s="234"/>
      <c r="P102" s="113">
        <v>4</v>
      </c>
      <c r="Q102" s="114">
        <v>11577.6</v>
      </c>
      <c r="R102" s="270">
        <v>3</v>
      </c>
      <c r="S102" s="43">
        <f t="shared" si="3"/>
        <v>7159.3</v>
      </c>
      <c r="T102" s="114">
        <v>7159.3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3</v>
      </c>
      <c r="I103" s="62">
        <v>3</v>
      </c>
      <c r="J103" s="62">
        <v>3</v>
      </c>
      <c r="K103" s="30">
        <v>1118.98</v>
      </c>
      <c r="L103" s="205">
        <v>1</v>
      </c>
      <c r="M103" s="26">
        <f t="shared" si="0"/>
        <v>614.72</v>
      </c>
      <c r="N103" s="30">
        <v>614.72</v>
      </c>
      <c r="O103" s="225"/>
      <c r="P103" s="53">
        <v>7</v>
      </c>
      <c r="Q103" s="30">
        <v>12035.94</v>
      </c>
      <c r="R103" s="205">
        <v>5</v>
      </c>
      <c r="S103" s="26">
        <f t="shared" si="3"/>
        <v>7679.11</v>
      </c>
      <c r="T103" s="30">
        <v>7679.11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10"/>
      <c r="M104" s="211">
        <f t="shared" si="0"/>
        <v>1344.7</v>
      </c>
      <c r="N104" s="209">
        <v>1344.7</v>
      </c>
      <c r="O104" s="212"/>
      <c r="P104" s="103"/>
      <c r="Q104" s="43"/>
      <c r="R104" s="44"/>
      <c r="S104" s="43">
        <f t="shared" si="3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7</v>
      </c>
      <c r="I105" s="62">
        <v>4</v>
      </c>
      <c r="J105" s="62">
        <v>4</v>
      </c>
      <c r="K105" s="30">
        <v>4316.49</v>
      </c>
      <c r="L105" s="27"/>
      <c r="M105" s="26">
        <f t="shared" si="0"/>
        <v>2852.69</v>
      </c>
      <c r="N105" s="26"/>
      <c r="O105" s="241">
        <v>2852.69</v>
      </c>
      <c r="P105" s="214">
        <v>11</v>
      </c>
      <c r="Q105" s="30">
        <v>49430.98</v>
      </c>
      <c r="R105" s="205">
        <v>2</v>
      </c>
      <c r="S105" s="26">
        <f t="shared" si="3"/>
        <v>42354.030000000006</v>
      </c>
      <c r="T105" s="30">
        <v>1456.12</v>
      </c>
      <c r="U105" s="225">
        <v>40897.910000000003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4</v>
      </c>
      <c r="I106" s="286">
        <v>1</v>
      </c>
      <c r="J106" s="286">
        <v>1</v>
      </c>
      <c r="K106" s="287">
        <v>1921</v>
      </c>
      <c r="L106" s="288"/>
      <c r="M106" s="39">
        <f t="shared" si="0"/>
        <v>0</v>
      </c>
      <c r="N106" s="39"/>
      <c r="O106" s="41"/>
      <c r="P106" s="217">
        <v>3</v>
      </c>
      <c r="Q106" s="37">
        <v>7587.95</v>
      </c>
      <c r="R106" s="40"/>
      <c r="S106" s="39">
        <f t="shared" si="3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0"/>
        <v>0</v>
      </c>
      <c r="N107" s="81"/>
      <c r="O107" s="219"/>
      <c r="P107" s="108">
        <v>2</v>
      </c>
      <c r="Q107" s="65">
        <v>22972.83</v>
      </c>
      <c r="R107" s="224">
        <v>1</v>
      </c>
      <c r="S107" s="50">
        <f t="shared" si="3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0"/>
        <v>0</v>
      </c>
      <c r="N108" s="39"/>
      <c r="O108" s="41"/>
      <c r="P108" s="59"/>
      <c r="Q108" s="39"/>
      <c r="R108" s="40"/>
      <c r="S108" s="39">
        <f t="shared" si="3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5</v>
      </c>
      <c r="I109" s="203">
        <v>3</v>
      </c>
      <c r="J109" s="203">
        <v>4</v>
      </c>
      <c r="K109" s="65">
        <v>6748.97</v>
      </c>
      <c r="L109" s="51"/>
      <c r="M109" s="50">
        <f t="shared" si="0"/>
        <v>1916.98</v>
      </c>
      <c r="N109" s="50"/>
      <c r="O109" s="225">
        <v>1916.98</v>
      </c>
      <c r="P109" s="108">
        <v>9</v>
      </c>
      <c r="Q109" s="65">
        <v>19656.830000000002</v>
      </c>
      <c r="R109" s="224">
        <v>2</v>
      </c>
      <c r="S109" s="50">
        <f t="shared" si="3"/>
        <v>17533.16</v>
      </c>
      <c r="T109" s="65">
        <v>2175.5100000000002</v>
      </c>
      <c r="U109" s="225">
        <v>15357.65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128"/>
      <c r="M110" s="50">
        <f t="shared" si="0"/>
        <v>0</v>
      </c>
      <c r="N110" s="43"/>
      <c r="O110" s="41"/>
      <c r="P110" s="113">
        <v>2</v>
      </c>
      <c r="Q110" s="114">
        <v>8007.8</v>
      </c>
      <c r="R110" s="44"/>
      <c r="S110" s="43">
        <f t="shared" si="3"/>
        <v>8008.1</v>
      </c>
      <c r="T110" s="114">
        <f>4358.2+3649.9</f>
        <v>8008.1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1</v>
      </c>
      <c r="M111" s="26">
        <f t="shared" si="0"/>
        <v>1133.98</v>
      </c>
      <c r="N111" s="30">
        <v>1133.98</v>
      </c>
      <c r="O111" s="225"/>
      <c r="P111" s="53">
        <v>5</v>
      </c>
      <c r="Q111" s="30">
        <v>7208.15</v>
      </c>
      <c r="R111" s="205">
        <v>5</v>
      </c>
      <c r="S111" s="26">
        <f t="shared" si="3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40"/>
      <c r="M112" s="39">
        <f t="shared" si="0"/>
        <v>0</v>
      </c>
      <c r="N112" s="39"/>
      <c r="O112" s="41"/>
      <c r="P112" s="115">
        <v>1</v>
      </c>
      <c r="Q112" s="68">
        <v>1377.7</v>
      </c>
      <c r="R112" s="40"/>
      <c r="S112" s="39">
        <f t="shared" si="3"/>
        <v>5378.8</v>
      </c>
      <c r="T112" s="39">
        <f>5378.8</f>
        <v>5378.8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8</v>
      </c>
      <c r="I113" s="203">
        <v>4</v>
      </c>
      <c r="J113" s="203">
        <v>4</v>
      </c>
      <c r="K113" s="65">
        <v>6396.36</v>
      </c>
      <c r="L113" s="51"/>
      <c r="M113" s="50">
        <f t="shared" si="0"/>
        <v>5531.12</v>
      </c>
      <c r="N113" s="50"/>
      <c r="O113" s="225">
        <v>5531.12</v>
      </c>
      <c r="P113" s="108">
        <v>14</v>
      </c>
      <c r="Q113" s="65">
        <v>41289.64</v>
      </c>
      <c r="R113" s="224">
        <v>3</v>
      </c>
      <c r="S113" s="50">
        <f t="shared" si="3"/>
        <v>23106.86</v>
      </c>
      <c r="T113" s="65">
        <v>6809.92</v>
      </c>
      <c r="U113" s="225">
        <v>16296.94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0"/>
        <v>0</v>
      </c>
      <c r="N114" s="43"/>
      <c r="O114" s="41"/>
      <c r="P114" s="103"/>
      <c r="Q114" s="43"/>
      <c r="R114" s="44"/>
      <c r="S114" s="43">
        <f t="shared" si="3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1</v>
      </c>
      <c r="I115" s="25"/>
      <c r="J115" s="25"/>
      <c r="K115" s="26"/>
      <c r="L115" s="27"/>
      <c r="M115" s="26">
        <f t="shared" si="0"/>
        <v>0</v>
      </c>
      <c r="N115" s="26"/>
      <c r="O115" s="31"/>
      <c r="P115" s="53">
        <v>8</v>
      </c>
      <c r="Q115" s="30">
        <v>32326.36</v>
      </c>
      <c r="R115" s="205">
        <v>5</v>
      </c>
      <c r="S115" s="26">
        <f t="shared" si="3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2</v>
      </c>
      <c r="I116" s="57"/>
      <c r="J116" s="57"/>
      <c r="K116" s="43"/>
      <c r="L116" s="44"/>
      <c r="M116" s="43">
        <f t="shared" si="0"/>
        <v>0</v>
      </c>
      <c r="N116" s="43"/>
      <c r="O116" s="41"/>
      <c r="P116" s="113">
        <v>2</v>
      </c>
      <c r="Q116" s="114">
        <v>2881.5</v>
      </c>
      <c r="R116" s="44"/>
      <c r="S116" s="43">
        <f t="shared" si="3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4</v>
      </c>
      <c r="I117" s="62">
        <v>2</v>
      </c>
      <c r="J117" s="62">
        <v>2</v>
      </c>
      <c r="K117" s="30">
        <v>1331.25</v>
      </c>
      <c r="L117" s="27"/>
      <c r="M117" s="26">
        <f t="shared" si="0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3"/>
        <v>13277.84</v>
      </c>
      <c r="T117" s="30">
        <v>13277.84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4</v>
      </c>
      <c r="I118" s="246">
        <v>2</v>
      </c>
      <c r="J118" s="246">
        <v>2</v>
      </c>
      <c r="K118" s="158">
        <v>1152.5999999999999</v>
      </c>
      <c r="L118" s="143"/>
      <c r="M118" s="142">
        <f t="shared" si="0"/>
        <v>0</v>
      </c>
      <c r="N118" s="142"/>
      <c r="O118" s="45"/>
      <c r="P118" s="157">
        <v>3</v>
      </c>
      <c r="Q118" s="158">
        <v>6513.21</v>
      </c>
      <c r="R118" s="143"/>
      <c r="S118" s="142">
        <f t="shared" si="3"/>
        <v>288.14999999999998</v>
      </c>
      <c r="T118" s="142">
        <f>288.15</f>
        <v>288.14999999999998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8"/>
      <c r="J119" s="38"/>
      <c r="K119" s="39"/>
      <c r="L119" s="40"/>
      <c r="M119" s="39">
        <f t="shared" si="0"/>
        <v>0</v>
      </c>
      <c r="N119" s="39"/>
      <c r="O119" s="41"/>
      <c r="P119" s="59"/>
      <c r="Q119" s="39"/>
      <c r="R119" s="40"/>
      <c r="S119" s="39">
        <f t="shared" si="3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0"/>
        <v>0</v>
      </c>
      <c r="N120" s="50"/>
      <c r="O120" s="31"/>
      <c r="P120" s="108">
        <v>4</v>
      </c>
      <c r="Q120" s="65">
        <v>10383.700000000001</v>
      </c>
      <c r="R120" s="224">
        <v>1</v>
      </c>
      <c r="S120" s="50">
        <f t="shared" si="3"/>
        <v>3034.34</v>
      </c>
      <c r="T120" s="65">
        <v>3034.34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0"/>
        <v>0</v>
      </c>
      <c r="N121" s="43"/>
      <c r="O121" s="41"/>
      <c r="P121" s="103"/>
      <c r="Q121" s="43"/>
      <c r="R121" s="44"/>
      <c r="S121" s="43">
        <f t="shared" si="3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22</v>
      </c>
      <c r="D122" s="374"/>
      <c r="E122" s="374" t="s">
        <v>112</v>
      </c>
      <c r="F122" s="22"/>
      <c r="G122" s="23" t="s">
        <v>24</v>
      </c>
      <c r="H122" s="48">
        <v>4</v>
      </c>
      <c r="I122" s="62">
        <v>2</v>
      </c>
      <c r="J122" s="62">
        <v>2</v>
      </c>
      <c r="K122" s="30">
        <v>1719.3</v>
      </c>
      <c r="L122" s="27"/>
      <c r="M122" s="26">
        <f t="shared" si="0"/>
        <v>0</v>
      </c>
      <c r="N122" s="26"/>
      <c r="O122" s="31"/>
      <c r="P122" s="53">
        <v>4</v>
      </c>
      <c r="Q122" s="30">
        <v>3732.5</v>
      </c>
      <c r="R122" s="27"/>
      <c r="S122" s="26">
        <f t="shared" si="3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3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9</v>
      </c>
      <c r="I124" s="62">
        <v>4</v>
      </c>
      <c r="J124" s="62">
        <v>6</v>
      </c>
      <c r="K124" s="30">
        <v>7683.53</v>
      </c>
      <c r="L124" s="27"/>
      <c r="M124" s="26">
        <f t="shared" si="0"/>
        <v>0</v>
      </c>
      <c r="N124" s="26"/>
      <c r="O124" s="31"/>
      <c r="P124" s="53">
        <v>10</v>
      </c>
      <c r="Q124" s="30">
        <v>27295.01</v>
      </c>
      <c r="R124" s="205">
        <v>2</v>
      </c>
      <c r="S124" s="26">
        <f t="shared" si="3"/>
        <v>14875.39</v>
      </c>
      <c r="T124" s="30">
        <v>7729.47</v>
      </c>
      <c r="U124" s="225">
        <v>7145.92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1</v>
      </c>
      <c r="J125" s="130">
        <v>1</v>
      </c>
      <c r="K125" s="114">
        <v>1152.5999999999999</v>
      </c>
      <c r="L125" s="44"/>
      <c r="M125" s="43">
        <f t="shared" si="0"/>
        <v>0</v>
      </c>
      <c r="N125" s="43"/>
      <c r="O125" s="45"/>
      <c r="P125" s="113">
        <v>2</v>
      </c>
      <c r="Q125" s="114">
        <v>5186.7</v>
      </c>
      <c r="R125" s="44"/>
      <c r="S125" s="43">
        <f t="shared" si="3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0"/>
        <v>0</v>
      </c>
      <c r="N126" s="26"/>
      <c r="O126" s="100"/>
      <c r="P126" s="120"/>
      <c r="Q126" s="26"/>
      <c r="R126" s="27"/>
      <c r="S126" s="26">
        <f t="shared" si="3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0"/>
        <v>0</v>
      </c>
      <c r="N127" s="39"/>
      <c r="O127" s="41"/>
      <c r="P127" s="6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5</v>
      </c>
      <c r="I128" s="62">
        <v>3</v>
      </c>
      <c r="J128" s="62">
        <v>4</v>
      </c>
      <c r="K128" s="30">
        <v>5120.59</v>
      </c>
      <c r="L128" s="27"/>
      <c r="M128" s="26">
        <f t="shared" si="0"/>
        <v>3189.98</v>
      </c>
      <c r="N128" s="26"/>
      <c r="O128" s="243">
        <v>3189.98</v>
      </c>
      <c r="P128" s="64">
        <v>3</v>
      </c>
      <c r="Q128" s="65">
        <v>7766.38</v>
      </c>
      <c r="R128" s="224">
        <v>1</v>
      </c>
      <c r="S128" s="50">
        <f t="shared" si="3"/>
        <v>3540.1800000000003</v>
      </c>
      <c r="T128" s="65">
        <v>2272.3200000000002</v>
      </c>
      <c r="U128" s="225">
        <v>1267.8599999999999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0"/>
        <v>0</v>
      </c>
      <c r="N129" s="39"/>
      <c r="O129" s="41"/>
      <c r="P129" s="69"/>
      <c r="Q129" s="39"/>
      <c r="R129" s="40"/>
      <c r="S129" s="39">
        <f t="shared" si="3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10</v>
      </c>
      <c r="I130" s="203">
        <v>6</v>
      </c>
      <c r="J130" s="203">
        <v>7</v>
      </c>
      <c r="K130" s="65">
        <v>17376.97</v>
      </c>
      <c r="L130" s="51"/>
      <c r="M130" s="50">
        <f t="shared" si="0"/>
        <v>0</v>
      </c>
      <c r="N130" s="50"/>
      <c r="O130" s="31"/>
      <c r="P130" s="108">
        <v>20</v>
      </c>
      <c r="Q130" s="65">
        <v>63607.14</v>
      </c>
      <c r="R130" s="224">
        <v>3</v>
      </c>
      <c r="S130" s="50">
        <f t="shared" si="3"/>
        <v>38442.76</v>
      </c>
      <c r="T130" s="65">
        <v>10009.61</v>
      </c>
      <c r="U130" s="225">
        <v>28433.15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0"/>
        <v>0</v>
      </c>
      <c r="N131" s="43"/>
      <c r="O131" s="41"/>
      <c r="P131" s="103"/>
      <c r="Q131" s="43"/>
      <c r="R131" s="44"/>
      <c r="S131" s="43">
        <f t="shared" si="3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7</v>
      </c>
      <c r="I132" s="25"/>
      <c r="J132" s="25"/>
      <c r="K132" s="26"/>
      <c r="L132" s="27"/>
      <c r="M132" s="26">
        <f t="shared" si="0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3"/>
        <v>21153.67</v>
      </c>
      <c r="T132" s="30">
        <v>21153.67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0"/>
        <v>0</v>
      </c>
      <c r="N133" s="39"/>
      <c r="O133" s="41"/>
      <c r="P133" s="59"/>
      <c r="Q133" s="39"/>
      <c r="R133" s="40"/>
      <c r="S133" s="39">
        <f t="shared" si="3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8</v>
      </c>
      <c r="I134" s="62">
        <v>3</v>
      </c>
      <c r="J134" s="62">
        <v>3</v>
      </c>
      <c r="K134" s="30">
        <v>2221.61</v>
      </c>
      <c r="L134" s="205">
        <v>3</v>
      </c>
      <c r="M134" s="26">
        <f t="shared" si="0"/>
        <v>2221.61</v>
      </c>
      <c r="N134" s="30">
        <v>2221.61</v>
      </c>
      <c r="O134" s="31"/>
      <c r="P134" s="53">
        <v>22</v>
      </c>
      <c r="Q134" s="30">
        <v>33029.54</v>
      </c>
      <c r="R134" s="205">
        <v>19</v>
      </c>
      <c r="S134" s="26">
        <f t="shared" si="3"/>
        <v>30301.71</v>
      </c>
      <c r="T134" s="30">
        <v>30301.71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0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1</v>
      </c>
      <c r="S135" s="209">
        <f t="shared" si="3"/>
        <v>4034.1</v>
      </c>
      <c r="T135" s="209">
        <v>4034.1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0"/>
        <v>0</v>
      </c>
      <c r="N136" s="26"/>
      <c r="O136" s="28"/>
      <c r="P136" s="214"/>
      <c r="Q136" s="30"/>
      <c r="R136" s="205"/>
      <c r="S136" s="26">
        <f t="shared" si="3"/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0"/>
        <v>0</v>
      </c>
      <c r="N137" s="39"/>
      <c r="O137" s="41"/>
      <c r="P137" s="217"/>
      <c r="Q137" s="68"/>
      <c r="R137" s="285"/>
      <c r="S137" s="39">
        <f t="shared" si="3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13</v>
      </c>
      <c r="I138" s="266">
        <v>6</v>
      </c>
      <c r="J138" s="266">
        <v>7</v>
      </c>
      <c r="K138" s="79">
        <v>9796.43</v>
      </c>
      <c r="L138" s="80"/>
      <c r="M138" s="81">
        <f t="shared" si="0"/>
        <v>0</v>
      </c>
      <c r="N138" s="81"/>
      <c r="O138" s="219"/>
      <c r="P138" s="267">
        <v>14</v>
      </c>
      <c r="Q138" s="79">
        <v>68482.759999999995</v>
      </c>
      <c r="R138" s="268">
        <v>7</v>
      </c>
      <c r="S138" s="81">
        <f t="shared" si="3"/>
        <v>29991.43</v>
      </c>
      <c r="T138" s="79">
        <v>29991.43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0"/>
        <v>0</v>
      </c>
      <c r="N139" s="39"/>
      <c r="O139" s="41"/>
      <c r="P139" s="59"/>
      <c r="Q139" s="39"/>
      <c r="R139" s="40"/>
      <c r="S139" s="39">
        <f t="shared" si="3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10</v>
      </c>
      <c r="I140" s="203">
        <v>5</v>
      </c>
      <c r="J140" s="203">
        <v>7</v>
      </c>
      <c r="K140" s="65">
        <v>11288.37</v>
      </c>
      <c r="L140" s="51"/>
      <c r="M140" s="50">
        <f t="shared" si="0"/>
        <v>0</v>
      </c>
      <c r="N140" s="50"/>
      <c r="O140" s="31"/>
      <c r="P140" s="108">
        <v>42</v>
      </c>
      <c r="Q140" s="65">
        <v>250503.06</v>
      </c>
      <c r="R140" s="224">
        <v>12</v>
      </c>
      <c r="S140" s="50">
        <f t="shared" si="3"/>
        <v>107444.04999999999</v>
      </c>
      <c r="T140" s="65">
        <v>74062.509999999995</v>
      </c>
      <c r="U140" s="225">
        <v>33381.54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0"/>
        <v>0</v>
      </c>
      <c r="N141" s="129"/>
      <c r="O141" s="45"/>
      <c r="P141" s="156"/>
      <c r="Q141" s="129"/>
      <c r="R141" s="128"/>
      <c r="S141" s="129">
        <f t="shared" si="3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0"/>
        <v>0</v>
      </c>
      <c r="N142" s="43"/>
      <c r="O142" s="41"/>
      <c r="P142" s="113">
        <v>1</v>
      </c>
      <c r="Q142" s="43"/>
      <c r="R142" s="44"/>
      <c r="S142" s="43">
        <f t="shared" si="3"/>
        <v>2305.1999999999998</v>
      </c>
      <c r="T142" s="114">
        <v>2305.1999999999998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150"/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0"/>
        <v>0</v>
      </c>
      <c r="N143" s="26"/>
      <c r="O143" s="31"/>
      <c r="P143" s="53">
        <v>15</v>
      </c>
      <c r="Q143" s="30">
        <v>11948.95</v>
      </c>
      <c r="R143" s="27"/>
      <c r="S143" s="26">
        <f t="shared" si="3"/>
        <v>0</v>
      </c>
      <c r="T143" s="26"/>
      <c r="U143" s="3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0"/>
        <v>2305.1999999999998</v>
      </c>
      <c r="N144" s="39">
        <f>2305.2</f>
        <v>2305.1999999999998</v>
      </c>
      <c r="O144" s="41"/>
      <c r="P144" s="115">
        <v>1</v>
      </c>
      <c r="Q144" s="68">
        <v>700</v>
      </c>
      <c r="R144" s="40"/>
      <c r="S144" s="39">
        <f t="shared" si="3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6</v>
      </c>
      <c r="I145" s="203">
        <v>3</v>
      </c>
      <c r="J145" s="203">
        <v>3</v>
      </c>
      <c r="K145" s="65">
        <v>3609.92</v>
      </c>
      <c r="L145" s="51"/>
      <c r="M145" s="50">
        <f t="shared" si="0"/>
        <v>0</v>
      </c>
      <c r="N145" s="50"/>
      <c r="O145" s="31"/>
      <c r="P145" s="108">
        <v>8</v>
      </c>
      <c r="Q145" s="65">
        <v>29582.03</v>
      </c>
      <c r="R145" s="224">
        <v>2</v>
      </c>
      <c r="S145" s="50">
        <f t="shared" si="3"/>
        <v>8462.64</v>
      </c>
      <c r="T145" s="65">
        <v>8462.64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0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3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3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03"/>
      <c r="Q148" s="43"/>
      <c r="R148" s="44"/>
      <c r="S148" s="43">
        <f t="shared" si="3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4</v>
      </c>
      <c r="Q149" s="30">
        <v>22885.21</v>
      </c>
      <c r="R149" s="205">
        <v>2</v>
      </c>
      <c r="S149" s="26">
        <f t="shared" si="3"/>
        <v>4085.52</v>
      </c>
      <c r="T149" s="30">
        <v>4085.52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0"/>
        <v>1728.9</v>
      </c>
      <c r="N150" s="114">
        <v>1728.9</v>
      </c>
      <c r="O150" s="234"/>
      <c r="P150" s="113">
        <v>1</v>
      </c>
      <c r="Q150" s="114">
        <v>3457.8</v>
      </c>
      <c r="R150" s="44"/>
      <c r="S150" s="43">
        <f t="shared" si="3"/>
        <v>0</v>
      </c>
      <c r="T150" s="43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7</v>
      </c>
      <c r="I151" s="62">
        <v>5</v>
      </c>
      <c r="J151" s="62">
        <v>5</v>
      </c>
      <c r="K151" s="30">
        <v>4130.16</v>
      </c>
      <c r="L151" s="27"/>
      <c r="M151" s="26">
        <f t="shared" si="0"/>
        <v>0</v>
      </c>
      <c r="N151" s="26"/>
      <c r="O151" s="31"/>
      <c r="P151" s="53">
        <v>11</v>
      </c>
      <c r="Q151" s="30">
        <v>31846.83</v>
      </c>
      <c r="R151" s="205">
        <v>3</v>
      </c>
      <c r="S151" s="26">
        <f t="shared" si="3"/>
        <v>17204.46</v>
      </c>
      <c r="T151" s="30">
        <v>8445.0499999999993</v>
      </c>
      <c r="U151" s="225">
        <v>8759.41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0"/>
        <v>0</v>
      </c>
      <c r="N152" s="129"/>
      <c r="O152" s="45"/>
      <c r="P152" s="238">
        <v>7</v>
      </c>
      <c r="Q152" s="239">
        <v>11775.73</v>
      </c>
      <c r="R152" s="128"/>
      <c r="S152" s="129">
        <f t="shared" si="3"/>
        <v>7222.96</v>
      </c>
      <c r="T152" s="239">
        <f>288.15+6934.81</f>
        <v>7222.96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0"/>
        <v>0</v>
      </c>
      <c r="N153" s="43"/>
      <c r="O153" s="41"/>
      <c r="P153" s="103"/>
      <c r="Q153" s="43"/>
      <c r="R153" s="44"/>
      <c r="S153" s="43">
        <f t="shared" si="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6</v>
      </c>
      <c r="I154" s="25"/>
      <c r="J154" s="25"/>
      <c r="K154" s="26"/>
      <c r="L154" s="27"/>
      <c r="M154" s="26">
        <f t="shared" si="0"/>
        <v>0</v>
      </c>
      <c r="N154" s="26"/>
      <c r="O154" s="31"/>
      <c r="P154" s="99"/>
      <c r="Q154" s="26"/>
      <c r="R154" s="27"/>
      <c r="S154" s="26">
        <f t="shared" si="3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0"/>
        <v>0</v>
      </c>
      <c r="N155" s="39"/>
      <c r="O155" s="41"/>
      <c r="P155" s="59"/>
      <c r="Q155" s="39"/>
      <c r="R155" s="40"/>
      <c r="S155" s="39">
        <f t="shared" si="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6</v>
      </c>
      <c r="I156" s="203">
        <v>3</v>
      </c>
      <c r="J156" s="203">
        <v>3</v>
      </c>
      <c r="K156" s="65">
        <v>6564.06</v>
      </c>
      <c r="L156" s="51"/>
      <c r="M156" s="50">
        <f t="shared" si="0"/>
        <v>3519.27</v>
      </c>
      <c r="N156" s="50"/>
      <c r="O156" s="225">
        <v>3519.27</v>
      </c>
      <c r="P156" s="108">
        <v>5</v>
      </c>
      <c r="Q156" s="65">
        <v>27150.720000000001</v>
      </c>
      <c r="R156" s="224">
        <v>2</v>
      </c>
      <c r="S156" s="50">
        <f t="shared" si="3"/>
        <v>22015.89</v>
      </c>
      <c r="T156" s="65">
        <v>3694.33</v>
      </c>
      <c r="U156" s="225">
        <v>18321.560000000001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6</v>
      </c>
      <c r="I157" s="139"/>
      <c r="J157" s="139"/>
      <c r="K157" s="142"/>
      <c r="L157" s="143"/>
      <c r="M157" s="142">
        <f t="shared" si="0"/>
        <v>0</v>
      </c>
      <c r="N157" s="142"/>
      <c r="O157" s="45"/>
      <c r="P157" s="157">
        <v>4</v>
      </c>
      <c r="Q157" s="158">
        <v>8625.2900000000009</v>
      </c>
      <c r="R157" s="51"/>
      <c r="S157" s="50">
        <f t="shared" si="3"/>
        <v>6224.04</v>
      </c>
      <c r="T157" s="158">
        <v>6224.04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0"/>
        <v>0</v>
      </c>
      <c r="N158" s="43"/>
      <c r="O158" s="41"/>
      <c r="P158" s="103"/>
      <c r="Q158" s="43"/>
      <c r="R158" s="44"/>
      <c r="S158" s="43">
        <f t="shared" si="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8</v>
      </c>
      <c r="I159" s="62">
        <v>2</v>
      </c>
      <c r="J159" s="62">
        <v>2</v>
      </c>
      <c r="K159" s="30">
        <v>1993.03</v>
      </c>
      <c r="L159" s="27"/>
      <c r="M159" s="26">
        <f t="shared" si="0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3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0"/>
        <v>0</v>
      </c>
      <c r="N160" s="39"/>
      <c r="O160" s="41"/>
      <c r="P160" s="115">
        <v>2</v>
      </c>
      <c r="Q160" s="68">
        <v>3265.7</v>
      </c>
      <c r="R160" s="40"/>
      <c r="S160" s="39">
        <f t="shared" si="3"/>
        <v>1921</v>
      </c>
      <c r="T160" s="39">
        <f>1921</f>
        <v>1921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3</v>
      </c>
      <c r="J161" s="203">
        <v>3</v>
      </c>
      <c r="K161" s="65">
        <v>7338.22</v>
      </c>
      <c r="L161" s="51"/>
      <c r="M161" s="50">
        <f t="shared" si="0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3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44"/>
      <c r="M162" s="43">
        <f t="shared" si="0"/>
        <v>0</v>
      </c>
      <c r="N162" s="43"/>
      <c r="O162" s="41"/>
      <c r="P162" s="113">
        <v>3</v>
      </c>
      <c r="Q162" s="114">
        <v>7203.75</v>
      </c>
      <c r="R162" s="44"/>
      <c r="S162" s="43">
        <f t="shared" si="3"/>
        <v>4802.5</v>
      </c>
      <c r="T162" s="114">
        <v>4802.5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4</v>
      </c>
      <c r="I163" s="62">
        <v>3</v>
      </c>
      <c r="J163" s="62">
        <v>4</v>
      </c>
      <c r="K163" s="30">
        <v>11839.32</v>
      </c>
      <c r="L163" s="27"/>
      <c r="M163" s="26">
        <f t="shared" si="0"/>
        <v>6365.22</v>
      </c>
      <c r="N163" s="26"/>
      <c r="O163" s="225">
        <v>6365.22</v>
      </c>
      <c r="P163" s="53">
        <v>10</v>
      </c>
      <c r="Q163" s="30">
        <v>30369.15</v>
      </c>
      <c r="R163" s="205">
        <v>2</v>
      </c>
      <c r="S163" s="26">
        <f t="shared" si="3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0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3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4</v>
      </c>
      <c r="I165" s="62">
        <v>3</v>
      </c>
      <c r="J165" s="62">
        <v>3</v>
      </c>
      <c r="K165" s="30">
        <v>6561.17</v>
      </c>
      <c r="L165" s="27"/>
      <c r="M165" s="26">
        <f t="shared" si="0"/>
        <v>0</v>
      </c>
      <c r="N165" s="26"/>
      <c r="O165" s="159"/>
      <c r="P165" s="53">
        <v>3</v>
      </c>
      <c r="Q165" s="30">
        <v>20168.78</v>
      </c>
      <c r="R165" s="205">
        <v>3</v>
      </c>
      <c r="S165" s="26">
        <f t="shared" si="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0"/>
        <v>1728.9</v>
      </c>
      <c r="N166" s="211">
        <f>1728.9</f>
        <v>1728.9</v>
      </c>
      <c r="O166" s="274"/>
      <c r="P166" s="262">
        <v>2</v>
      </c>
      <c r="Q166" s="209">
        <v>2420.46</v>
      </c>
      <c r="R166" s="210"/>
      <c r="S166" s="211">
        <f t="shared" si="3"/>
        <v>0</v>
      </c>
      <c r="T166" s="211"/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0"/>
        <v>0</v>
      </c>
      <c r="N167" s="26"/>
      <c r="O167" s="28"/>
      <c r="P167" s="214"/>
      <c r="Q167" s="30"/>
      <c r="R167" s="205"/>
      <c r="S167" s="26">
        <f t="shared" si="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0"/>
        <v>0</v>
      </c>
      <c r="N168" s="39"/>
      <c r="O168" s="41"/>
      <c r="P168" s="217"/>
      <c r="Q168" s="68"/>
      <c r="R168" s="285"/>
      <c r="S168" s="39">
        <f t="shared" si="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4</v>
      </c>
      <c r="I169" s="266">
        <v>1</v>
      </c>
      <c r="J169" s="266">
        <v>1</v>
      </c>
      <c r="K169" s="79">
        <v>1267.8599999999999</v>
      </c>
      <c r="L169" s="80"/>
      <c r="M169" s="81">
        <f t="shared" si="0"/>
        <v>0</v>
      </c>
      <c r="N169" s="81"/>
      <c r="O169" s="219"/>
      <c r="P169" s="267">
        <v>2</v>
      </c>
      <c r="Q169" s="79">
        <v>4427.91</v>
      </c>
      <c r="R169" s="268">
        <v>1</v>
      </c>
      <c r="S169" s="81">
        <f t="shared" si="3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5"/>
      <c r="P170" s="103"/>
      <c r="Q170" s="43"/>
      <c r="R170" s="44"/>
      <c r="S170" s="43">
        <f t="shared" si="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7"/>
      <c r="M171" s="26">
        <f t="shared" si="0"/>
        <v>524.91</v>
      </c>
      <c r="N171" s="26"/>
      <c r="O171" s="241">
        <v>524.91</v>
      </c>
      <c r="P171" s="53">
        <v>1</v>
      </c>
      <c r="Q171" s="30">
        <v>412.05</v>
      </c>
      <c r="R171" s="27"/>
      <c r="S171" s="26">
        <f t="shared" si="3"/>
        <v>412.05</v>
      </c>
      <c r="T171" s="26"/>
      <c r="U171" s="241">
        <v>412.05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0"/>
        <v>0</v>
      </c>
      <c r="N172" s="211"/>
      <c r="O172" s="212"/>
      <c r="P172" s="273"/>
      <c r="Q172" s="211"/>
      <c r="R172" s="210"/>
      <c r="S172" s="211">
        <f t="shared" si="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/>
      <c r="D173" s="374"/>
      <c r="E173" s="374"/>
      <c r="F173" s="204"/>
      <c r="G173" s="213" t="s">
        <v>24</v>
      </c>
      <c r="H173" s="24"/>
      <c r="I173" s="25"/>
      <c r="J173" s="25"/>
      <c r="K173" s="26"/>
      <c r="L173" s="27"/>
      <c r="M173" s="26">
        <f t="shared" si="0"/>
        <v>0</v>
      </c>
      <c r="N173" s="26"/>
      <c r="O173" s="28"/>
      <c r="P173" s="214"/>
      <c r="Q173" s="30"/>
      <c r="R173" s="205"/>
      <c r="S173" s="26">
        <f t="shared" si="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0"/>
        <v>0</v>
      </c>
      <c r="N174" s="39"/>
      <c r="O174" s="41"/>
      <c r="P174" s="217"/>
      <c r="Q174" s="68"/>
      <c r="R174" s="285"/>
      <c r="S174" s="39">
        <f t="shared" si="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96"/>
      <c r="J175" s="96"/>
      <c r="K175" s="81"/>
      <c r="L175" s="80"/>
      <c r="M175" s="81">
        <f t="shared" si="0"/>
        <v>0</v>
      </c>
      <c r="N175" s="81"/>
      <c r="O175" s="219"/>
      <c r="P175" s="267">
        <v>10</v>
      </c>
      <c r="Q175" s="79">
        <v>34311.440000000002</v>
      </c>
      <c r="R175" s="268">
        <v>5</v>
      </c>
      <c r="S175" s="81">
        <f t="shared" si="3"/>
        <v>34311.440000000002</v>
      </c>
      <c r="T175" s="79">
        <v>16502.04</v>
      </c>
      <c r="U175" s="269">
        <v>17809.400000000001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5</v>
      </c>
      <c r="I176" s="130">
        <v>1</v>
      </c>
      <c r="J176" s="130">
        <v>1</v>
      </c>
      <c r="K176" s="114">
        <v>2497.3000000000002</v>
      </c>
      <c r="L176" s="128"/>
      <c r="M176" s="50">
        <f t="shared" si="0"/>
        <v>0</v>
      </c>
      <c r="N176" s="43"/>
      <c r="O176" s="41"/>
      <c r="P176" s="113">
        <v>1</v>
      </c>
      <c r="Q176" s="114">
        <v>5426.7</v>
      </c>
      <c r="R176" s="44"/>
      <c r="S176" s="43">
        <f t="shared" si="3"/>
        <v>576.29999999999995</v>
      </c>
      <c r="T176" s="114">
        <v>576.29999999999995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5</v>
      </c>
      <c r="I177" s="62">
        <v>3</v>
      </c>
      <c r="J177" s="62">
        <v>3</v>
      </c>
      <c r="K177" s="30">
        <v>5755.32</v>
      </c>
      <c r="L177" s="27"/>
      <c r="M177" s="26">
        <f t="shared" si="0"/>
        <v>1477.25</v>
      </c>
      <c r="N177" s="26"/>
      <c r="O177" s="225">
        <v>1477.25</v>
      </c>
      <c r="P177" s="53">
        <v>10</v>
      </c>
      <c r="Q177" s="30">
        <v>31881.81</v>
      </c>
      <c r="R177" s="205">
        <v>1</v>
      </c>
      <c r="S177" s="26">
        <f t="shared" si="3"/>
        <v>14675.67</v>
      </c>
      <c r="T177" s="30">
        <v>1267.8599999999999</v>
      </c>
      <c r="U177" s="225">
        <v>13407.81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2</v>
      </c>
      <c r="I178" s="57"/>
      <c r="J178" s="57"/>
      <c r="K178" s="43"/>
      <c r="L178" s="44"/>
      <c r="M178" s="43">
        <f t="shared" si="0"/>
        <v>0</v>
      </c>
      <c r="N178" s="43"/>
      <c r="O178" s="41"/>
      <c r="P178" s="115">
        <v>4</v>
      </c>
      <c r="Q178" s="68">
        <v>17865.3</v>
      </c>
      <c r="R178" s="40"/>
      <c r="S178" s="39">
        <f t="shared" si="3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12</v>
      </c>
      <c r="I179" s="62">
        <v>10</v>
      </c>
      <c r="J179" s="204">
        <v>11</v>
      </c>
      <c r="K179" s="30">
        <v>18139.990000000002</v>
      </c>
      <c r="L179" s="27"/>
      <c r="M179" s="26">
        <f t="shared" si="0"/>
        <v>5615.47</v>
      </c>
      <c r="N179" s="26"/>
      <c r="O179" s="225">
        <v>5615.47</v>
      </c>
      <c r="P179" s="108">
        <v>20</v>
      </c>
      <c r="Q179" s="65">
        <v>57624.09</v>
      </c>
      <c r="R179" s="224">
        <v>5</v>
      </c>
      <c r="S179" s="50">
        <f t="shared" si="3"/>
        <v>45597.55</v>
      </c>
      <c r="T179" s="65">
        <v>17249.09</v>
      </c>
      <c r="U179" s="225">
        <v>28348.46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0"/>
        <v>0</v>
      </c>
      <c r="N180" s="211"/>
      <c r="O180" s="212"/>
      <c r="P180" s="262">
        <v>1</v>
      </c>
      <c r="Q180" s="209">
        <v>576.29999999999995</v>
      </c>
      <c r="R180" s="210"/>
      <c r="S180" s="211">
        <f t="shared" si="3"/>
        <v>1921</v>
      </c>
      <c r="T180" s="209">
        <v>1921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104"/>
      <c r="I181" s="25"/>
      <c r="J181" s="25"/>
      <c r="K181" s="162"/>
      <c r="L181" s="163"/>
      <c r="M181" s="162">
        <f t="shared" si="0"/>
        <v>0</v>
      </c>
      <c r="N181" s="162"/>
      <c r="O181" s="28"/>
      <c r="P181" s="275"/>
      <c r="Q181" s="26"/>
      <c r="R181" s="27"/>
      <c r="S181" s="26">
        <f t="shared" si="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2</v>
      </c>
      <c r="I182" s="38"/>
      <c r="J182" s="38"/>
      <c r="K182" s="164"/>
      <c r="L182" s="165"/>
      <c r="M182" s="164">
        <f t="shared" si="0"/>
        <v>0</v>
      </c>
      <c r="N182" s="164"/>
      <c r="O182" s="41"/>
      <c r="P182" s="276"/>
      <c r="Q182" s="39"/>
      <c r="R182" s="40"/>
      <c r="S182" s="39">
        <f t="shared" si="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0"/>
        <v>0</v>
      </c>
      <c r="N183" s="293"/>
      <c r="O183" s="82"/>
      <c r="P183" s="295"/>
      <c r="Q183" s="81"/>
      <c r="R183" s="80"/>
      <c r="S183" s="81">
        <f t="shared" si="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0"/>
        <v>0</v>
      </c>
      <c r="N184" s="164"/>
      <c r="O184" s="41"/>
      <c r="P184" s="67">
        <v>3</v>
      </c>
      <c r="Q184" s="68">
        <v>10841.33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7</v>
      </c>
      <c r="I185" s="203">
        <v>6</v>
      </c>
      <c r="J185" s="203">
        <v>8</v>
      </c>
      <c r="K185" s="242">
        <v>18700.09</v>
      </c>
      <c r="L185" s="167"/>
      <c r="M185" s="166">
        <f t="shared" si="0"/>
        <v>0</v>
      </c>
      <c r="N185" s="166"/>
      <c r="O185" s="31"/>
      <c r="P185" s="108">
        <v>6</v>
      </c>
      <c r="Q185" s="65">
        <v>34185.78</v>
      </c>
      <c r="R185" s="224">
        <v>4</v>
      </c>
      <c r="S185" s="50">
        <f t="shared" ref="S185:S204" si="4">T185+U185</f>
        <v>15452.64</v>
      </c>
      <c r="T185" s="65">
        <v>15452.64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11"/>
      <c r="I186" s="57"/>
      <c r="J186" s="57"/>
      <c r="K186" s="43"/>
      <c r="L186" s="44"/>
      <c r="M186" s="43">
        <f t="shared" si="0"/>
        <v>0</v>
      </c>
      <c r="N186" s="43"/>
      <c r="O186" s="41"/>
      <c r="P186" s="113">
        <v>1</v>
      </c>
      <c r="Q186" s="114">
        <v>11718.1</v>
      </c>
      <c r="R186" s="44"/>
      <c r="S186" s="43">
        <f t="shared" si="4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2</v>
      </c>
      <c r="J187" s="62">
        <v>2</v>
      </c>
      <c r="K187" s="30">
        <v>3799.78</v>
      </c>
      <c r="L187" s="27"/>
      <c r="M187" s="26">
        <f t="shared" si="0"/>
        <v>0</v>
      </c>
      <c r="N187" s="26"/>
      <c r="O187" s="31"/>
      <c r="P187" s="53">
        <v>6</v>
      </c>
      <c r="Q187" s="30">
        <v>15490.83</v>
      </c>
      <c r="R187" s="205">
        <v>1</v>
      </c>
      <c r="S187" s="26">
        <f t="shared" si="4"/>
        <v>10125.48</v>
      </c>
      <c r="T187" s="30">
        <v>3759.09</v>
      </c>
      <c r="U187" s="225">
        <v>6366.39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0"/>
        <v>0</v>
      </c>
      <c r="N188" s="39"/>
      <c r="O188" s="41"/>
      <c r="P188" s="59"/>
      <c r="Q188" s="39"/>
      <c r="R188" s="40"/>
      <c r="S188" s="39">
        <f t="shared" si="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0"/>
        <v>0</v>
      </c>
      <c r="N189" s="50"/>
      <c r="O189" s="31"/>
      <c r="P189" s="108">
        <v>2</v>
      </c>
      <c r="Q189" s="65">
        <v>14241.9</v>
      </c>
      <c r="R189" s="224">
        <v>1</v>
      </c>
      <c r="S189" s="50">
        <f t="shared" si="4"/>
        <v>11832.5</v>
      </c>
      <c r="T189" s="65">
        <v>11832.5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0"/>
        <v>0</v>
      </c>
      <c r="N190" s="43"/>
      <c r="O190" s="41"/>
      <c r="P190" s="103"/>
      <c r="Q190" s="43"/>
      <c r="R190" s="44"/>
      <c r="S190" s="43">
        <f t="shared" si="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0"/>
        <v>0</v>
      </c>
      <c r="N191" s="26"/>
      <c r="O191" s="31"/>
      <c r="P191" s="120"/>
      <c r="Q191" s="26"/>
      <c r="R191" s="27"/>
      <c r="S191" s="26">
        <f t="shared" si="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0"/>
        <v>0</v>
      </c>
      <c r="N192" s="39"/>
      <c r="O192" s="41"/>
      <c r="P192" s="69"/>
      <c r="Q192" s="39"/>
      <c r="R192" s="40"/>
      <c r="S192" s="39">
        <f t="shared" si="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7</v>
      </c>
      <c r="I193" s="203">
        <v>6</v>
      </c>
      <c r="J193" s="203">
        <v>6</v>
      </c>
      <c r="K193" s="65">
        <v>11123.36</v>
      </c>
      <c r="L193" s="51"/>
      <c r="M193" s="50">
        <f t="shared" si="0"/>
        <v>0</v>
      </c>
      <c r="N193" s="50"/>
      <c r="O193" s="31"/>
      <c r="P193" s="108">
        <v>8</v>
      </c>
      <c r="Q193" s="65">
        <v>20431.349999999999</v>
      </c>
      <c r="R193" s="224">
        <v>1</v>
      </c>
      <c r="S193" s="50">
        <f t="shared" si="4"/>
        <v>2627.93</v>
      </c>
      <c r="T193" s="65">
        <v>2627.93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8"/>
      <c r="J194" s="38"/>
      <c r="K194" s="39"/>
      <c r="L194" s="40"/>
      <c r="M194" s="39">
        <f t="shared" si="0"/>
        <v>0</v>
      </c>
      <c r="N194" s="39"/>
      <c r="O194" s="41"/>
      <c r="P194" s="59"/>
      <c r="Q194" s="39"/>
      <c r="R194" s="40"/>
      <c r="S194" s="39">
        <f t="shared" si="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10</v>
      </c>
      <c r="I195" s="203">
        <v>5</v>
      </c>
      <c r="J195" s="203">
        <v>7</v>
      </c>
      <c r="K195" s="65">
        <v>10228.450000000001</v>
      </c>
      <c r="L195" s="51"/>
      <c r="M195" s="50">
        <f t="shared" si="0"/>
        <v>0</v>
      </c>
      <c r="N195" s="50"/>
      <c r="O195" s="31"/>
      <c r="P195" s="108">
        <v>24</v>
      </c>
      <c r="Q195" s="65">
        <v>38241.53</v>
      </c>
      <c r="R195" s="224">
        <v>9</v>
      </c>
      <c r="S195" s="50">
        <f t="shared" si="4"/>
        <v>27671.879999999997</v>
      </c>
      <c r="T195" s="65">
        <v>12661.42</v>
      </c>
      <c r="U195" s="225">
        <v>15010.46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2</v>
      </c>
      <c r="I196" s="130">
        <v>1</v>
      </c>
      <c r="J196" s="130">
        <v>1</v>
      </c>
      <c r="K196" s="114">
        <v>1056.55</v>
      </c>
      <c r="L196" s="128"/>
      <c r="M196" s="50">
        <f t="shared" si="0"/>
        <v>0</v>
      </c>
      <c r="N196" s="43"/>
      <c r="O196" s="41"/>
      <c r="P196" s="113">
        <v>3</v>
      </c>
      <c r="Q196" s="114">
        <v>5551.69</v>
      </c>
      <c r="R196" s="44"/>
      <c r="S196" s="43">
        <f t="shared" si="4"/>
        <v>0</v>
      </c>
      <c r="T196" s="43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5</v>
      </c>
      <c r="I197" s="25"/>
      <c r="J197" s="25"/>
      <c r="K197" s="26"/>
      <c r="L197" s="27"/>
      <c r="M197" s="26">
        <f t="shared" si="0"/>
        <v>0</v>
      </c>
      <c r="N197" s="26"/>
      <c r="O197" s="31"/>
      <c r="P197" s="53">
        <v>3</v>
      </c>
      <c r="Q197" s="30">
        <v>8280.19</v>
      </c>
      <c r="R197" s="27"/>
      <c r="S197" s="26">
        <f t="shared" si="4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0"/>
        <v>0</v>
      </c>
      <c r="N198" s="39"/>
      <c r="O198" s="41"/>
      <c r="P198" s="59"/>
      <c r="Q198" s="39"/>
      <c r="R198" s="40"/>
      <c r="S198" s="39">
        <f t="shared" si="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0"/>
        <v>0</v>
      </c>
      <c r="N199" s="50"/>
      <c r="O199" s="31"/>
      <c r="P199" s="123"/>
      <c r="Q199" s="50"/>
      <c r="R199" s="51"/>
      <c r="S199" s="50">
        <f t="shared" si="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0"/>
        <v>0</v>
      </c>
      <c r="N200" s="50"/>
      <c r="O200" s="45"/>
      <c r="P200" s="123"/>
      <c r="Q200" s="50"/>
      <c r="R200" s="51"/>
      <c r="S200" s="50">
        <f t="shared" si="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0"/>
        <v>0</v>
      </c>
      <c r="N202" s="26"/>
      <c r="O202" s="31"/>
      <c r="P202" s="99"/>
      <c r="Q202" s="26"/>
      <c r="R202" s="27"/>
      <c r="S202" s="26">
        <f t="shared" si="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0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4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0"/>
        <v>0</v>
      </c>
      <c r="N204" s="26"/>
      <c r="O204" s="31"/>
      <c r="P204" s="99"/>
      <c r="Q204" s="26"/>
      <c r="R204" s="27"/>
      <c r="S204" s="26">
        <f t="shared" si="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0"/>
        <v>0</v>
      </c>
      <c r="N206" s="50"/>
      <c r="O206" s="31"/>
      <c r="P206" s="108">
        <v>3</v>
      </c>
      <c r="Q206" s="65">
        <v>12689.15</v>
      </c>
      <c r="R206" s="224">
        <v>2</v>
      </c>
      <c r="S206" s="50">
        <f t="shared" ref="S206:S220" si="5">T206+U206</f>
        <v>2541.1999999999998</v>
      </c>
      <c r="T206" s="65">
        <v>2541.1999999999998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0"/>
        <v>0</v>
      </c>
      <c r="N207" s="43"/>
      <c r="O207" s="45"/>
      <c r="P207" s="273"/>
      <c r="Q207" s="211"/>
      <c r="R207" s="210"/>
      <c r="S207" s="211">
        <f t="shared" si="5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7"/>
      <c r="M208" s="26">
        <f t="shared" si="0"/>
        <v>576.29999999999995</v>
      </c>
      <c r="N208" s="26"/>
      <c r="O208" s="308">
        <v>576.29999999999995</v>
      </c>
      <c r="P208" s="99"/>
      <c r="Q208" s="26"/>
      <c r="R208" s="27"/>
      <c r="S208" s="26">
        <f t="shared" si="5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3</v>
      </c>
      <c r="I209" s="37"/>
      <c r="J209" s="37"/>
      <c r="K209" s="39"/>
      <c r="L209" s="40"/>
      <c r="M209" s="39">
        <f t="shared" si="0"/>
        <v>0</v>
      </c>
      <c r="N209" s="39"/>
      <c r="O209" s="309"/>
      <c r="P209" s="310">
        <v>4</v>
      </c>
      <c r="Q209" s="245">
        <v>17154.53</v>
      </c>
      <c r="R209" s="40"/>
      <c r="S209" s="39">
        <f t="shared" si="5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0"/>
        <v>0</v>
      </c>
      <c r="N210" s="50"/>
      <c r="O210" s="31"/>
      <c r="P210" s="277"/>
      <c r="Q210" s="81"/>
      <c r="R210" s="80"/>
      <c r="S210" s="81">
        <f t="shared" si="5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0"/>
        <v>0</v>
      </c>
      <c r="N211" s="43"/>
      <c r="O211" s="41"/>
      <c r="P211" s="113">
        <v>1</v>
      </c>
      <c r="Q211" s="114">
        <v>3842</v>
      </c>
      <c r="R211" s="128"/>
      <c r="S211" s="50">
        <f t="shared" si="5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7</v>
      </c>
      <c r="I212" s="62">
        <v>4</v>
      </c>
      <c r="J212" s="62">
        <v>7</v>
      </c>
      <c r="K212" s="30">
        <v>15928.13</v>
      </c>
      <c r="L212" s="27"/>
      <c r="M212" s="26">
        <f t="shared" si="0"/>
        <v>0</v>
      </c>
      <c r="N212" s="26"/>
      <c r="O212" s="31"/>
      <c r="P212" s="53">
        <v>17</v>
      </c>
      <c r="Q212" s="30">
        <v>46159.82</v>
      </c>
      <c r="R212" s="205">
        <v>2</v>
      </c>
      <c r="S212" s="26">
        <f t="shared" si="5"/>
        <v>22498.43</v>
      </c>
      <c r="T212" s="30">
        <v>5534.4</v>
      </c>
      <c r="U212" s="225">
        <v>16964.03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0"/>
        <v>0</v>
      </c>
      <c r="N213" s="39"/>
      <c r="O213" s="41"/>
      <c r="P213" s="59"/>
      <c r="Q213" s="39"/>
      <c r="R213" s="40"/>
      <c r="S213" s="39">
        <f t="shared" si="5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0"/>
        <v>0</v>
      </c>
      <c r="N214" s="50"/>
      <c r="O214" s="31"/>
      <c r="P214" s="108">
        <v>5</v>
      </c>
      <c r="Q214" s="65">
        <v>16087.92</v>
      </c>
      <c r="R214" s="224">
        <v>5</v>
      </c>
      <c r="S214" s="50">
        <f t="shared" si="5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0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5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9</v>
      </c>
      <c r="I216" s="62">
        <v>6</v>
      </c>
      <c r="J216" s="62">
        <v>6</v>
      </c>
      <c r="K216" s="30">
        <v>2766.26</v>
      </c>
      <c r="L216" s="27"/>
      <c r="M216" s="26">
        <f t="shared" si="0"/>
        <v>0</v>
      </c>
      <c r="N216" s="26"/>
      <c r="O216" s="31"/>
      <c r="P216" s="53">
        <v>26</v>
      </c>
      <c r="Q216" s="30">
        <v>35477.370000000003</v>
      </c>
      <c r="R216" s="205">
        <v>4</v>
      </c>
      <c r="S216" s="26">
        <f t="shared" si="5"/>
        <v>27100.080000000002</v>
      </c>
      <c r="T216" s="30">
        <v>6109.65</v>
      </c>
      <c r="U216" s="30">
        <v>20990.43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5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18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5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5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0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5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9</v>
      </c>
      <c r="I220" s="203">
        <v>4</v>
      </c>
      <c r="J220" s="203">
        <v>5</v>
      </c>
      <c r="K220" s="65">
        <v>5845.61</v>
      </c>
      <c r="L220" s="51"/>
      <c r="M220" s="50">
        <f t="shared" si="0"/>
        <v>0</v>
      </c>
      <c r="N220" s="50"/>
      <c r="O220" s="31"/>
      <c r="P220" s="108">
        <v>16</v>
      </c>
      <c r="Q220" s="65">
        <v>50670.65</v>
      </c>
      <c r="R220" s="224">
        <v>5</v>
      </c>
      <c r="S220" s="50">
        <f t="shared" si="5"/>
        <v>24141.61</v>
      </c>
      <c r="T220" s="65">
        <v>24141.61</v>
      </c>
      <c r="U220" s="225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5</v>
      </c>
      <c r="Q221" s="114">
        <v>24781.439999999999</v>
      </c>
      <c r="R221" s="270">
        <v>3</v>
      </c>
      <c r="S221" s="114">
        <v>19142.64</v>
      </c>
      <c r="T221" s="114">
        <v>19142.64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7"/>
      <c r="M222" s="26">
        <f t="shared" si="0"/>
        <v>0</v>
      </c>
      <c r="N222" s="26"/>
      <c r="O222" s="31"/>
      <c r="P222" s="53">
        <v>14</v>
      </c>
      <c r="Q222" s="30">
        <v>45509.18</v>
      </c>
      <c r="R222" s="205">
        <v>3</v>
      </c>
      <c r="S222" s="26">
        <f t="shared" ref="S222:S272" si="6">T222+U222</f>
        <v>19390.669999999998</v>
      </c>
      <c r="T222" s="30">
        <v>7081.87</v>
      </c>
      <c r="U222" s="225">
        <v>12308.8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1"/>
      <c r="P223" s="103"/>
      <c r="Q223" s="43"/>
      <c r="R223" s="44"/>
      <c r="S223" s="43">
        <f t="shared" si="6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1</v>
      </c>
      <c r="I224" s="25"/>
      <c r="J224" s="25"/>
      <c r="K224" s="26"/>
      <c r="L224" s="27"/>
      <c r="M224" s="26">
        <f t="shared" si="0"/>
        <v>0</v>
      </c>
      <c r="N224" s="26"/>
      <c r="O224" s="31"/>
      <c r="P224" s="120"/>
      <c r="Q224" s="26"/>
      <c r="R224" s="27"/>
      <c r="S224" s="26">
        <f t="shared" si="6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0"/>
        <v>0</v>
      </c>
      <c r="N225" s="43"/>
      <c r="O225" s="45"/>
      <c r="P225" s="42"/>
      <c r="Q225" s="43"/>
      <c r="R225" s="44"/>
      <c r="S225" s="43">
        <f t="shared" si="6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0"/>
        <v>0</v>
      </c>
      <c r="N226" s="26"/>
      <c r="O226" s="28"/>
      <c r="P226" s="120"/>
      <c r="Q226" s="26"/>
      <c r="R226" s="27"/>
      <c r="S226" s="26">
        <f t="shared" si="6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0"/>
        <v>0</v>
      </c>
      <c r="N227" s="211"/>
      <c r="O227" s="212"/>
      <c r="P227" s="284"/>
      <c r="Q227" s="211"/>
      <c r="R227" s="210"/>
      <c r="S227" s="211">
        <f t="shared" si="6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2</v>
      </c>
      <c r="I228" s="62"/>
      <c r="J228" s="62"/>
      <c r="K228" s="30"/>
      <c r="L228" s="27"/>
      <c r="M228" s="26">
        <f t="shared" si="0"/>
        <v>0</v>
      </c>
      <c r="N228" s="26"/>
      <c r="O228" s="28"/>
      <c r="P228" s="214"/>
      <c r="Q228" s="30"/>
      <c r="R228" s="205"/>
      <c r="S228" s="26">
        <f t="shared" si="6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3</v>
      </c>
      <c r="I229" s="37"/>
      <c r="J229" s="37"/>
      <c r="K229" s="68"/>
      <c r="L229" s="40"/>
      <c r="M229" s="39">
        <f t="shared" si="0"/>
        <v>0</v>
      </c>
      <c r="N229" s="39"/>
      <c r="O229" s="41"/>
      <c r="P229" s="217"/>
      <c r="Q229" s="68"/>
      <c r="R229" s="285"/>
      <c r="S229" s="39">
        <f t="shared" si="6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6</v>
      </c>
      <c r="K230" s="79">
        <v>3256.1</v>
      </c>
      <c r="L230" s="80"/>
      <c r="M230" s="81">
        <f t="shared" si="0"/>
        <v>0</v>
      </c>
      <c r="N230" s="81"/>
      <c r="O230" s="219"/>
      <c r="P230" s="267">
        <v>11</v>
      </c>
      <c r="Q230" s="79">
        <v>33980.25</v>
      </c>
      <c r="R230" s="268">
        <v>9</v>
      </c>
      <c r="S230" s="81">
        <f t="shared" si="6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0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6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14</v>
      </c>
      <c r="I232" s="62">
        <v>12</v>
      </c>
      <c r="J232" s="62">
        <v>13</v>
      </c>
      <c r="K232" s="30">
        <v>16335.82</v>
      </c>
      <c r="L232" s="27"/>
      <c r="M232" s="26">
        <f t="shared" si="0"/>
        <v>0</v>
      </c>
      <c r="N232" s="26"/>
      <c r="O232" s="31"/>
      <c r="P232" s="53">
        <v>7</v>
      </c>
      <c r="Q232" s="30">
        <v>33705.78</v>
      </c>
      <c r="R232" s="205">
        <v>2</v>
      </c>
      <c r="S232" s="26">
        <f t="shared" si="6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0"/>
        <v>0</v>
      </c>
      <c r="N233" s="39"/>
      <c r="O233" s="41"/>
      <c r="P233" s="115">
        <v>1</v>
      </c>
      <c r="Q233" s="68">
        <v>3073.6</v>
      </c>
      <c r="R233" s="40"/>
      <c r="S233" s="39">
        <f t="shared" si="6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2</v>
      </c>
      <c r="I234" s="49"/>
      <c r="J234" s="49"/>
      <c r="K234" s="50"/>
      <c r="L234" s="51"/>
      <c r="M234" s="50">
        <f t="shared" si="0"/>
        <v>0</v>
      </c>
      <c r="N234" s="50"/>
      <c r="O234" s="31"/>
      <c r="P234" s="108">
        <v>10</v>
      </c>
      <c r="Q234" s="65">
        <v>15519.54</v>
      </c>
      <c r="R234" s="224">
        <v>1</v>
      </c>
      <c r="S234" s="50">
        <f t="shared" si="6"/>
        <v>8094.01</v>
      </c>
      <c r="T234" s="65">
        <v>1319.81</v>
      </c>
      <c r="U234" s="225">
        <v>6774.2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0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6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104"/>
      <c r="I236" s="25"/>
      <c r="J236" s="25"/>
      <c r="K236" s="26"/>
      <c r="L236" s="27"/>
      <c r="M236" s="26">
        <f t="shared" si="0"/>
        <v>0</v>
      </c>
      <c r="N236" s="26"/>
      <c r="O236" s="28"/>
      <c r="P236" s="275"/>
      <c r="Q236" s="26"/>
      <c r="R236" s="27"/>
      <c r="S236" s="26">
        <f t="shared" si="6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0"/>
        <v>0</v>
      </c>
      <c r="N237" s="39"/>
      <c r="O237" s="41"/>
      <c r="P237" s="276"/>
      <c r="Q237" s="39"/>
      <c r="R237" s="40"/>
      <c r="S237" s="39">
        <f t="shared" si="6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0"/>
        <v>0</v>
      </c>
      <c r="N238" s="81"/>
      <c r="O238" s="219"/>
      <c r="P238" s="277"/>
      <c r="Q238" s="81"/>
      <c r="R238" s="80"/>
      <c r="S238" s="81">
        <f t="shared" si="6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1</v>
      </c>
      <c r="J239" s="130">
        <v>1</v>
      </c>
      <c r="K239" s="114">
        <v>1921</v>
      </c>
      <c r="L239" s="44"/>
      <c r="M239" s="43">
        <f t="shared" si="0"/>
        <v>0</v>
      </c>
      <c r="N239" s="43"/>
      <c r="O239" s="41"/>
      <c r="P239" s="113">
        <v>2</v>
      </c>
      <c r="Q239" s="114">
        <v>2958.34</v>
      </c>
      <c r="R239" s="44"/>
      <c r="S239" s="43">
        <f t="shared" si="6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0"/>
        <v>0</v>
      </c>
      <c r="N240" s="26"/>
      <c r="O240" s="31"/>
      <c r="P240" s="53">
        <v>2</v>
      </c>
      <c r="Q240" s="30">
        <v>2633.4</v>
      </c>
      <c r="R240" s="205">
        <v>1</v>
      </c>
      <c r="S240" s="26">
        <f t="shared" si="6"/>
        <v>2633.4</v>
      </c>
      <c r="T240" s="30">
        <v>1288.7</v>
      </c>
      <c r="U240" s="225">
        <v>1344.7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2</v>
      </c>
      <c r="I241" s="57"/>
      <c r="J241" s="57"/>
      <c r="K241" s="43"/>
      <c r="L241" s="44"/>
      <c r="M241" s="43">
        <f t="shared" si="0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6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5</v>
      </c>
      <c r="I242" s="62">
        <v>2</v>
      </c>
      <c r="J242" s="62">
        <v>2</v>
      </c>
      <c r="K242" s="30">
        <v>3562.05</v>
      </c>
      <c r="L242" s="27"/>
      <c r="M242" s="26">
        <f t="shared" si="0"/>
        <v>0</v>
      </c>
      <c r="N242" s="26"/>
      <c r="O242" s="31"/>
      <c r="P242" s="53">
        <v>12</v>
      </c>
      <c r="Q242" s="30">
        <v>25040</v>
      </c>
      <c r="R242" s="205">
        <v>3</v>
      </c>
      <c r="S242" s="26">
        <f t="shared" si="6"/>
        <v>6447.76</v>
      </c>
      <c r="T242" s="30">
        <v>6447.76</v>
      </c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6</v>
      </c>
      <c r="I243" s="38"/>
      <c r="J243" s="38"/>
      <c r="K243" s="39"/>
      <c r="L243" s="40"/>
      <c r="M243" s="39">
        <f t="shared" si="0"/>
        <v>0</v>
      </c>
      <c r="N243" s="39"/>
      <c r="O243" s="41"/>
      <c r="P243" s="59"/>
      <c r="Q243" s="39"/>
      <c r="R243" s="40"/>
      <c r="S243" s="39">
        <f t="shared" si="6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10</v>
      </c>
      <c r="I244" s="203">
        <v>8</v>
      </c>
      <c r="J244" s="203">
        <v>10</v>
      </c>
      <c r="K244" s="65">
        <v>11647.22</v>
      </c>
      <c r="L244" s="51"/>
      <c r="M244" s="50">
        <f t="shared" si="0"/>
        <v>2218.7600000000002</v>
      </c>
      <c r="N244" s="50"/>
      <c r="O244" s="225">
        <v>2218.7600000000002</v>
      </c>
      <c r="P244" s="108">
        <v>17</v>
      </c>
      <c r="Q244" s="65">
        <v>44479.839999999997</v>
      </c>
      <c r="R244" s="224">
        <v>4</v>
      </c>
      <c r="S244" s="50">
        <f t="shared" si="6"/>
        <v>25044.9</v>
      </c>
      <c r="T244" s="65">
        <v>11573.35</v>
      </c>
      <c r="U244" s="225">
        <v>13471.55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0"/>
        <v>0</v>
      </c>
      <c r="N245" s="43"/>
      <c r="O245" s="41"/>
      <c r="P245" s="113">
        <v>2</v>
      </c>
      <c r="Q245" s="114">
        <v>15252.74</v>
      </c>
      <c r="R245" s="270">
        <v>1</v>
      </c>
      <c r="S245" s="43">
        <f t="shared" si="6"/>
        <v>2996.76</v>
      </c>
      <c r="T245" s="114">
        <v>2996.76</v>
      </c>
      <c r="U245" s="23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429</v>
      </c>
      <c r="C246" s="374" t="s">
        <v>22</v>
      </c>
      <c r="D246" s="374"/>
      <c r="E246" s="374" t="s">
        <v>27</v>
      </c>
      <c r="F246" s="22"/>
      <c r="G246" s="176" t="s">
        <v>24</v>
      </c>
      <c r="H246" s="151"/>
      <c r="I246" s="25"/>
      <c r="J246" s="25"/>
      <c r="K246" s="26"/>
      <c r="L246" s="27"/>
      <c r="M246" s="26">
        <f t="shared" si="0"/>
        <v>0</v>
      </c>
      <c r="N246" s="26"/>
      <c r="O246" s="31"/>
      <c r="P246" s="53">
        <v>1</v>
      </c>
      <c r="Q246" s="30">
        <v>36784.050000000003</v>
      </c>
      <c r="R246" s="27"/>
      <c r="S246" s="26">
        <f t="shared" si="6"/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/>
      <c r="G247" s="229" t="s">
        <v>28</v>
      </c>
      <c r="H247" s="56"/>
      <c r="I247" s="57"/>
      <c r="J247" s="57"/>
      <c r="K247" s="43"/>
      <c r="L247" s="44"/>
      <c r="M247" s="43">
        <f t="shared" si="0"/>
        <v>0</v>
      </c>
      <c r="N247" s="43"/>
      <c r="O247" s="45"/>
      <c r="P247" s="113"/>
      <c r="Q247" s="114"/>
      <c r="R247" s="44"/>
      <c r="S247" s="43">
        <f t="shared" si="6"/>
        <v>0</v>
      </c>
      <c r="T247" s="114"/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188</v>
      </c>
      <c r="C248" s="374" t="s">
        <v>39</v>
      </c>
      <c r="D248" s="374"/>
      <c r="E248" s="374" t="s">
        <v>27</v>
      </c>
      <c r="F248" s="22"/>
      <c r="G248" s="176" t="s">
        <v>24</v>
      </c>
      <c r="H248" s="151">
        <v>1</v>
      </c>
      <c r="I248" s="25"/>
      <c r="J248" s="25"/>
      <c r="K248" s="26"/>
      <c r="L248" s="27"/>
      <c r="M248" s="26">
        <f t="shared" si="0"/>
        <v>0</v>
      </c>
      <c r="N248" s="26"/>
      <c r="O248" s="31"/>
      <c r="P248" s="99"/>
      <c r="Q248" s="26"/>
      <c r="R248" s="27"/>
      <c r="S248" s="26">
        <f t="shared" si="6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20.25" customHeight="1">
      <c r="A249" s="373"/>
      <c r="B249" s="375"/>
      <c r="C249" s="375"/>
      <c r="D249" s="375"/>
      <c r="E249" s="375"/>
      <c r="F249" s="220" t="s">
        <v>344</v>
      </c>
      <c r="G249" s="229" t="s">
        <v>28</v>
      </c>
      <c r="H249" s="56">
        <v>2</v>
      </c>
      <c r="I249" s="57"/>
      <c r="J249" s="57"/>
      <c r="K249" s="43"/>
      <c r="L249" s="44"/>
      <c r="M249" s="43">
        <f t="shared" si="0"/>
        <v>0</v>
      </c>
      <c r="N249" s="43"/>
      <c r="O249" s="45"/>
      <c r="P249" s="113">
        <v>11</v>
      </c>
      <c r="Q249" s="114">
        <v>13054.9</v>
      </c>
      <c r="R249" s="44"/>
      <c r="S249" s="43">
        <f t="shared" si="6"/>
        <v>4050.2</v>
      </c>
      <c r="T249" s="114">
        <v>4050.2</v>
      </c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189</v>
      </c>
      <c r="C250" s="374" t="s">
        <v>39</v>
      </c>
      <c r="D250" s="374" t="s">
        <v>427</v>
      </c>
      <c r="E250" s="374" t="s">
        <v>27</v>
      </c>
      <c r="F250" s="232" t="s">
        <v>428</v>
      </c>
      <c r="G250" s="23" t="s">
        <v>24</v>
      </c>
      <c r="H250" s="24">
        <v>10</v>
      </c>
      <c r="I250" s="62">
        <v>4</v>
      </c>
      <c r="J250" s="62">
        <v>6</v>
      </c>
      <c r="K250" s="30">
        <v>9191.0300000000007</v>
      </c>
      <c r="L250" s="27"/>
      <c r="M250" s="26">
        <f t="shared" si="0"/>
        <v>2828.68</v>
      </c>
      <c r="N250" s="26"/>
      <c r="O250" s="241">
        <v>2828.68</v>
      </c>
      <c r="P250" s="29">
        <v>2</v>
      </c>
      <c r="Q250" s="30">
        <v>1870.81</v>
      </c>
      <c r="R250" s="27"/>
      <c r="S250" s="26">
        <f t="shared" si="6"/>
        <v>1870.81</v>
      </c>
      <c r="T250" s="26"/>
      <c r="U250" s="241">
        <v>1870.81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256</v>
      </c>
      <c r="G251" s="35" t="s">
        <v>28</v>
      </c>
      <c r="H251" s="66">
        <v>3</v>
      </c>
      <c r="I251" s="38"/>
      <c r="J251" s="38"/>
      <c r="K251" s="39"/>
      <c r="L251" s="40"/>
      <c r="M251" s="39">
        <f t="shared" si="0"/>
        <v>0</v>
      </c>
      <c r="N251" s="39"/>
      <c r="O251" s="41"/>
      <c r="P251" s="69"/>
      <c r="Q251" s="39"/>
      <c r="R251" s="40"/>
      <c r="S251" s="39">
        <f t="shared" si="6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190</v>
      </c>
      <c r="C252" s="381" t="s">
        <v>39</v>
      </c>
      <c r="D252" s="381" t="s">
        <v>191</v>
      </c>
      <c r="E252" s="381" t="s">
        <v>27</v>
      </c>
      <c r="F252" s="46"/>
      <c r="G252" s="47" t="s">
        <v>24</v>
      </c>
      <c r="H252" s="98"/>
      <c r="I252" s="49"/>
      <c r="J252" s="49"/>
      <c r="K252" s="50"/>
      <c r="L252" s="51"/>
      <c r="M252" s="50">
        <f t="shared" si="0"/>
        <v>0</v>
      </c>
      <c r="N252" s="50"/>
      <c r="O252" s="31"/>
      <c r="P252" s="123"/>
      <c r="Q252" s="50"/>
      <c r="R252" s="51"/>
      <c r="S252" s="50">
        <f t="shared" si="6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345</v>
      </c>
      <c r="G253" s="35" t="s">
        <v>28</v>
      </c>
      <c r="H253" s="112">
        <v>2</v>
      </c>
      <c r="I253" s="57"/>
      <c r="J253" s="57"/>
      <c r="K253" s="43"/>
      <c r="L253" s="44"/>
      <c r="M253" s="43">
        <f t="shared" si="0"/>
        <v>0</v>
      </c>
      <c r="N253" s="43"/>
      <c r="O253" s="45"/>
      <c r="P253" s="115">
        <v>4</v>
      </c>
      <c r="Q253" s="68">
        <v>5106.7</v>
      </c>
      <c r="R253" s="40"/>
      <c r="S253" s="39">
        <f t="shared" si="6"/>
        <v>6739.58</v>
      </c>
      <c r="T253" s="68">
        <f>3818+2921.58</f>
        <v>6739.58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192</v>
      </c>
      <c r="C254" s="374" t="s">
        <v>22</v>
      </c>
      <c r="D254" s="374"/>
      <c r="E254" s="374" t="s">
        <v>193</v>
      </c>
      <c r="F254" s="204" t="s">
        <v>318</v>
      </c>
      <c r="G254" s="176" t="s">
        <v>24</v>
      </c>
      <c r="H254" s="61">
        <v>5</v>
      </c>
      <c r="I254" s="62">
        <v>4</v>
      </c>
      <c r="J254" s="62">
        <v>4</v>
      </c>
      <c r="K254" s="30">
        <v>4934.76</v>
      </c>
      <c r="L254" s="27"/>
      <c r="M254" s="26">
        <f t="shared" si="0"/>
        <v>0</v>
      </c>
      <c r="N254" s="26"/>
      <c r="O254" s="100"/>
      <c r="P254" s="64">
        <v>17</v>
      </c>
      <c r="Q254" s="65">
        <v>46158.400000000001</v>
      </c>
      <c r="R254" s="224">
        <v>11</v>
      </c>
      <c r="S254" s="50">
        <f t="shared" si="6"/>
        <v>32753.78</v>
      </c>
      <c r="T254" s="65">
        <v>26877.439999999999</v>
      </c>
      <c r="U254" s="225">
        <v>5876.34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346</v>
      </c>
      <c r="G255" s="229" t="s">
        <v>28</v>
      </c>
      <c r="H255" s="133">
        <v>1</v>
      </c>
      <c r="I255" s="37">
        <v>1</v>
      </c>
      <c r="J255" s="37">
        <v>1</v>
      </c>
      <c r="K255" s="68">
        <v>1728.9</v>
      </c>
      <c r="L255" s="40"/>
      <c r="M255" s="39">
        <f t="shared" si="0"/>
        <v>0</v>
      </c>
      <c r="N255" s="39"/>
      <c r="O255" s="41"/>
      <c r="P255" s="42"/>
      <c r="Q255" s="43"/>
      <c r="R255" s="44"/>
      <c r="S255" s="43">
        <f t="shared" si="6"/>
        <v>0</v>
      </c>
      <c r="T255" s="43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194</v>
      </c>
      <c r="C256" s="377" t="s">
        <v>39</v>
      </c>
      <c r="D256" s="377" t="s">
        <v>319</v>
      </c>
      <c r="E256" s="374" t="s">
        <v>160</v>
      </c>
      <c r="F256" s="232" t="s">
        <v>320</v>
      </c>
      <c r="G256" s="23" t="s">
        <v>24</v>
      </c>
      <c r="H256" s="48">
        <v>5</v>
      </c>
      <c r="I256" s="203">
        <v>3</v>
      </c>
      <c r="J256" s="203">
        <v>3</v>
      </c>
      <c r="K256" s="65">
        <v>2090.2399999999998</v>
      </c>
      <c r="L256" s="128"/>
      <c r="M256" s="129">
        <f t="shared" si="0"/>
        <v>288.14999999999998</v>
      </c>
      <c r="N256" s="50"/>
      <c r="O256" s="225">
        <v>288.14999999999998</v>
      </c>
      <c r="P256" s="29">
        <v>3</v>
      </c>
      <c r="Q256" s="30">
        <v>6107.21</v>
      </c>
      <c r="R256" s="205">
        <v>2</v>
      </c>
      <c r="S256" s="26">
        <f t="shared" si="6"/>
        <v>6107.21</v>
      </c>
      <c r="T256" s="30">
        <v>2951.62</v>
      </c>
      <c r="U256" s="225">
        <v>3155.59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347</v>
      </c>
      <c r="G257" s="35" t="s">
        <v>28</v>
      </c>
      <c r="H257" s="117">
        <v>1</v>
      </c>
      <c r="I257" s="37"/>
      <c r="J257" s="37"/>
      <c r="K257" s="39"/>
      <c r="L257" s="44"/>
      <c r="M257" s="43">
        <f t="shared" si="0"/>
        <v>0</v>
      </c>
      <c r="N257" s="39"/>
      <c r="O257" s="41"/>
      <c r="P257" s="37">
        <v>5</v>
      </c>
      <c r="Q257" s="37">
        <v>12038.63</v>
      </c>
      <c r="R257" s="40"/>
      <c r="S257" s="39">
        <f t="shared" si="6"/>
        <v>4621.6400000000003</v>
      </c>
      <c r="T257" s="68">
        <f>576.3+4045.34</f>
        <v>4621.6400000000003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195</v>
      </c>
      <c r="C258" s="377" t="s">
        <v>39</v>
      </c>
      <c r="D258" s="377" t="s">
        <v>231</v>
      </c>
      <c r="E258" s="381" t="s">
        <v>27</v>
      </c>
      <c r="F258" s="204" t="s">
        <v>232</v>
      </c>
      <c r="G258" s="47" t="s">
        <v>24</v>
      </c>
      <c r="H258" s="61">
        <v>1</v>
      </c>
      <c r="I258" s="25"/>
      <c r="J258" s="25"/>
      <c r="K258" s="26"/>
      <c r="L258" s="27"/>
      <c r="M258" s="26">
        <f t="shared" si="0"/>
        <v>0</v>
      </c>
      <c r="N258" s="26"/>
      <c r="O258" s="31"/>
      <c r="P258" s="64">
        <v>7</v>
      </c>
      <c r="Q258" s="65">
        <v>46859.35</v>
      </c>
      <c r="R258" s="224">
        <v>4</v>
      </c>
      <c r="S258" s="50">
        <f t="shared" si="6"/>
        <v>38298.17</v>
      </c>
      <c r="T258" s="65">
        <v>38298.17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260</v>
      </c>
      <c r="G259" s="55" t="s">
        <v>28</v>
      </c>
      <c r="H259" s="178">
        <v>3</v>
      </c>
      <c r="I259" s="130">
        <v>1</v>
      </c>
      <c r="J259" s="130">
        <v>1</v>
      </c>
      <c r="K259" s="114">
        <v>1152.5999999999999</v>
      </c>
      <c r="L259" s="44"/>
      <c r="M259" s="43">
        <f t="shared" si="0"/>
        <v>1152.5999999999999</v>
      </c>
      <c r="N259" s="43">
        <f>1152.6</f>
        <v>1152.5999999999999</v>
      </c>
      <c r="O259" s="222"/>
      <c r="P259" s="130">
        <v>4</v>
      </c>
      <c r="Q259" s="130">
        <v>15104.45</v>
      </c>
      <c r="R259" s="44"/>
      <c r="S259" s="43">
        <f t="shared" si="6"/>
        <v>17673.2</v>
      </c>
      <c r="T259" s="114">
        <f>4994.6+12678.6</f>
        <v>17673.2</v>
      </c>
      <c r="U259" s="222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196</v>
      </c>
      <c r="C260" s="381" t="s">
        <v>22</v>
      </c>
      <c r="D260" s="374"/>
      <c r="E260" s="381" t="s">
        <v>27</v>
      </c>
      <c r="F260" s="22"/>
      <c r="G260" s="23" t="s">
        <v>24</v>
      </c>
      <c r="H260" s="119"/>
      <c r="I260" s="25"/>
      <c r="J260" s="25"/>
      <c r="K260" s="26"/>
      <c r="L260" s="27"/>
      <c r="M260" s="26">
        <f t="shared" si="0"/>
        <v>0</v>
      </c>
      <c r="N260" s="26"/>
      <c r="O260" s="28"/>
      <c r="P260" s="120"/>
      <c r="Q260" s="26"/>
      <c r="R260" s="27"/>
      <c r="S260" s="26">
        <f t="shared" si="6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348</v>
      </c>
      <c r="G261" s="35" t="s">
        <v>28</v>
      </c>
      <c r="H261" s="66">
        <v>4</v>
      </c>
      <c r="I261" s="38"/>
      <c r="J261" s="38"/>
      <c r="K261" s="39"/>
      <c r="L261" s="40"/>
      <c r="M261" s="39">
        <f t="shared" si="0"/>
        <v>0</v>
      </c>
      <c r="N261" s="39"/>
      <c r="O261" s="41"/>
      <c r="P261" s="67">
        <v>2</v>
      </c>
      <c r="Q261" s="68">
        <v>6723.5</v>
      </c>
      <c r="R261" s="40"/>
      <c r="S261" s="39">
        <f t="shared" si="6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197</v>
      </c>
      <c r="C262" s="381" t="s">
        <v>39</v>
      </c>
      <c r="D262" s="381" t="s">
        <v>381</v>
      </c>
      <c r="E262" s="381" t="s">
        <v>27</v>
      </c>
      <c r="F262" s="204" t="s">
        <v>382</v>
      </c>
      <c r="G262" s="47" t="s">
        <v>24</v>
      </c>
      <c r="H262" s="98"/>
      <c r="I262" s="49"/>
      <c r="J262" s="49"/>
      <c r="K262" s="50"/>
      <c r="L262" s="51"/>
      <c r="M262" s="50">
        <f t="shared" si="0"/>
        <v>0</v>
      </c>
      <c r="N262" s="50"/>
      <c r="O262" s="31"/>
      <c r="P262" s="108">
        <v>1</v>
      </c>
      <c r="Q262" s="65">
        <v>748.24</v>
      </c>
      <c r="R262" s="224">
        <v>1</v>
      </c>
      <c r="S262" s="50">
        <f t="shared" si="6"/>
        <v>748.24</v>
      </c>
      <c r="T262" s="65">
        <v>748.24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9"/>
      <c r="B263" s="380"/>
      <c r="C263" s="380"/>
      <c r="D263" s="380"/>
      <c r="E263" s="380"/>
      <c r="F263" s="221" t="s">
        <v>349</v>
      </c>
      <c r="G263" s="55" t="s">
        <v>28</v>
      </c>
      <c r="H263" s="153">
        <v>3</v>
      </c>
      <c r="I263" s="130">
        <v>2</v>
      </c>
      <c r="J263" s="130">
        <v>2</v>
      </c>
      <c r="K263" s="114">
        <v>3265.7</v>
      </c>
      <c r="L263" s="44"/>
      <c r="M263" s="43">
        <f t="shared" si="0"/>
        <v>0</v>
      </c>
      <c r="N263" s="43"/>
      <c r="O263" s="41"/>
      <c r="P263" s="103"/>
      <c r="Q263" s="43"/>
      <c r="R263" s="44"/>
      <c r="S263" s="43">
        <f t="shared" si="6"/>
        <v>3765.16</v>
      </c>
      <c r="T263" s="114">
        <f>1440.75+2324.41</f>
        <v>3765.16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198</v>
      </c>
      <c r="C264" s="374" t="s">
        <v>22</v>
      </c>
      <c r="D264" s="374"/>
      <c r="E264" s="374" t="s">
        <v>112</v>
      </c>
      <c r="F264" s="204" t="s">
        <v>383</v>
      </c>
      <c r="G264" s="23" t="s">
        <v>24</v>
      </c>
      <c r="H264" s="48">
        <v>5</v>
      </c>
      <c r="I264" s="62">
        <v>3</v>
      </c>
      <c r="J264" s="62">
        <v>3</v>
      </c>
      <c r="K264" s="30">
        <v>4187.78</v>
      </c>
      <c r="L264" s="27"/>
      <c r="M264" s="26">
        <f t="shared" si="0"/>
        <v>0</v>
      </c>
      <c r="N264" s="26"/>
      <c r="O264" s="31"/>
      <c r="P264" s="53">
        <v>9</v>
      </c>
      <c r="Q264" s="30">
        <v>37359.620000000003</v>
      </c>
      <c r="R264" s="205">
        <v>3</v>
      </c>
      <c r="S264" s="26">
        <f t="shared" si="6"/>
        <v>10703.11</v>
      </c>
      <c r="T264" s="30">
        <v>10703.11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350</v>
      </c>
      <c r="G265" s="35" t="s">
        <v>28</v>
      </c>
      <c r="H265" s="153">
        <v>1</v>
      </c>
      <c r="I265" s="38"/>
      <c r="J265" s="38"/>
      <c r="K265" s="39"/>
      <c r="L265" s="40"/>
      <c r="M265" s="39">
        <f t="shared" si="0"/>
        <v>0</v>
      </c>
      <c r="N265" s="39"/>
      <c r="O265" s="41"/>
      <c r="P265" s="59"/>
      <c r="Q265" s="39"/>
      <c r="R265" s="40"/>
      <c r="S265" s="39">
        <f t="shared" si="6"/>
        <v>0</v>
      </c>
      <c r="T265" s="39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199</v>
      </c>
      <c r="C266" s="381" t="s">
        <v>22</v>
      </c>
      <c r="D266" s="381"/>
      <c r="E266" s="381" t="s">
        <v>131</v>
      </c>
      <c r="F266" s="46"/>
      <c r="G266" s="23" t="s">
        <v>24</v>
      </c>
      <c r="H266" s="98"/>
      <c r="I266" s="49"/>
      <c r="J266" s="49"/>
      <c r="K266" s="50"/>
      <c r="L266" s="51"/>
      <c r="M266" s="50">
        <f t="shared" si="0"/>
        <v>0</v>
      </c>
      <c r="N266" s="50"/>
      <c r="O266" s="31"/>
      <c r="P266" s="123"/>
      <c r="Q266" s="50"/>
      <c r="R266" s="51"/>
      <c r="S266" s="50">
        <f t="shared" si="6"/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126"/>
      <c r="G267" s="55" t="s">
        <v>25</v>
      </c>
      <c r="H267" s="118"/>
      <c r="I267" s="57"/>
      <c r="J267" s="57"/>
      <c r="K267" s="43"/>
      <c r="L267" s="44"/>
      <c r="M267" s="43">
        <f t="shared" si="0"/>
        <v>0</v>
      </c>
      <c r="N267" s="43"/>
      <c r="O267" s="41"/>
      <c r="P267" s="103"/>
      <c r="Q267" s="43"/>
      <c r="R267" s="44"/>
      <c r="S267" s="43">
        <f t="shared" si="6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200</v>
      </c>
      <c r="C268" s="374" t="s">
        <v>22</v>
      </c>
      <c r="D268" s="374"/>
      <c r="E268" s="374" t="s">
        <v>27</v>
      </c>
      <c r="F268" s="204" t="s">
        <v>384</v>
      </c>
      <c r="G268" s="23" t="s">
        <v>24</v>
      </c>
      <c r="H268" s="61">
        <v>1</v>
      </c>
      <c r="I268" s="25"/>
      <c r="J268" s="25"/>
      <c r="K268" s="26"/>
      <c r="L268" s="27"/>
      <c r="M268" s="26">
        <f t="shared" si="0"/>
        <v>0</v>
      </c>
      <c r="N268" s="26"/>
      <c r="O268" s="31"/>
      <c r="P268" s="29">
        <v>5</v>
      </c>
      <c r="Q268" s="30">
        <v>20287.48</v>
      </c>
      <c r="R268" s="205">
        <v>1</v>
      </c>
      <c r="S268" s="26">
        <f t="shared" si="6"/>
        <v>1911.09</v>
      </c>
      <c r="T268" s="30">
        <v>1911.09</v>
      </c>
      <c r="U268" s="225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33" t="s">
        <v>351</v>
      </c>
      <c r="G269" s="227" t="s">
        <v>28</v>
      </c>
      <c r="H269" s="207">
        <v>1</v>
      </c>
      <c r="I269" s="208">
        <v>1</v>
      </c>
      <c r="J269" s="208">
        <v>1</v>
      </c>
      <c r="K269" s="209">
        <v>1056.55</v>
      </c>
      <c r="L269" s="210"/>
      <c r="M269" s="211">
        <f t="shared" si="0"/>
        <v>0</v>
      </c>
      <c r="N269" s="211"/>
      <c r="O269" s="212"/>
      <c r="P269" s="284"/>
      <c r="Q269" s="211"/>
      <c r="R269" s="210"/>
      <c r="S269" s="211">
        <f t="shared" si="6"/>
        <v>1921</v>
      </c>
      <c r="T269" s="209">
        <v>1921</v>
      </c>
      <c r="U269" s="212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430</v>
      </c>
      <c r="C270" s="374"/>
      <c r="D270" s="374"/>
      <c r="E270" s="374"/>
      <c r="F270" s="204"/>
      <c r="G270" s="213" t="s">
        <v>24</v>
      </c>
      <c r="H270" s="61"/>
      <c r="I270" s="62"/>
      <c r="J270" s="62"/>
      <c r="K270" s="30"/>
      <c r="L270" s="27"/>
      <c r="M270" s="26">
        <f t="shared" si="0"/>
        <v>0</v>
      </c>
      <c r="N270" s="26"/>
      <c r="O270" s="241"/>
      <c r="P270" s="214"/>
      <c r="Q270" s="30"/>
      <c r="R270" s="205"/>
      <c r="S270" s="26">
        <f t="shared" si="6"/>
        <v>0</v>
      </c>
      <c r="T270" s="30"/>
      <c r="U270" s="28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0"/>
      <c r="G271" s="215" t="s">
        <v>28</v>
      </c>
      <c r="H271" s="117"/>
      <c r="I271" s="37"/>
      <c r="J271" s="37"/>
      <c r="K271" s="68"/>
      <c r="L271" s="40"/>
      <c r="M271" s="39">
        <f t="shared" si="0"/>
        <v>0</v>
      </c>
      <c r="N271" s="39"/>
      <c r="O271" s="234"/>
      <c r="P271" s="217"/>
      <c r="Q271" s="68"/>
      <c r="R271" s="285"/>
      <c r="S271" s="39">
        <f t="shared" si="6"/>
        <v>0</v>
      </c>
      <c r="T271" s="68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6"/>
      <c r="B272" s="377" t="s">
        <v>201</v>
      </c>
      <c r="C272" s="377" t="s">
        <v>39</v>
      </c>
      <c r="D272" s="377" t="s">
        <v>385</v>
      </c>
      <c r="E272" s="377" t="s">
        <v>386</v>
      </c>
      <c r="F272" s="232" t="s">
        <v>387</v>
      </c>
      <c r="G272" s="95" t="s">
        <v>24</v>
      </c>
      <c r="H272" s="265">
        <v>9</v>
      </c>
      <c r="I272" s="266">
        <v>5</v>
      </c>
      <c r="J272" s="266">
        <v>7</v>
      </c>
      <c r="K272" s="79">
        <v>8145.22</v>
      </c>
      <c r="L272" s="80"/>
      <c r="M272" s="81">
        <f t="shared" si="0"/>
        <v>4589.6499999999996</v>
      </c>
      <c r="N272" s="81"/>
      <c r="O272" s="313">
        <v>4589.6499999999996</v>
      </c>
      <c r="P272" s="267">
        <v>2</v>
      </c>
      <c r="Q272" s="79">
        <v>4356.83</v>
      </c>
      <c r="R272" s="268">
        <v>2</v>
      </c>
      <c r="S272" s="81">
        <f t="shared" si="6"/>
        <v>4356.83</v>
      </c>
      <c r="T272" s="79">
        <v>4356.83</v>
      </c>
      <c r="U272" s="8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105"/>
      <c r="G273" s="35" t="s">
        <v>25</v>
      </c>
      <c r="H273" s="106"/>
      <c r="I273" s="38"/>
      <c r="J273" s="38"/>
      <c r="K273" s="39"/>
      <c r="L273" s="40"/>
      <c r="M273" s="39">
        <f t="shared" si="0"/>
        <v>0</v>
      </c>
      <c r="N273" s="39"/>
      <c r="O273" s="58"/>
      <c r="P273" s="115">
        <v>2</v>
      </c>
      <c r="Q273" s="68">
        <v>4418.3</v>
      </c>
      <c r="R273" s="285">
        <v>1</v>
      </c>
      <c r="S273" s="68">
        <v>3073.6</v>
      </c>
      <c r="T273" s="68">
        <v>3073.6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202</v>
      </c>
      <c r="C274" s="381" t="s">
        <v>39</v>
      </c>
      <c r="D274" s="377"/>
      <c r="E274" s="381" t="s">
        <v>27</v>
      </c>
      <c r="F274" s="110"/>
      <c r="G274" s="47" t="s">
        <v>24</v>
      </c>
      <c r="H274" s="48">
        <v>1</v>
      </c>
      <c r="I274" s="49"/>
      <c r="J274" s="49"/>
      <c r="K274" s="50"/>
      <c r="L274" s="51"/>
      <c r="M274" s="50">
        <f t="shared" si="0"/>
        <v>0</v>
      </c>
      <c r="N274" s="50"/>
      <c r="O274" s="31"/>
      <c r="P274" s="108">
        <v>1</v>
      </c>
      <c r="Q274" s="65">
        <v>1124.17</v>
      </c>
      <c r="R274" s="51"/>
      <c r="S274" s="50">
        <f t="shared" ref="S274:S279" si="7">T274+U274</f>
        <v>0</v>
      </c>
      <c r="T274" s="50"/>
      <c r="U274" s="3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1" t="s">
        <v>262</v>
      </c>
      <c r="G275" s="55" t="s">
        <v>28</v>
      </c>
      <c r="H275" s="112">
        <v>1</v>
      </c>
      <c r="I275" s="57"/>
      <c r="J275" s="57"/>
      <c r="K275" s="43"/>
      <c r="L275" s="128"/>
      <c r="M275" s="129">
        <f t="shared" si="0"/>
        <v>0</v>
      </c>
      <c r="N275" s="43"/>
      <c r="O275" s="45"/>
      <c r="P275" s="113">
        <v>1</v>
      </c>
      <c r="Q275" s="114">
        <v>1344.7</v>
      </c>
      <c r="R275" s="128"/>
      <c r="S275" s="129">
        <f t="shared" si="7"/>
        <v>4994.6000000000004</v>
      </c>
      <c r="T275" s="114">
        <f>3649.9+1344.7</f>
        <v>4994.6000000000004</v>
      </c>
      <c r="U275" s="4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203</v>
      </c>
      <c r="C276" s="374"/>
      <c r="D276" s="374"/>
      <c r="E276" s="374" t="s">
        <v>27</v>
      </c>
      <c r="F276" s="60"/>
      <c r="G276" s="23" t="s">
        <v>24</v>
      </c>
      <c r="H276" s="104"/>
      <c r="I276" s="25"/>
      <c r="J276" s="25"/>
      <c r="K276" s="26"/>
      <c r="L276" s="27"/>
      <c r="M276" s="26">
        <f t="shared" si="0"/>
        <v>0</v>
      </c>
      <c r="N276" s="26"/>
      <c r="O276" s="28"/>
      <c r="P276" s="120"/>
      <c r="Q276" s="26"/>
      <c r="R276" s="27"/>
      <c r="S276" s="26">
        <f t="shared" si="7"/>
        <v>0</v>
      </c>
      <c r="T276" s="26"/>
      <c r="U276" s="28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28</v>
      </c>
      <c r="H277" s="117"/>
      <c r="I277" s="38"/>
      <c r="J277" s="38"/>
      <c r="K277" s="39"/>
      <c r="L277" s="40"/>
      <c r="M277" s="39">
        <f t="shared" si="0"/>
        <v>0</v>
      </c>
      <c r="N277" s="39"/>
      <c r="O277" s="41"/>
      <c r="P277" s="69"/>
      <c r="Q277" s="39"/>
      <c r="R277" s="40"/>
      <c r="S277" s="39">
        <f t="shared" si="7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204</v>
      </c>
      <c r="C278" s="381" t="s">
        <v>22</v>
      </c>
      <c r="D278" s="381"/>
      <c r="E278" s="381" t="s">
        <v>23</v>
      </c>
      <c r="F278" s="204" t="s">
        <v>431</v>
      </c>
      <c r="G278" s="47" t="s">
        <v>24</v>
      </c>
      <c r="H278" s="48">
        <v>6</v>
      </c>
      <c r="I278" s="203">
        <v>5</v>
      </c>
      <c r="J278" s="203">
        <v>6</v>
      </c>
      <c r="K278" s="65">
        <v>7650.47</v>
      </c>
      <c r="L278" s="51"/>
      <c r="M278" s="50">
        <f t="shared" si="0"/>
        <v>384.2</v>
      </c>
      <c r="N278" s="50"/>
      <c r="O278" s="225">
        <v>384.2</v>
      </c>
      <c r="P278" s="108">
        <v>4</v>
      </c>
      <c r="Q278" s="65">
        <v>3363.11</v>
      </c>
      <c r="R278" s="51"/>
      <c r="S278" s="50">
        <f t="shared" si="7"/>
        <v>3363.11</v>
      </c>
      <c r="T278" s="50"/>
      <c r="U278" s="225">
        <v>3363.11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25</v>
      </c>
      <c r="H279" s="111"/>
      <c r="I279" s="38"/>
      <c r="J279" s="38"/>
      <c r="K279" s="39"/>
      <c r="L279" s="40"/>
      <c r="M279" s="39">
        <f t="shared" si="0"/>
        <v>0</v>
      </c>
      <c r="N279" s="39"/>
      <c r="O279" s="41"/>
      <c r="P279" s="115">
        <v>1</v>
      </c>
      <c r="Q279" s="68">
        <v>2305.1999999999998</v>
      </c>
      <c r="R279" s="40"/>
      <c r="S279" s="39">
        <f t="shared" si="7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179"/>
      <c r="B280" s="180" t="s">
        <v>205</v>
      </c>
      <c r="C280" s="180"/>
      <c r="D280" s="180"/>
      <c r="E280" s="180"/>
      <c r="F280" s="180"/>
      <c r="G280" s="181"/>
      <c r="H280" s="182">
        <f t="shared" ref="H280:U280" si="8">SUM(H9:H279)</f>
        <v>763</v>
      </c>
      <c r="I280" s="183">
        <f t="shared" si="8"/>
        <v>320</v>
      </c>
      <c r="J280" s="183">
        <f t="shared" si="8"/>
        <v>366</v>
      </c>
      <c r="K280" s="184">
        <f t="shared" si="8"/>
        <v>546618.90999999992</v>
      </c>
      <c r="L280" s="185">
        <f t="shared" si="8"/>
        <v>21</v>
      </c>
      <c r="M280" s="184">
        <f t="shared" si="8"/>
        <v>105236.23</v>
      </c>
      <c r="N280" s="184">
        <f t="shared" si="8"/>
        <v>39218.01</v>
      </c>
      <c r="O280" s="186">
        <f t="shared" si="8"/>
        <v>66018.220000000016</v>
      </c>
      <c r="P280" s="187">
        <f t="shared" si="8"/>
        <v>976</v>
      </c>
      <c r="Q280" s="188">
        <f t="shared" si="8"/>
        <v>3033044.9199999995</v>
      </c>
      <c r="R280" s="185">
        <f t="shared" si="8"/>
        <v>334</v>
      </c>
      <c r="S280" s="188">
        <f t="shared" si="8"/>
        <v>1702325.9400000002</v>
      </c>
      <c r="T280" s="188">
        <f t="shared" si="8"/>
        <v>1188395.3100000003</v>
      </c>
      <c r="U280" s="189">
        <f t="shared" si="8"/>
        <v>513930.63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I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 t="s">
        <v>206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27.75" customHeight="1">
      <c r="A284" s="4"/>
      <c r="B284" s="4"/>
      <c r="C284" s="4"/>
      <c r="D284" s="4"/>
      <c r="E284" s="4"/>
      <c r="F284" s="394"/>
      <c r="G284" s="395" t="s">
        <v>5</v>
      </c>
      <c r="H284" s="396"/>
      <c r="I284" s="396"/>
      <c r="J284" s="396"/>
      <c r="K284" s="396"/>
      <c r="L284" s="396"/>
      <c r="M284" s="396"/>
      <c r="N284" s="397"/>
      <c r="O284" s="395" t="s">
        <v>6</v>
      </c>
      <c r="P284" s="396"/>
      <c r="Q284" s="396"/>
      <c r="R284" s="396"/>
      <c r="S284" s="396"/>
      <c r="T284" s="397"/>
      <c r="U284" s="393" t="s">
        <v>207</v>
      </c>
      <c r="V284" s="393" t="s">
        <v>208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386"/>
      <c r="G285" s="190" t="s">
        <v>13</v>
      </c>
      <c r="H285" s="190" t="s">
        <v>14</v>
      </c>
      <c r="I285" s="190" t="s">
        <v>15</v>
      </c>
      <c r="J285" s="190" t="s">
        <v>16</v>
      </c>
      <c r="K285" s="191" t="s">
        <v>17</v>
      </c>
      <c r="L285" s="190" t="s">
        <v>18</v>
      </c>
      <c r="M285" s="190" t="s">
        <v>19</v>
      </c>
      <c r="N285" s="190" t="s">
        <v>20</v>
      </c>
      <c r="O285" s="190" t="s">
        <v>15</v>
      </c>
      <c r="P285" s="190" t="s">
        <v>16</v>
      </c>
      <c r="Q285" s="191" t="s">
        <v>17</v>
      </c>
      <c r="R285" s="190" t="s">
        <v>18</v>
      </c>
      <c r="S285" s="190" t="s">
        <v>19</v>
      </c>
      <c r="T285" s="190" t="s">
        <v>20</v>
      </c>
      <c r="U285" s="392"/>
      <c r="V285" s="392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24</v>
      </c>
      <c r="G286" s="193">
        <f t="shared" ref="G286:I286" si="9">SUMIF($G$9:$G$279,$F$286,H9:H279)</f>
        <v>520</v>
      </c>
      <c r="H286" s="193">
        <f t="shared" si="9"/>
        <v>262</v>
      </c>
      <c r="I286" s="193">
        <f t="shared" si="9"/>
        <v>308</v>
      </c>
      <c r="J286" s="194">
        <f t="shared" ref="J286:J288" si="10">SUMIF($G$9:$G$279,F286,$K$9:$K$279)</f>
        <v>462363.46999999991</v>
      </c>
      <c r="K286" s="195">
        <f t="shared" ref="K286:K288" si="11">SUMIF($G$9:$G$279,F286,$L$9:$L$279)</f>
        <v>10</v>
      </c>
      <c r="L286" s="194">
        <f t="shared" ref="L286:L288" si="12">SUMIF($G$9:$G$279,F286,$M$9:$M$279)</f>
        <v>82334.33</v>
      </c>
      <c r="M286" s="194">
        <f t="shared" ref="M286:O286" si="13">SUMIF($G$9:$G$279,$F$286,N9:N279)</f>
        <v>16316.109999999999</v>
      </c>
      <c r="N286" s="194">
        <f t="shared" si="13"/>
        <v>66018.220000000016</v>
      </c>
      <c r="O286" s="193">
        <f t="shared" si="13"/>
        <v>822</v>
      </c>
      <c r="P286" s="194">
        <f t="shared" ref="P286:P288" si="14">SUMIF($G$9:$G$279,F286,$Q$9:$Q$279)</f>
        <v>2589181.1299999994</v>
      </c>
      <c r="Q286" s="195">
        <f t="shared" ref="Q286:Q288" si="15">SUMIF($G$9:$G$279,F286,$R$9:$R$279)</f>
        <v>309</v>
      </c>
      <c r="R286" s="194">
        <f t="shared" ref="R286:R288" si="16">SUMIF($G$9:$G$279,F286,$S$9:$S$279)</f>
        <v>1428945.7000000004</v>
      </c>
      <c r="S286" s="194">
        <f t="shared" ref="S286:T286" si="17">SUMIF($G$9:$G$279,$F$286,T9:T279)</f>
        <v>915015.07000000007</v>
      </c>
      <c r="T286" s="194">
        <f t="shared" si="17"/>
        <v>513930.63</v>
      </c>
      <c r="U286" s="194">
        <f t="shared" ref="U286:U288" si="18">S286+M286</f>
        <v>931331.18</v>
      </c>
      <c r="V286" s="196">
        <f t="shared" ref="V286:V288" si="19">J286-M286+P286-S286</f>
        <v>2120213.419999999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192" t="s">
        <v>28</v>
      </c>
      <c r="G287" s="236">
        <f t="shared" ref="G287:I287" si="20">SUMIF($G$9:$G$279,$F$287,H9:H279)</f>
        <v>202</v>
      </c>
      <c r="H287" s="193">
        <f t="shared" si="20"/>
        <v>43</v>
      </c>
      <c r="I287" s="193">
        <f t="shared" si="20"/>
        <v>43</v>
      </c>
      <c r="J287" s="194">
        <f t="shared" si="10"/>
        <v>64488.350000000013</v>
      </c>
      <c r="K287" s="195">
        <f t="shared" si="11"/>
        <v>0</v>
      </c>
      <c r="L287" s="194">
        <f t="shared" si="12"/>
        <v>9262.8000000000011</v>
      </c>
      <c r="M287" s="194">
        <f t="shared" ref="M287:O287" si="21">SUMIF($G$9:$G$279,$F$287,N9:N279)</f>
        <v>9262.8000000000011</v>
      </c>
      <c r="N287" s="194">
        <f t="shared" si="21"/>
        <v>0</v>
      </c>
      <c r="O287" s="193">
        <f t="shared" si="21"/>
        <v>117</v>
      </c>
      <c r="P287" s="194">
        <f t="shared" si="14"/>
        <v>328904.22000000003</v>
      </c>
      <c r="Q287" s="195">
        <f t="shared" si="15"/>
        <v>0</v>
      </c>
      <c r="R287" s="194">
        <f t="shared" si="16"/>
        <v>197062.25000000006</v>
      </c>
      <c r="S287" s="194">
        <f t="shared" ref="S287:T287" si="22">SUMIF($G$9:$G$279,$F$287,T9:T279)</f>
        <v>197062.25000000006</v>
      </c>
      <c r="T287" s="194">
        <f t="shared" si="22"/>
        <v>0</v>
      </c>
      <c r="U287" s="194">
        <f t="shared" si="18"/>
        <v>206325.05000000005</v>
      </c>
      <c r="V287" s="196">
        <f t="shared" si="19"/>
        <v>187067.51999999996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25</v>
      </c>
      <c r="G288" s="193">
        <f t="shared" ref="G288:I288" si="23">SUMIF($G$9:$G$279,$F$288,H9:H279)</f>
        <v>41</v>
      </c>
      <c r="H288" s="193">
        <f t="shared" si="23"/>
        <v>15</v>
      </c>
      <c r="I288" s="193">
        <f t="shared" si="23"/>
        <v>15</v>
      </c>
      <c r="J288" s="194">
        <f t="shared" si="10"/>
        <v>19767.09</v>
      </c>
      <c r="K288" s="195">
        <f t="shared" si="11"/>
        <v>11</v>
      </c>
      <c r="L288" s="194">
        <f t="shared" si="12"/>
        <v>13639.1</v>
      </c>
      <c r="M288" s="194">
        <f t="shared" ref="M288:O288" si="24">SUMIF($G$9:$G$279,$F$288,N9:N279)</f>
        <v>13639.1</v>
      </c>
      <c r="N288" s="194">
        <f t="shared" si="24"/>
        <v>0</v>
      </c>
      <c r="O288" s="193">
        <f t="shared" si="24"/>
        <v>37</v>
      </c>
      <c r="P288" s="194">
        <f t="shared" si="14"/>
        <v>114959.57000000002</v>
      </c>
      <c r="Q288" s="195">
        <f t="shared" si="15"/>
        <v>25</v>
      </c>
      <c r="R288" s="194">
        <f t="shared" si="16"/>
        <v>76317.990000000005</v>
      </c>
      <c r="S288" s="194">
        <f t="shared" ref="S288:T288" si="25">SUMIF($G$9:$G$279,$F$288,T9:T279)</f>
        <v>76317.990000000005</v>
      </c>
      <c r="T288" s="194">
        <f t="shared" si="25"/>
        <v>0</v>
      </c>
      <c r="U288" s="194">
        <f t="shared" si="18"/>
        <v>89957.090000000011</v>
      </c>
      <c r="V288" s="196">
        <f t="shared" si="19"/>
        <v>44769.570000000022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197">
        <f t="shared" ref="G289:V289" si="26">G288+G287+G286</f>
        <v>763</v>
      </c>
      <c r="H289" s="197">
        <f t="shared" si="26"/>
        <v>320</v>
      </c>
      <c r="I289" s="197">
        <f t="shared" si="26"/>
        <v>366</v>
      </c>
      <c r="J289" s="198">
        <f t="shared" si="26"/>
        <v>546618.90999999992</v>
      </c>
      <c r="K289" s="199">
        <f t="shared" si="26"/>
        <v>21</v>
      </c>
      <c r="L289" s="198">
        <f t="shared" si="26"/>
        <v>105236.23000000001</v>
      </c>
      <c r="M289" s="198">
        <f t="shared" si="26"/>
        <v>39218.01</v>
      </c>
      <c r="N289" s="198">
        <f t="shared" si="26"/>
        <v>66018.220000000016</v>
      </c>
      <c r="O289" s="197">
        <f t="shared" si="26"/>
        <v>976</v>
      </c>
      <c r="P289" s="198">
        <f t="shared" si="26"/>
        <v>3033044.9199999995</v>
      </c>
      <c r="Q289" s="200">
        <f t="shared" si="26"/>
        <v>334</v>
      </c>
      <c r="R289" s="198">
        <f t="shared" si="26"/>
        <v>1702325.9400000004</v>
      </c>
      <c r="S289" s="198">
        <f t="shared" si="26"/>
        <v>1188395.31</v>
      </c>
      <c r="T289" s="198">
        <f t="shared" si="26"/>
        <v>513930.63</v>
      </c>
      <c r="U289" s="198">
        <f t="shared" si="26"/>
        <v>1227613.32</v>
      </c>
      <c r="V289" s="198">
        <f t="shared" si="26"/>
        <v>2352050.5099999988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K290" s="201"/>
      <c r="L290" s="201"/>
      <c r="R290" s="2"/>
    </row>
    <row r="291" spans="1:32" ht="15.75" customHeight="1">
      <c r="K291" s="201"/>
      <c r="L291" s="201"/>
      <c r="R291" s="2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</sheetData>
  <mergeCells count="67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C165:C166"/>
    <mergeCell ref="A167:A168"/>
    <mergeCell ref="B167:B168"/>
    <mergeCell ref="C167:C168"/>
    <mergeCell ref="B169:B170"/>
    <mergeCell ref="C169:C170"/>
    <mergeCell ref="A169:A170"/>
    <mergeCell ref="A171:A172"/>
    <mergeCell ref="B171:B172"/>
    <mergeCell ref="C171:C172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D274:D275"/>
    <mergeCell ref="E274:E275"/>
    <mergeCell ref="A276:A277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B276:B277"/>
    <mergeCell ref="C276:C277"/>
    <mergeCell ref="A278:A279"/>
    <mergeCell ref="B278:B279"/>
    <mergeCell ref="C278:C279"/>
    <mergeCell ref="A272:A273"/>
    <mergeCell ref="A274:A275"/>
    <mergeCell ref="B274:B275"/>
    <mergeCell ref="C274:C275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4:U285"/>
    <mergeCell ref="V284:V285"/>
    <mergeCell ref="D276:D277"/>
    <mergeCell ref="E276:E277"/>
    <mergeCell ref="D278:D279"/>
    <mergeCell ref="E278:E279"/>
    <mergeCell ref="F284:F285"/>
    <mergeCell ref="G284:N284"/>
    <mergeCell ref="O284:T284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6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6</v>
      </c>
      <c r="I9" s="25"/>
      <c r="J9" s="25"/>
      <c r="K9" s="26"/>
      <c r="L9" s="27"/>
      <c r="M9" s="26">
        <f t="shared" ref="M9:M277" si="0">N9+O9</f>
        <v>0</v>
      </c>
      <c r="N9" s="26"/>
      <c r="O9" s="28"/>
      <c r="P9" s="29">
        <v>7</v>
      </c>
      <c r="Q9" s="30">
        <v>18177.259999999998</v>
      </c>
      <c r="R9" s="205">
        <v>4</v>
      </c>
      <c r="S9" s="26">
        <f t="shared" ref="S9:S31" si="1">T9+U9</f>
        <v>7969.55</v>
      </c>
      <c r="T9" s="30">
        <v>7969.55</v>
      </c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1152.5999999999999</v>
      </c>
      <c r="N10" s="39"/>
      <c r="O10" s="234">
        <v>1152.5999999999999</v>
      </c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6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6</v>
      </c>
      <c r="I13" s="62">
        <v>6</v>
      </c>
      <c r="J13" s="62">
        <v>9</v>
      </c>
      <c r="K13" s="30">
        <v>19302.2</v>
      </c>
      <c r="L13" s="27"/>
      <c r="M13" s="26">
        <f t="shared" si="0"/>
        <v>8982.8700000000008</v>
      </c>
      <c r="N13" s="26"/>
      <c r="O13" s="299">
        <v>8982.8700000000008</v>
      </c>
      <c r="P13" s="64">
        <v>13</v>
      </c>
      <c r="Q13" s="65">
        <v>52910.82</v>
      </c>
      <c r="R13" s="224">
        <v>6</v>
      </c>
      <c r="S13" s="50">
        <f t="shared" si="1"/>
        <v>32231.02</v>
      </c>
      <c r="T13" s="65">
        <v>13737.84</v>
      </c>
      <c r="U13" s="225">
        <v>18493.18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68">
        <v>15752.2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2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2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2</v>
      </c>
      <c r="J19" s="266">
        <v>2</v>
      </c>
      <c r="K19" s="79">
        <v>1978.63</v>
      </c>
      <c r="L19" s="80"/>
      <c r="M19" s="81">
        <f t="shared" si="0"/>
        <v>0</v>
      </c>
      <c r="N19" s="81"/>
      <c r="O19" s="219"/>
      <c r="P19" s="267">
        <v>6</v>
      </c>
      <c r="Q19" s="79">
        <v>9056.33</v>
      </c>
      <c r="R19" s="268">
        <v>1</v>
      </c>
      <c r="S19" s="81">
        <f t="shared" si="1"/>
        <v>1045.98</v>
      </c>
      <c r="T19" s="79">
        <v>1045.98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2497.3000000000002</v>
      </c>
      <c r="T20" s="39"/>
      <c r="U20" s="45">
        <f>2497.3</f>
        <v>2497.3000000000002</v>
      </c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40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4</v>
      </c>
      <c r="J21" s="203">
        <v>4</v>
      </c>
      <c r="K21" s="65">
        <v>4057.17</v>
      </c>
      <c r="L21" s="51"/>
      <c r="M21" s="50">
        <f t="shared" si="0"/>
        <v>4057.17</v>
      </c>
      <c r="N21" s="50"/>
      <c r="O21" s="225">
        <v>4057.17</v>
      </c>
      <c r="P21" s="53">
        <v>14</v>
      </c>
      <c r="Q21" s="30">
        <v>22822.54</v>
      </c>
      <c r="R21" s="205">
        <v>2</v>
      </c>
      <c r="S21" s="26">
        <f t="shared" si="1"/>
        <v>15383.27</v>
      </c>
      <c r="T21" s="30">
        <v>3564.82</v>
      </c>
      <c r="U21" s="243">
        <v>11818.45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6</v>
      </c>
      <c r="I23" s="62">
        <v>3</v>
      </c>
      <c r="J23" s="62">
        <v>3</v>
      </c>
      <c r="K23" s="62">
        <v>2554.9299999999998</v>
      </c>
      <c r="L23" s="27"/>
      <c r="M23" s="26">
        <f t="shared" si="0"/>
        <v>0</v>
      </c>
      <c r="N23" s="26"/>
      <c r="O23" s="31"/>
      <c r="P23" s="53">
        <v>3</v>
      </c>
      <c r="Q23" s="30">
        <v>4222.78</v>
      </c>
      <c r="R23" s="205">
        <v>1</v>
      </c>
      <c r="S23" s="26">
        <f t="shared" si="1"/>
        <v>1979.72</v>
      </c>
      <c r="T23" s="30">
        <v>1979.72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1</v>
      </c>
      <c r="Q24" s="68">
        <v>1921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9</v>
      </c>
      <c r="I25" s="203">
        <v>8</v>
      </c>
      <c r="J25" s="203">
        <v>12</v>
      </c>
      <c r="K25" s="65">
        <v>15701.6</v>
      </c>
      <c r="L25" s="51"/>
      <c r="M25" s="50">
        <f t="shared" si="0"/>
        <v>6428.44</v>
      </c>
      <c r="N25" s="50"/>
      <c r="O25" s="225">
        <v>6428.44</v>
      </c>
      <c r="P25" s="53">
        <v>12</v>
      </c>
      <c r="Q25" s="30">
        <v>19451.55</v>
      </c>
      <c r="R25" s="205">
        <v>4</v>
      </c>
      <c r="S25" s="26">
        <f t="shared" si="1"/>
        <v>12316.990000000002</v>
      </c>
      <c r="T25" s="30">
        <v>6437.97</v>
      </c>
      <c r="U25" s="243">
        <v>5879.02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4302</v>
      </c>
      <c r="T26" s="68">
        <v>4302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7"/>
      <c r="S27" s="26">
        <f t="shared" si="1"/>
        <v>2497.3000000000002</v>
      </c>
      <c r="T27" s="26"/>
      <c r="U27" s="243">
        <v>2497.3000000000002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14247.38</v>
      </c>
      <c r="T28" s="114">
        <v>14247.38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5744.16</v>
      </c>
      <c r="T29" s="26"/>
      <c r="U29" s="241">
        <v>5744.16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4</v>
      </c>
      <c r="I31" s="203">
        <v>2</v>
      </c>
      <c r="J31" s="203">
        <v>2</v>
      </c>
      <c r="K31" s="65">
        <v>2091.96</v>
      </c>
      <c r="L31" s="51"/>
      <c r="M31" s="50">
        <f t="shared" si="0"/>
        <v>0</v>
      </c>
      <c r="N31" s="50"/>
      <c r="O31" s="31"/>
      <c r="P31" s="108">
        <v>9</v>
      </c>
      <c r="Q31" s="65">
        <v>26163.18</v>
      </c>
      <c r="R31" s="224">
        <v>7</v>
      </c>
      <c r="S31" s="50">
        <f t="shared" si="1"/>
        <v>19258.7</v>
      </c>
      <c r="T31" s="65">
        <v>19258.7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44"/>
      <c r="M32" s="43">
        <f t="shared" si="0"/>
        <v>2497.3000000000002</v>
      </c>
      <c r="N32" s="43"/>
      <c r="O32" s="222">
        <v>2497.3000000000002</v>
      </c>
      <c r="P32" s="113">
        <v>3</v>
      </c>
      <c r="Q32" s="114">
        <v>4706.45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2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1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1</v>
      </c>
      <c r="S35" s="50">
        <f t="shared" si="2"/>
        <v>3647.94</v>
      </c>
      <c r="T35" s="65">
        <v>3647.94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1</v>
      </c>
      <c r="J36" s="208">
        <v>1</v>
      </c>
      <c r="K36" s="209">
        <v>1152.5999999999999</v>
      </c>
      <c r="L36" s="210"/>
      <c r="M36" s="211">
        <f t="shared" si="0"/>
        <v>1152.5999999999999</v>
      </c>
      <c r="N36" s="209"/>
      <c r="O36" s="212">
        <f>1152.6</f>
        <v>1152.5999999999999</v>
      </c>
      <c r="P36" s="304">
        <v>2</v>
      </c>
      <c r="Q36" s="209">
        <v>9182.3799999999992</v>
      </c>
      <c r="R36" s="210"/>
      <c r="S36" s="211">
        <f t="shared" si="2"/>
        <v>1428.75</v>
      </c>
      <c r="T36" s="209">
        <v>276.14999999999998</v>
      </c>
      <c r="U36" s="212">
        <f>1152.6</f>
        <v>1152.5999999999999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/>
      <c r="D37" s="374"/>
      <c r="E37" s="374"/>
      <c r="F37" s="22"/>
      <c r="G37" s="213" t="s">
        <v>24</v>
      </c>
      <c r="H37" s="119"/>
      <c r="I37" s="25"/>
      <c r="J37" s="25"/>
      <c r="K37" s="26"/>
      <c r="L37" s="27"/>
      <c r="M37" s="26">
        <f t="shared" si="0"/>
        <v>0</v>
      </c>
      <c r="N37" s="26"/>
      <c r="O37" s="28"/>
      <c r="P37" s="275"/>
      <c r="Q37" s="26"/>
      <c r="R37" s="27"/>
      <c r="S37" s="26">
        <f t="shared" si="2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0"/>
        <v>0</v>
      </c>
      <c r="N38" s="39"/>
      <c r="O38" s="41"/>
      <c r="P38" s="276"/>
      <c r="Q38" s="39"/>
      <c r="R38" s="40"/>
      <c r="S38" s="39">
        <f t="shared" si="2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0"/>
        <v>0</v>
      </c>
      <c r="N39" s="81"/>
      <c r="O39" s="219"/>
      <c r="P39" s="277"/>
      <c r="Q39" s="81"/>
      <c r="R39" s="80"/>
      <c r="S39" s="81">
        <f t="shared" si="2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0"/>
        <v>0</v>
      </c>
      <c r="N40" s="211"/>
      <c r="O40" s="212"/>
      <c r="P40" s="273"/>
      <c r="Q40" s="211"/>
      <c r="R40" s="210"/>
      <c r="S40" s="211">
        <f t="shared" si="2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0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2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0"/>
        <v>0</v>
      </c>
      <c r="N42" s="39"/>
      <c r="O42" s="41"/>
      <c r="P42" s="59"/>
      <c r="Q42" s="39"/>
      <c r="R42" s="40"/>
      <c r="S42" s="39">
        <f t="shared" si="2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7</v>
      </c>
      <c r="I43" s="266">
        <v>7</v>
      </c>
      <c r="J43" s="266">
        <v>7</v>
      </c>
      <c r="K43" s="79">
        <v>8433.7800000000007</v>
      </c>
      <c r="L43" s="80"/>
      <c r="M43" s="81">
        <f t="shared" si="0"/>
        <v>0</v>
      </c>
      <c r="N43" s="81"/>
      <c r="O43" s="97"/>
      <c r="P43" s="53">
        <v>20</v>
      </c>
      <c r="Q43" s="30">
        <v>79577.89</v>
      </c>
      <c r="R43" s="205">
        <v>8</v>
      </c>
      <c r="S43" s="26">
        <f t="shared" si="2"/>
        <v>53218.61</v>
      </c>
      <c r="T43" s="30">
        <v>44991.43</v>
      </c>
      <c r="U43" s="241">
        <v>8227.18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2</v>
      </c>
      <c r="I45" s="25"/>
      <c r="J45" s="25"/>
      <c r="K45" s="26"/>
      <c r="L45" s="27"/>
      <c r="M45" s="26">
        <f t="shared" si="0"/>
        <v>0</v>
      </c>
      <c r="N45" s="26"/>
      <c r="O45" s="28"/>
      <c r="P45" s="214"/>
      <c r="Q45" s="30"/>
      <c r="R45" s="27"/>
      <c r="S45" s="26">
        <f t="shared" si="2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3</v>
      </c>
      <c r="I46" s="261"/>
      <c r="J46" s="261"/>
      <c r="K46" s="211"/>
      <c r="L46" s="210"/>
      <c r="M46" s="211">
        <f t="shared" si="0"/>
        <v>0</v>
      </c>
      <c r="N46" s="211"/>
      <c r="O46" s="212"/>
      <c r="P46" s="280"/>
      <c r="Q46" s="209"/>
      <c r="R46" s="210"/>
      <c r="S46" s="211">
        <f t="shared" si="2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0"/>
        <v>0</v>
      </c>
      <c r="N47" s="26"/>
      <c r="O47" s="28"/>
      <c r="P47" s="275"/>
      <c r="Q47" s="26"/>
      <c r="R47" s="27"/>
      <c r="S47" s="26">
        <f t="shared" si="2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0"/>
        <v>0</v>
      </c>
      <c r="N48" s="39"/>
      <c r="O48" s="41"/>
      <c r="P48" s="276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0"/>
        <v>0</v>
      </c>
      <c r="N49" s="81"/>
      <c r="O49" s="82"/>
      <c r="P49" s="303"/>
      <c r="Q49" s="81"/>
      <c r="R49" s="80"/>
      <c r="S49" s="81">
        <f t="shared" si="2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0"/>
        <v>0</v>
      </c>
      <c r="N50" s="39"/>
      <c r="O50" s="41"/>
      <c r="P50" s="276"/>
      <c r="Q50" s="39"/>
      <c r="R50" s="40"/>
      <c r="S50" s="39">
        <f t="shared" si="2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0"/>
        <v>0</v>
      </c>
      <c r="N51" s="81"/>
      <c r="O51" s="97"/>
      <c r="P51" s="277"/>
      <c r="Q51" s="81"/>
      <c r="R51" s="80"/>
      <c r="S51" s="81">
        <f t="shared" si="2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0"/>
        <v>0</v>
      </c>
      <c r="N52" s="43"/>
      <c r="O52" s="58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1889.58</v>
      </c>
      <c r="L53" s="27"/>
      <c r="M53" s="26">
        <f t="shared" si="0"/>
        <v>0</v>
      </c>
      <c r="N53" s="26"/>
      <c r="O53" s="31"/>
      <c r="P53" s="108">
        <v>2</v>
      </c>
      <c r="Q53" s="65">
        <v>3734.91</v>
      </c>
      <c r="R53" s="224">
        <v>2</v>
      </c>
      <c r="S53" s="50">
        <f t="shared" si="2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0"/>
        <v>0</v>
      </c>
      <c r="N54" s="39"/>
      <c r="O54" s="41"/>
      <c r="P54" s="115">
        <v>6</v>
      </c>
      <c r="Q54" s="68">
        <v>11213.6</v>
      </c>
      <c r="R54" s="40"/>
      <c r="S54" s="39">
        <f t="shared" si="2"/>
        <v>2785.5</v>
      </c>
      <c r="T54" s="68">
        <v>2209.1999999999998</v>
      </c>
      <c r="U54" s="41">
        <f>576.3</f>
        <v>576.29999999999995</v>
      </c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1</v>
      </c>
      <c r="I55" s="203">
        <v>1</v>
      </c>
      <c r="J55" s="203">
        <v>1</v>
      </c>
      <c r="K55" s="65">
        <v>1973.25</v>
      </c>
      <c r="L55" s="51"/>
      <c r="M55" s="50">
        <f t="shared" si="0"/>
        <v>0</v>
      </c>
      <c r="N55" s="50"/>
      <c r="O55" s="31"/>
      <c r="P55" s="53">
        <v>2</v>
      </c>
      <c r="Q55" s="30">
        <v>5899.35</v>
      </c>
      <c r="R55" s="27"/>
      <c r="S55" s="26">
        <f t="shared" si="2"/>
        <v>1854.88</v>
      </c>
      <c r="T55" s="26"/>
      <c r="U55" s="243">
        <v>1854.88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0"/>
        <v>0</v>
      </c>
      <c r="N56" s="43"/>
      <c r="O56" s="41"/>
      <c r="P56" s="59"/>
      <c r="Q56" s="39"/>
      <c r="R56" s="40"/>
      <c r="S56" s="39">
        <f t="shared" si="2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6</v>
      </c>
      <c r="I57" s="62">
        <v>5</v>
      </c>
      <c r="J57" s="62">
        <v>6</v>
      </c>
      <c r="K57" s="30">
        <v>10625.63</v>
      </c>
      <c r="L57" s="27"/>
      <c r="M57" s="26">
        <f t="shared" si="0"/>
        <v>9831.69</v>
      </c>
      <c r="N57" s="26"/>
      <c r="O57" s="225">
        <v>9831.69</v>
      </c>
      <c r="P57" s="53">
        <v>6</v>
      </c>
      <c r="Q57" s="30">
        <v>45189.01</v>
      </c>
      <c r="R57" s="205">
        <v>1</v>
      </c>
      <c r="S57" s="26">
        <f t="shared" si="2"/>
        <v>23645.91</v>
      </c>
      <c r="T57" s="30">
        <v>1997.49</v>
      </c>
      <c r="U57" s="225">
        <v>21648.42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8"/>
      <c r="J58" s="38"/>
      <c r="K58" s="39"/>
      <c r="L58" s="40"/>
      <c r="M58" s="39">
        <f t="shared" si="0"/>
        <v>0</v>
      </c>
      <c r="N58" s="39"/>
      <c r="O58" s="41"/>
      <c r="P58" s="59"/>
      <c r="Q58" s="39"/>
      <c r="R58" s="40"/>
      <c r="S58" s="39">
        <f t="shared" si="2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11</v>
      </c>
      <c r="I59" s="203">
        <v>3</v>
      </c>
      <c r="J59" s="203">
        <v>4</v>
      </c>
      <c r="K59" s="65">
        <v>3534.63</v>
      </c>
      <c r="L59" s="51"/>
      <c r="M59" s="50">
        <f t="shared" si="0"/>
        <v>0</v>
      </c>
      <c r="N59" s="50"/>
      <c r="O59" s="31"/>
      <c r="P59" s="53">
        <v>31</v>
      </c>
      <c r="Q59" s="30">
        <v>70755.789999999994</v>
      </c>
      <c r="R59" s="205">
        <v>12</v>
      </c>
      <c r="S59" s="26">
        <f t="shared" si="2"/>
        <v>39611.06</v>
      </c>
      <c r="T59" s="30">
        <v>26448.86</v>
      </c>
      <c r="U59" s="243">
        <v>13162.2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0"/>
        <v>0</v>
      </c>
      <c r="N60" s="211"/>
      <c r="O60" s="212"/>
      <c r="P60" s="273"/>
      <c r="Q60" s="211"/>
      <c r="R60" s="210"/>
      <c r="S60" s="211">
        <f t="shared" si="2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/>
      <c r="I61" s="62"/>
      <c r="J61" s="62"/>
      <c r="K61" s="30"/>
      <c r="L61" s="27"/>
      <c r="M61" s="26">
        <f t="shared" si="0"/>
        <v>0</v>
      </c>
      <c r="N61" s="26"/>
      <c r="O61" s="28"/>
      <c r="P61" s="214"/>
      <c r="Q61" s="30"/>
      <c r="R61" s="27"/>
      <c r="S61" s="26">
        <f t="shared" si="2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3</v>
      </c>
      <c r="I62" s="208"/>
      <c r="J62" s="208"/>
      <c r="K62" s="209"/>
      <c r="L62" s="210"/>
      <c r="M62" s="211">
        <f t="shared" si="0"/>
        <v>0</v>
      </c>
      <c r="N62" s="211"/>
      <c r="O62" s="212"/>
      <c r="P62" s="280"/>
      <c r="Q62" s="209"/>
      <c r="R62" s="210"/>
      <c r="S62" s="211">
        <f t="shared" si="2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2</v>
      </c>
      <c r="I63" s="62"/>
      <c r="J63" s="62"/>
      <c r="K63" s="30"/>
      <c r="L63" s="27"/>
      <c r="M63" s="26">
        <f t="shared" si="0"/>
        <v>0</v>
      </c>
      <c r="N63" s="26"/>
      <c r="O63" s="28"/>
      <c r="P63" s="214"/>
      <c r="Q63" s="30"/>
      <c r="R63" s="27"/>
      <c r="S63" s="26">
        <f t="shared" si="2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0"/>
        <v>0</v>
      </c>
      <c r="N64" s="39"/>
      <c r="O64" s="41"/>
      <c r="P64" s="217"/>
      <c r="Q64" s="68"/>
      <c r="R64" s="40"/>
      <c r="S64" s="39">
        <f t="shared" si="2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768.4</v>
      </c>
      <c r="L65" s="80"/>
      <c r="M65" s="81">
        <f t="shared" si="0"/>
        <v>0</v>
      </c>
      <c r="N65" s="81"/>
      <c r="O65" s="219"/>
      <c r="P65" s="267">
        <v>4</v>
      </c>
      <c r="Q65" s="79">
        <v>6405.31</v>
      </c>
      <c r="R65" s="80"/>
      <c r="S65" s="81">
        <f t="shared" si="2"/>
        <v>3104.71</v>
      </c>
      <c r="T65" s="81"/>
      <c r="U65" s="269">
        <v>3104.71</v>
      </c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1</v>
      </c>
      <c r="J66" s="130">
        <v>1</v>
      </c>
      <c r="K66" s="114">
        <v>1344.7</v>
      </c>
      <c r="L66" s="128"/>
      <c r="M66" s="129">
        <f t="shared" si="0"/>
        <v>0</v>
      </c>
      <c r="N66" s="43"/>
      <c r="O66" s="45"/>
      <c r="P66" s="103"/>
      <c r="Q66" s="43"/>
      <c r="R66" s="128"/>
      <c r="S66" s="129">
        <f t="shared" si="2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3</v>
      </c>
      <c r="I67" s="62">
        <v>1</v>
      </c>
      <c r="J67" s="62">
        <v>1</v>
      </c>
      <c r="K67" s="30">
        <v>950.9</v>
      </c>
      <c r="L67" s="27"/>
      <c r="M67" s="26">
        <f t="shared" si="0"/>
        <v>0</v>
      </c>
      <c r="N67" s="26"/>
      <c r="O67" s="28"/>
      <c r="P67" s="29">
        <v>8</v>
      </c>
      <c r="Q67" s="30">
        <v>15651.3</v>
      </c>
      <c r="R67" s="205">
        <v>5</v>
      </c>
      <c r="S67" s="26">
        <f t="shared" si="2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69"/>
      <c r="Q68" s="39"/>
      <c r="R68" s="40"/>
      <c r="S68" s="39">
        <f t="shared" si="2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14</v>
      </c>
      <c r="Q69" s="65">
        <v>46342.05</v>
      </c>
      <c r="R69" s="224">
        <v>5</v>
      </c>
      <c r="S69" s="50">
        <f t="shared" si="2"/>
        <v>19918.689999999999</v>
      </c>
      <c r="T69" s="65">
        <v>19918.689999999999</v>
      </c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1</v>
      </c>
      <c r="I70" s="130"/>
      <c r="J70" s="130"/>
      <c r="K70" s="43"/>
      <c r="L70" s="44"/>
      <c r="M70" s="43">
        <f t="shared" si="0"/>
        <v>0</v>
      </c>
      <c r="N70" s="43"/>
      <c r="O70" s="41"/>
      <c r="P70" s="113">
        <v>1</v>
      </c>
      <c r="Q70" s="114">
        <v>2881.5</v>
      </c>
      <c r="R70" s="44"/>
      <c r="S70" s="43">
        <f t="shared" si="2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5</v>
      </c>
      <c r="I71" s="62">
        <v>2</v>
      </c>
      <c r="J71" s="62">
        <v>3</v>
      </c>
      <c r="K71" s="30">
        <v>6433.04</v>
      </c>
      <c r="L71" s="27"/>
      <c r="M71" s="26">
        <f t="shared" si="0"/>
        <v>0</v>
      </c>
      <c r="N71" s="26"/>
      <c r="O71" s="31"/>
      <c r="P71" s="29">
        <v>4</v>
      </c>
      <c r="Q71" s="30">
        <v>2984.28</v>
      </c>
      <c r="R71" s="27"/>
      <c r="S71" s="26">
        <f t="shared" si="2"/>
        <v>4026.42</v>
      </c>
      <c r="T71" s="26"/>
      <c r="U71" s="225">
        <v>4026.42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2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1</v>
      </c>
      <c r="J73" s="203">
        <v>1</v>
      </c>
      <c r="K73" s="65">
        <v>633.92999999999995</v>
      </c>
      <c r="L73" s="51"/>
      <c r="M73" s="50">
        <f t="shared" si="0"/>
        <v>633.92999999999995</v>
      </c>
      <c r="N73" s="50"/>
      <c r="O73" s="225">
        <v>633.92999999999995</v>
      </c>
      <c r="P73" s="123"/>
      <c r="Q73" s="50"/>
      <c r="R73" s="51"/>
      <c r="S73" s="50">
        <f t="shared" si="2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2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25"/>
      <c r="J75" s="25"/>
      <c r="K75" s="26"/>
      <c r="L75" s="27"/>
      <c r="M75" s="26">
        <f t="shared" si="0"/>
        <v>0</v>
      </c>
      <c r="N75" s="26"/>
      <c r="O75" s="31"/>
      <c r="P75" s="53">
        <v>1</v>
      </c>
      <c r="Q75" s="30">
        <v>1505.87</v>
      </c>
      <c r="R75" s="27"/>
      <c r="S75" s="26">
        <f t="shared" si="2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2</v>
      </c>
      <c r="I76" s="37">
        <v>1</v>
      </c>
      <c r="J76" s="37">
        <v>1</v>
      </c>
      <c r="K76" s="68">
        <v>576.29999999999995</v>
      </c>
      <c r="L76" s="40"/>
      <c r="M76" s="39">
        <f t="shared" si="0"/>
        <v>0</v>
      </c>
      <c r="N76" s="39"/>
      <c r="O76" s="41"/>
      <c r="P76" s="59"/>
      <c r="Q76" s="39"/>
      <c r="R76" s="40"/>
      <c r="S76" s="39">
        <f t="shared" si="2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8</v>
      </c>
      <c r="I77" s="203">
        <v>4</v>
      </c>
      <c r="J77" s="203">
        <v>4</v>
      </c>
      <c r="K77" s="65">
        <v>3878.5</v>
      </c>
      <c r="L77" s="51"/>
      <c r="M77" s="50">
        <f t="shared" si="0"/>
        <v>0</v>
      </c>
      <c r="N77" s="50"/>
      <c r="O77" s="31"/>
      <c r="P77" s="108">
        <v>6</v>
      </c>
      <c r="Q77" s="65">
        <v>19829.79</v>
      </c>
      <c r="R77" s="51"/>
      <c r="S77" s="50">
        <f t="shared" si="2"/>
        <v>16789.810000000001</v>
      </c>
      <c r="T77" s="50"/>
      <c r="U77" s="225">
        <v>16789.810000000001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2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18</v>
      </c>
      <c r="I79" s="62">
        <v>14</v>
      </c>
      <c r="J79" s="62">
        <v>21</v>
      </c>
      <c r="K79" s="30">
        <v>47136.57</v>
      </c>
      <c r="L79" s="27"/>
      <c r="M79" s="26">
        <f t="shared" si="0"/>
        <v>0</v>
      </c>
      <c r="N79" s="26"/>
      <c r="O79" s="31"/>
      <c r="P79" s="29">
        <v>22</v>
      </c>
      <c r="Q79" s="30">
        <v>65185.79</v>
      </c>
      <c r="R79" s="205">
        <v>5</v>
      </c>
      <c r="S79" s="26">
        <f t="shared" si="2"/>
        <v>23648.47</v>
      </c>
      <c r="T79" s="30">
        <v>10367.34</v>
      </c>
      <c r="U79" s="225">
        <v>13281.13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0"/>
        <v>0</v>
      </c>
      <c r="N80" s="211"/>
      <c r="O80" s="212"/>
      <c r="P80" s="284"/>
      <c r="Q80" s="211"/>
      <c r="R80" s="210"/>
      <c r="S80" s="211">
        <f t="shared" si="2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/>
      <c r="I81" s="62"/>
      <c r="J81" s="62"/>
      <c r="K81" s="30"/>
      <c r="L81" s="27"/>
      <c r="M81" s="26">
        <f t="shared" si="0"/>
        <v>0</v>
      </c>
      <c r="N81" s="26"/>
      <c r="O81" s="28"/>
      <c r="P81" s="214"/>
      <c r="Q81" s="30"/>
      <c r="R81" s="27"/>
      <c r="S81" s="26">
        <f t="shared" si="2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2</v>
      </c>
      <c r="I82" s="208"/>
      <c r="J82" s="208"/>
      <c r="K82" s="209"/>
      <c r="L82" s="210"/>
      <c r="M82" s="211">
        <f t="shared" si="0"/>
        <v>0</v>
      </c>
      <c r="N82" s="211"/>
      <c r="O82" s="212"/>
      <c r="P82" s="280"/>
      <c r="Q82" s="209"/>
      <c r="R82" s="210"/>
      <c r="S82" s="211">
        <f t="shared" si="2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0"/>
        <v>0</v>
      </c>
      <c r="N83" s="26"/>
      <c r="O83" s="28"/>
      <c r="P83" s="214"/>
      <c r="Q83" s="30"/>
      <c r="R83" s="27"/>
      <c r="S83" s="26">
        <f t="shared" si="2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0"/>
        <v>0</v>
      </c>
      <c r="N84" s="39"/>
      <c r="O84" s="41"/>
      <c r="P84" s="217"/>
      <c r="Q84" s="68"/>
      <c r="R84" s="40"/>
      <c r="S84" s="39">
        <f t="shared" si="2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6</v>
      </c>
      <c r="I85" s="266">
        <v>3</v>
      </c>
      <c r="J85" s="266">
        <v>4</v>
      </c>
      <c r="K85" s="79">
        <v>5917.36</v>
      </c>
      <c r="L85" s="80"/>
      <c r="M85" s="81">
        <f t="shared" si="0"/>
        <v>5917.36</v>
      </c>
      <c r="N85" s="81"/>
      <c r="O85" s="269">
        <v>5917.36</v>
      </c>
      <c r="P85" s="267">
        <v>9</v>
      </c>
      <c r="Q85" s="79">
        <v>14307.26</v>
      </c>
      <c r="R85" s="80"/>
      <c r="S85" s="81">
        <f t="shared" si="2"/>
        <v>10924.74</v>
      </c>
      <c r="T85" s="81"/>
      <c r="U85" s="269">
        <v>10924.74</v>
      </c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44"/>
      <c r="M86" s="43">
        <f t="shared" si="0"/>
        <v>1344.7</v>
      </c>
      <c r="N86" s="43"/>
      <c r="O86" s="234">
        <v>1344.7</v>
      </c>
      <c r="P86" s="103"/>
      <c r="Q86" s="43"/>
      <c r="R86" s="44"/>
      <c r="S86" s="43">
        <f t="shared" si="2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0"/>
        <v>0</v>
      </c>
      <c r="N87" s="26"/>
      <c r="O87" s="31"/>
      <c r="P87" s="120"/>
      <c r="Q87" s="26"/>
      <c r="R87" s="27"/>
      <c r="S87" s="26">
        <f t="shared" si="2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0"/>
        <v>0</v>
      </c>
      <c r="N88" s="39"/>
      <c r="O88" s="41"/>
      <c r="P88" s="69"/>
      <c r="Q88" s="39"/>
      <c r="R88" s="40"/>
      <c r="S88" s="39">
        <f t="shared" si="2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0"/>
        <v>0</v>
      </c>
      <c r="N89" s="50"/>
      <c r="O89" s="31"/>
      <c r="P89" s="108">
        <v>1</v>
      </c>
      <c r="Q89" s="65">
        <v>405.02</v>
      </c>
      <c r="R89" s="51"/>
      <c r="S89" s="50">
        <f t="shared" si="2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2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3</v>
      </c>
      <c r="Q91" s="30">
        <v>7652.33</v>
      </c>
      <c r="R91" s="205">
        <v>2</v>
      </c>
      <c r="S91" s="26">
        <f t="shared" si="2"/>
        <v>7652.33</v>
      </c>
      <c r="T91" s="30">
        <v>5673.46</v>
      </c>
      <c r="U91" s="225">
        <v>1978.87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2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11</v>
      </c>
      <c r="I93" s="62">
        <v>7</v>
      </c>
      <c r="J93" s="62">
        <v>7</v>
      </c>
      <c r="K93" s="30">
        <v>12418.66</v>
      </c>
      <c r="L93" s="27"/>
      <c r="M93" s="26">
        <f t="shared" si="0"/>
        <v>0</v>
      </c>
      <c r="N93" s="26"/>
      <c r="O93" s="31"/>
      <c r="P93" s="53">
        <v>7</v>
      </c>
      <c r="Q93" s="30">
        <v>25411.62</v>
      </c>
      <c r="R93" s="205">
        <v>2</v>
      </c>
      <c r="S93" s="26">
        <f t="shared" si="2"/>
        <v>5094.8</v>
      </c>
      <c r="T93" s="30">
        <v>5094.8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5</v>
      </c>
      <c r="I94" s="37">
        <v>2</v>
      </c>
      <c r="J94" s="37">
        <v>2</v>
      </c>
      <c r="K94" s="68">
        <v>2958.34</v>
      </c>
      <c r="L94" s="40"/>
      <c r="M94" s="39">
        <f t="shared" si="0"/>
        <v>1056.55</v>
      </c>
      <c r="N94" s="39"/>
      <c r="O94" s="234">
        <v>1056.55</v>
      </c>
      <c r="P94" s="115">
        <v>7</v>
      </c>
      <c r="Q94" s="68">
        <v>19517.36</v>
      </c>
      <c r="R94" s="285">
        <v>4</v>
      </c>
      <c r="S94" s="68">
        <v>19517.36</v>
      </c>
      <c r="T94" s="68">
        <v>10181.299999999999</v>
      </c>
      <c r="U94" s="234">
        <v>9336.06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1</v>
      </c>
      <c r="J95" s="203">
        <v>1</v>
      </c>
      <c r="K95" s="65">
        <v>697.32</v>
      </c>
      <c r="L95" s="51"/>
      <c r="M95" s="50">
        <f t="shared" si="0"/>
        <v>0</v>
      </c>
      <c r="N95" s="50"/>
      <c r="O95" s="31"/>
      <c r="P95" s="108">
        <v>4</v>
      </c>
      <c r="Q95" s="65">
        <v>38740.769999999997</v>
      </c>
      <c r="R95" s="224">
        <v>1</v>
      </c>
      <c r="S95" s="50">
        <f t="shared" ref="S95:S183" si="3">T95+U95</f>
        <v>4050.2</v>
      </c>
      <c r="T95" s="65">
        <v>4050.2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0"/>
        <v>0</v>
      </c>
      <c r="N96" s="43"/>
      <c r="O96" s="41"/>
      <c r="P96" s="103"/>
      <c r="Q96" s="43"/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25"/>
      <c r="J97" s="25"/>
      <c r="K97" s="26"/>
      <c r="L97" s="27"/>
      <c r="M97" s="26">
        <f t="shared" si="0"/>
        <v>0</v>
      </c>
      <c r="N97" s="26"/>
      <c r="O97" s="31"/>
      <c r="P97" s="53">
        <v>6</v>
      </c>
      <c r="Q97" s="30">
        <v>31199.119999999999</v>
      </c>
      <c r="R97" s="205">
        <v>2</v>
      </c>
      <c r="S97" s="26">
        <f t="shared" si="3"/>
        <v>23473.01</v>
      </c>
      <c r="T97" s="30">
        <v>3751.96</v>
      </c>
      <c r="U97" s="225">
        <v>19721.05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0"/>
        <v>0</v>
      </c>
      <c r="N98" s="43"/>
      <c r="O98" s="41"/>
      <c r="P98" s="103"/>
      <c r="Q98" s="43"/>
      <c r="R98" s="44"/>
      <c r="S98" s="43">
        <f t="shared" si="3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1</v>
      </c>
      <c r="I99" s="62">
        <v>1</v>
      </c>
      <c r="J99" s="62">
        <v>2</v>
      </c>
      <c r="K99" s="30">
        <v>4354.43</v>
      </c>
      <c r="L99" s="27"/>
      <c r="M99" s="26">
        <f t="shared" si="0"/>
        <v>0</v>
      </c>
      <c r="N99" s="26"/>
      <c r="O99" s="31"/>
      <c r="P99" s="53">
        <v>1</v>
      </c>
      <c r="Q99" s="30">
        <v>633.92999999999995</v>
      </c>
      <c r="R99" s="27"/>
      <c r="S99" s="26">
        <f t="shared" si="3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0"/>
        <v>0</v>
      </c>
      <c r="N100" s="43"/>
      <c r="O100" s="41"/>
      <c r="P100" s="103"/>
      <c r="Q100" s="43"/>
      <c r="R100" s="44"/>
      <c r="S100" s="43">
        <f t="shared" si="3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25"/>
      <c r="J101" s="25"/>
      <c r="K101" s="26"/>
      <c r="L101" s="27"/>
      <c r="M101" s="26">
        <f t="shared" si="0"/>
        <v>0</v>
      </c>
      <c r="N101" s="26"/>
      <c r="O101" s="31"/>
      <c r="P101" s="53">
        <v>16</v>
      </c>
      <c r="Q101" s="30">
        <v>34494.42</v>
      </c>
      <c r="R101" s="205">
        <v>4</v>
      </c>
      <c r="S101" s="26">
        <f t="shared" si="3"/>
        <v>15992.85</v>
      </c>
      <c r="T101" s="30">
        <v>9997.9500000000007</v>
      </c>
      <c r="U101" s="225">
        <v>5994.9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4</v>
      </c>
      <c r="I102" s="130">
        <v>2</v>
      </c>
      <c r="J102" s="130">
        <v>2</v>
      </c>
      <c r="K102" s="114">
        <v>2305.1999999999998</v>
      </c>
      <c r="L102" s="44"/>
      <c r="M102" s="43">
        <f t="shared" si="0"/>
        <v>2305.1999999999998</v>
      </c>
      <c r="N102" s="43"/>
      <c r="O102" s="234">
        <v>2305.1999999999998</v>
      </c>
      <c r="P102" s="113">
        <v>4</v>
      </c>
      <c r="Q102" s="114">
        <v>11577.6</v>
      </c>
      <c r="R102" s="44"/>
      <c r="S102" s="43">
        <f t="shared" si="3"/>
        <v>7159.3</v>
      </c>
      <c r="T102" s="43"/>
      <c r="U102" s="234">
        <v>7159.3</v>
      </c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3</v>
      </c>
      <c r="I103" s="62">
        <v>3</v>
      </c>
      <c r="J103" s="62">
        <v>3</v>
      </c>
      <c r="K103" s="30">
        <v>1118.98</v>
      </c>
      <c r="L103" s="27"/>
      <c r="M103" s="26">
        <f t="shared" si="0"/>
        <v>614.72</v>
      </c>
      <c r="N103" s="26"/>
      <c r="O103" s="225">
        <v>614.72</v>
      </c>
      <c r="P103" s="53">
        <v>7</v>
      </c>
      <c r="Q103" s="30">
        <v>12035.94</v>
      </c>
      <c r="R103" s="27"/>
      <c r="S103" s="26">
        <f t="shared" si="3"/>
        <v>7679.11</v>
      </c>
      <c r="T103" s="26"/>
      <c r="U103" s="225">
        <v>7679.11</v>
      </c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10"/>
      <c r="M104" s="211">
        <f t="shared" si="0"/>
        <v>1344.7</v>
      </c>
      <c r="N104" s="209">
        <v>1344.7</v>
      </c>
      <c r="O104" s="212"/>
      <c r="P104" s="103"/>
      <c r="Q104" s="43"/>
      <c r="R104" s="44"/>
      <c r="S104" s="43">
        <f t="shared" si="3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7</v>
      </c>
      <c r="I105" s="62">
        <v>4</v>
      </c>
      <c r="J105" s="62">
        <v>4</v>
      </c>
      <c r="K105" s="30">
        <v>4316.49</v>
      </c>
      <c r="L105" s="27"/>
      <c r="M105" s="26">
        <f t="shared" si="0"/>
        <v>2852.69</v>
      </c>
      <c r="N105" s="26"/>
      <c r="O105" s="241">
        <v>2852.69</v>
      </c>
      <c r="P105" s="214">
        <v>11</v>
      </c>
      <c r="Q105" s="30">
        <v>48272.61</v>
      </c>
      <c r="R105" s="205">
        <v>2</v>
      </c>
      <c r="S105" s="26">
        <f t="shared" si="3"/>
        <v>42354.030000000006</v>
      </c>
      <c r="T105" s="30">
        <v>1456.12</v>
      </c>
      <c r="U105" s="225">
        <v>40897.910000000003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4</v>
      </c>
      <c r="I106" s="286">
        <v>1</v>
      </c>
      <c r="J106" s="286">
        <v>1</v>
      </c>
      <c r="K106" s="287">
        <v>1921</v>
      </c>
      <c r="L106" s="288"/>
      <c r="M106" s="39">
        <f t="shared" si="0"/>
        <v>0</v>
      </c>
      <c r="N106" s="39"/>
      <c r="O106" s="41"/>
      <c r="P106" s="217">
        <v>3</v>
      </c>
      <c r="Q106" s="37">
        <v>7587.95</v>
      </c>
      <c r="R106" s="40"/>
      <c r="S106" s="39">
        <f t="shared" si="3"/>
        <v>4514.3499999999995</v>
      </c>
      <c r="T106" s="68">
        <v>1056.55</v>
      </c>
      <c r="U106" s="41">
        <f>2305.2+1152.6</f>
        <v>3457.7999999999997</v>
      </c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0"/>
        <v>0</v>
      </c>
      <c r="N107" s="81"/>
      <c r="O107" s="219"/>
      <c r="P107" s="108">
        <v>2</v>
      </c>
      <c r="Q107" s="65">
        <v>22972.83</v>
      </c>
      <c r="R107" s="224">
        <v>1</v>
      </c>
      <c r="S107" s="50">
        <f t="shared" si="3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0"/>
        <v>0</v>
      </c>
      <c r="N108" s="39"/>
      <c r="O108" s="41"/>
      <c r="P108" s="59"/>
      <c r="Q108" s="39"/>
      <c r="R108" s="40"/>
      <c r="S108" s="39">
        <f t="shared" si="3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5</v>
      </c>
      <c r="I109" s="203">
        <v>3</v>
      </c>
      <c r="J109" s="203">
        <v>4</v>
      </c>
      <c r="K109" s="65">
        <v>6748.97</v>
      </c>
      <c r="L109" s="51"/>
      <c r="M109" s="50">
        <f t="shared" si="0"/>
        <v>0</v>
      </c>
      <c r="N109" s="50"/>
      <c r="O109" s="31"/>
      <c r="P109" s="108">
        <v>9</v>
      </c>
      <c r="Q109" s="65">
        <v>19656.830000000002</v>
      </c>
      <c r="R109" s="224">
        <v>2</v>
      </c>
      <c r="S109" s="50">
        <f t="shared" si="3"/>
        <v>2175.5100000000002</v>
      </c>
      <c r="T109" s="65">
        <v>2175.5100000000002</v>
      </c>
      <c r="U109" s="3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128"/>
      <c r="M110" s="50">
        <f t="shared" si="0"/>
        <v>0</v>
      </c>
      <c r="N110" s="43"/>
      <c r="O110" s="41"/>
      <c r="P110" s="113">
        <v>2</v>
      </c>
      <c r="Q110" s="114">
        <v>8007.8</v>
      </c>
      <c r="R110" s="44"/>
      <c r="S110" s="43">
        <f t="shared" si="3"/>
        <v>8008.1</v>
      </c>
      <c r="T110" s="114">
        <v>4358.2</v>
      </c>
      <c r="U110" s="41">
        <f>3649.9</f>
        <v>3649.9</v>
      </c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1</v>
      </c>
      <c r="K111" s="30">
        <v>1133.98</v>
      </c>
      <c r="L111" s="27"/>
      <c r="M111" s="26">
        <f t="shared" si="0"/>
        <v>1133.98</v>
      </c>
      <c r="N111" s="26"/>
      <c r="O111" s="225">
        <v>1133.98</v>
      </c>
      <c r="P111" s="53">
        <v>5</v>
      </c>
      <c r="Q111" s="30">
        <v>7208.15</v>
      </c>
      <c r="R111" s="27"/>
      <c r="S111" s="26">
        <f t="shared" si="3"/>
        <v>7208.15</v>
      </c>
      <c r="T111" s="26"/>
      <c r="U111" s="225">
        <v>7208.15</v>
      </c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40"/>
      <c r="M112" s="39">
        <f t="shared" si="0"/>
        <v>0</v>
      </c>
      <c r="N112" s="39"/>
      <c r="O112" s="41"/>
      <c r="P112" s="115">
        <v>1</v>
      </c>
      <c r="Q112" s="68">
        <v>1377.7</v>
      </c>
      <c r="R112" s="40"/>
      <c r="S112" s="39">
        <f t="shared" si="3"/>
        <v>5378.8</v>
      </c>
      <c r="T112" s="39"/>
      <c r="U112" s="41">
        <f>5378.8</f>
        <v>5378.8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8</v>
      </c>
      <c r="I113" s="203">
        <v>3</v>
      </c>
      <c r="J113" s="203">
        <v>3</v>
      </c>
      <c r="K113" s="65">
        <v>5531.12</v>
      </c>
      <c r="L113" s="51"/>
      <c r="M113" s="50">
        <f t="shared" si="0"/>
        <v>0</v>
      </c>
      <c r="N113" s="50"/>
      <c r="O113" s="31"/>
      <c r="P113" s="108">
        <v>12</v>
      </c>
      <c r="Q113" s="65">
        <v>34895.910000000003</v>
      </c>
      <c r="R113" s="224">
        <v>3</v>
      </c>
      <c r="S113" s="50">
        <f t="shared" si="3"/>
        <v>6809.92</v>
      </c>
      <c r="T113" s="65">
        <v>6809.92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0"/>
        <v>0</v>
      </c>
      <c r="N114" s="43"/>
      <c r="O114" s="41"/>
      <c r="P114" s="103"/>
      <c r="Q114" s="43"/>
      <c r="R114" s="44"/>
      <c r="S114" s="43">
        <f t="shared" si="3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1</v>
      </c>
      <c r="I115" s="25"/>
      <c r="J115" s="25"/>
      <c r="K115" s="26"/>
      <c r="L115" s="27"/>
      <c r="M115" s="26">
        <f t="shared" si="0"/>
        <v>0</v>
      </c>
      <c r="N115" s="26"/>
      <c r="O115" s="31"/>
      <c r="P115" s="53">
        <v>7</v>
      </c>
      <c r="Q115" s="30">
        <v>22560.42</v>
      </c>
      <c r="R115" s="205">
        <v>5</v>
      </c>
      <c r="S115" s="26">
        <f t="shared" si="3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2</v>
      </c>
      <c r="I116" s="57"/>
      <c r="J116" s="57"/>
      <c r="K116" s="43"/>
      <c r="L116" s="44"/>
      <c r="M116" s="43">
        <f t="shared" si="0"/>
        <v>0</v>
      </c>
      <c r="N116" s="43"/>
      <c r="O116" s="41"/>
      <c r="P116" s="113">
        <v>1</v>
      </c>
      <c r="Q116" s="114">
        <v>576.29999999999995</v>
      </c>
      <c r="R116" s="44"/>
      <c r="S116" s="43">
        <f t="shared" si="3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3</v>
      </c>
      <c r="I117" s="62">
        <v>2</v>
      </c>
      <c r="J117" s="62">
        <v>2</v>
      </c>
      <c r="K117" s="30">
        <v>1331.25</v>
      </c>
      <c r="L117" s="27"/>
      <c r="M117" s="26">
        <f t="shared" si="0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3"/>
        <v>13277.84</v>
      </c>
      <c r="T117" s="30">
        <v>13277.84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3</v>
      </c>
      <c r="I118" s="246">
        <v>2</v>
      </c>
      <c r="J118" s="246">
        <v>2</v>
      </c>
      <c r="K118" s="158">
        <v>1152.5999999999999</v>
      </c>
      <c r="L118" s="143"/>
      <c r="M118" s="142">
        <f t="shared" si="0"/>
        <v>0</v>
      </c>
      <c r="N118" s="142"/>
      <c r="O118" s="45"/>
      <c r="P118" s="157">
        <v>3</v>
      </c>
      <c r="Q118" s="158">
        <v>6513.21</v>
      </c>
      <c r="R118" s="143"/>
      <c r="S118" s="142">
        <f t="shared" si="3"/>
        <v>288.14999999999998</v>
      </c>
      <c r="T118" s="142"/>
      <c r="U118" s="45">
        <f>288.15</f>
        <v>288.14999999999998</v>
      </c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8"/>
      <c r="J119" s="38"/>
      <c r="K119" s="39"/>
      <c r="L119" s="40"/>
      <c r="M119" s="39">
        <f t="shared" si="0"/>
        <v>0</v>
      </c>
      <c r="N119" s="39"/>
      <c r="O119" s="41"/>
      <c r="P119" s="59"/>
      <c r="Q119" s="39"/>
      <c r="R119" s="40"/>
      <c r="S119" s="39">
        <f t="shared" si="3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0"/>
        <v>0</v>
      </c>
      <c r="N120" s="50"/>
      <c r="O120" s="31"/>
      <c r="P120" s="108">
        <v>3</v>
      </c>
      <c r="Q120" s="65">
        <v>8431.9599999999991</v>
      </c>
      <c r="R120" s="224">
        <v>1</v>
      </c>
      <c r="S120" s="50">
        <f t="shared" si="3"/>
        <v>3034.34</v>
      </c>
      <c r="T120" s="65">
        <v>3034.34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0"/>
        <v>0</v>
      </c>
      <c r="N121" s="43"/>
      <c r="O121" s="41"/>
      <c r="P121" s="103"/>
      <c r="Q121" s="43"/>
      <c r="R121" s="44"/>
      <c r="S121" s="43">
        <f t="shared" si="3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22</v>
      </c>
      <c r="D122" s="374"/>
      <c r="E122" s="374" t="s">
        <v>112</v>
      </c>
      <c r="F122" s="22"/>
      <c r="G122" s="23" t="s">
        <v>24</v>
      </c>
      <c r="H122" s="48">
        <v>4</v>
      </c>
      <c r="I122" s="62">
        <v>2</v>
      </c>
      <c r="J122" s="62">
        <v>2</v>
      </c>
      <c r="K122" s="30">
        <v>1719.3</v>
      </c>
      <c r="L122" s="27"/>
      <c r="M122" s="26">
        <f t="shared" si="0"/>
        <v>0</v>
      </c>
      <c r="N122" s="26"/>
      <c r="O122" s="31"/>
      <c r="P122" s="53">
        <v>4</v>
      </c>
      <c r="Q122" s="30">
        <v>3732.5</v>
      </c>
      <c r="R122" s="27"/>
      <c r="S122" s="26">
        <f t="shared" si="3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3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8</v>
      </c>
      <c r="I124" s="62">
        <v>4</v>
      </c>
      <c r="J124" s="62">
        <v>6</v>
      </c>
      <c r="K124" s="30">
        <v>7683.53</v>
      </c>
      <c r="L124" s="27"/>
      <c r="M124" s="26">
        <f t="shared" si="0"/>
        <v>0</v>
      </c>
      <c r="N124" s="26"/>
      <c r="O124" s="31"/>
      <c r="P124" s="53">
        <v>10</v>
      </c>
      <c r="Q124" s="30">
        <v>27295.01</v>
      </c>
      <c r="R124" s="205">
        <v>2</v>
      </c>
      <c r="S124" s="26">
        <f t="shared" si="3"/>
        <v>14875.39</v>
      </c>
      <c r="T124" s="30">
        <v>7729.47</v>
      </c>
      <c r="U124" s="225">
        <v>7145.92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1</v>
      </c>
      <c r="J125" s="130">
        <v>1</v>
      </c>
      <c r="K125" s="114">
        <v>1152.5999999999999</v>
      </c>
      <c r="L125" s="44"/>
      <c r="M125" s="43">
        <f t="shared" si="0"/>
        <v>0</v>
      </c>
      <c r="N125" s="43"/>
      <c r="O125" s="45"/>
      <c r="P125" s="113">
        <v>2</v>
      </c>
      <c r="Q125" s="114">
        <v>5186.7</v>
      </c>
      <c r="R125" s="44"/>
      <c r="S125" s="43">
        <f t="shared" si="3"/>
        <v>5186.7</v>
      </c>
      <c r="T125" s="43"/>
      <c r="U125" s="41">
        <f>5186.7</f>
        <v>5186.7</v>
      </c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0"/>
        <v>0</v>
      </c>
      <c r="N126" s="26"/>
      <c r="O126" s="100"/>
      <c r="P126" s="120"/>
      <c r="Q126" s="26"/>
      <c r="R126" s="27"/>
      <c r="S126" s="26">
        <f t="shared" si="3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0"/>
        <v>0</v>
      </c>
      <c r="N127" s="39"/>
      <c r="O127" s="41"/>
      <c r="P127" s="6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5</v>
      </c>
      <c r="I128" s="62">
        <v>3</v>
      </c>
      <c r="J128" s="62">
        <v>3</v>
      </c>
      <c r="K128" s="30">
        <v>3189.98</v>
      </c>
      <c r="L128" s="27"/>
      <c r="M128" s="26">
        <f t="shared" si="0"/>
        <v>3189.98</v>
      </c>
      <c r="N128" s="26"/>
      <c r="O128" s="243">
        <v>3189.98</v>
      </c>
      <c r="P128" s="64">
        <v>2</v>
      </c>
      <c r="Q128" s="65">
        <v>3540.18</v>
      </c>
      <c r="R128" s="224">
        <v>1</v>
      </c>
      <c r="S128" s="50">
        <f t="shared" si="3"/>
        <v>3540.1800000000003</v>
      </c>
      <c r="T128" s="65">
        <v>2272.3200000000002</v>
      </c>
      <c r="U128" s="225">
        <v>1267.8599999999999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0"/>
        <v>0</v>
      </c>
      <c r="N129" s="39"/>
      <c r="O129" s="41"/>
      <c r="P129" s="69"/>
      <c r="Q129" s="39"/>
      <c r="R129" s="40"/>
      <c r="S129" s="39">
        <f t="shared" si="3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8</v>
      </c>
      <c r="I130" s="203">
        <v>6</v>
      </c>
      <c r="J130" s="203">
        <v>7</v>
      </c>
      <c r="K130" s="65">
        <v>17376.97</v>
      </c>
      <c r="L130" s="51"/>
      <c r="M130" s="50">
        <f t="shared" si="0"/>
        <v>0</v>
      </c>
      <c r="N130" s="50"/>
      <c r="O130" s="31"/>
      <c r="P130" s="108">
        <v>20</v>
      </c>
      <c r="Q130" s="65">
        <v>63607.14</v>
      </c>
      <c r="R130" s="224">
        <v>3</v>
      </c>
      <c r="S130" s="50">
        <f t="shared" si="3"/>
        <v>38442.76</v>
      </c>
      <c r="T130" s="65">
        <v>10009.61</v>
      </c>
      <c r="U130" s="225">
        <v>28433.15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0"/>
        <v>0</v>
      </c>
      <c r="N131" s="43"/>
      <c r="O131" s="41"/>
      <c r="P131" s="103"/>
      <c r="Q131" s="43"/>
      <c r="R131" s="44"/>
      <c r="S131" s="43">
        <f t="shared" si="3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7</v>
      </c>
      <c r="I132" s="25"/>
      <c r="J132" s="25"/>
      <c r="K132" s="26"/>
      <c r="L132" s="27"/>
      <c r="M132" s="26">
        <f t="shared" si="0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3"/>
        <v>21153.67</v>
      </c>
      <c r="T132" s="30">
        <v>21153.67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0"/>
        <v>0</v>
      </c>
      <c r="N133" s="39"/>
      <c r="O133" s="41"/>
      <c r="P133" s="59"/>
      <c r="Q133" s="39"/>
      <c r="R133" s="40"/>
      <c r="S133" s="39">
        <f t="shared" si="3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8</v>
      </c>
      <c r="I134" s="62">
        <v>3</v>
      </c>
      <c r="J134" s="62">
        <v>3</v>
      </c>
      <c r="K134" s="30">
        <v>2221.61</v>
      </c>
      <c r="L134" s="205">
        <v>3</v>
      </c>
      <c r="M134" s="26">
        <f t="shared" si="0"/>
        <v>2221.61</v>
      </c>
      <c r="N134" s="30">
        <v>2221.61</v>
      </c>
      <c r="O134" s="31"/>
      <c r="P134" s="53">
        <v>22</v>
      </c>
      <c r="Q134" s="30">
        <v>33029.54</v>
      </c>
      <c r="R134" s="205">
        <v>19</v>
      </c>
      <c r="S134" s="26">
        <f t="shared" si="3"/>
        <v>30301.71</v>
      </c>
      <c r="T134" s="30">
        <v>30301.71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10"/>
      <c r="M135" s="211">
        <f t="shared" si="0"/>
        <v>2401.25</v>
      </c>
      <c r="N135" s="211"/>
      <c r="O135" s="263">
        <v>2401.25</v>
      </c>
      <c r="P135" s="262">
        <v>3</v>
      </c>
      <c r="Q135" s="209">
        <v>7299.8</v>
      </c>
      <c r="R135" s="290">
        <v>1</v>
      </c>
      <c r="S135" s="209">
        <f t="shared" si="3"/>
        <v>4034.1</v>
      </c>
      <c r="T135" s="209">
        <v>4034.1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0"/>
        <v>0</v>
      </c>
      <c r="N136" s="26"/>
      <c r="O136" s="28"/>
      <c r="P136" s="214"/>
      <c r="Q136" s="30"/>
      <c r="R136" s="205"/>
      <c r="S136" s="26">
        <f t="shared" si="3"/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0"/>
        <v>0</v>
      </c>
      <c r="N137" s="39"/>
      <c r="O137" s="41"/>
      <c r="P137" s="217"/>
      <c r="Q137" s="68"/>
      <c r="R137" s="285"/>
      <c r="S137" s="39">
        <f t="shared" si="3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11</v>
      </c>
      <c r="I138" s="266">
        <v>6</v>
      </c>
      <c r="J138" s="266">
        <v>7</v>
      </c>
      <c r="K138" s="79">
        <v>9796.43</v>
      </c>
      <c r="L138" s="80"/>
      <c r="M138" s="81">
        <f t="shared" si="0"/>
        <v>0</v>
      </c>
      <c r="N138" s="81"/>
      <c r="O138" s="219"/>
      <c r="P138" s="267">
        <v>14</v>
      </c>
      <c r="Q138" s="79">
        <v>68482.759999999995</v>
      </c>
      <c r="R138" s="268">
        <v>6</v>
      </c>
      <c r="S138" s="81">
        <f t="shared" si="3"/>
        <v>29991.43</v>
      </c>
      <c r="T138" s="79">
        <v>29991.43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0"/>
        <v>0</v>
      </c>
      <c r="N139" s="39"/>
      <c r="O139" s="41"/>
      <c r="P139" s="59"/>
      <c r="Q139" s="39"/>
      <c r="R139" s="40"/>
      <c r="S139" s="39">
        <f t="shared" si="3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10</v>
      </c>
      <c r="I140" s="203">
        <v>5</v>
      </c>
      <c r="J140" s="203">
        <v>7</v>
      </c>
      <c r="K140" s="65">
        <v>11288.37</v>
      </c>
      <c r="L140" s="51"/>
      <c r="M140" s="50">
        <f t="shared" si="0"/>
        <v>0</v>
      </c>
      <c r="N140" s="50"/>
      <c r="O140" s="31"/>
      <c r="P140" s="108">
        <v>40</v>
      </c>
      <c r="Q140" s="65">
        <v>240230.76</v>
      </c>
      <c r="R140" s="224">
        <v>7</v>
      </c>
      <c r="S140" s="50">
        <f t="shared" si="3"/>
        <v>107444.04999999999</v>
      </c>
      <c r="T140" s="65">
        <v>74062.509999999995</v>
      </c>
      <c r="U140" s="225">
        <v>33381.54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0"/>
        <v>0</v>
      </c>
      <c r="N141" s="129"/>
      <c r="O141" s="45"/>
      <c r="P141" s="156"/>
      <c r="Q141" s="129"/>
      <c r="R141" s="128"/>
      <c r="S141" s="129">
        <f t="shared" si="3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0"/>
        <v>0</v>
      </c>
      <c r="N142" s="43"/>
      <c r="O142" s="41"/>
      <c r="P142" s="113">
        <v>1</v>
      </c>
      <c r="Q142" s="43"/>
      <c r="R142" s="44"/>
      <c r="S142" s="43">
        <f t="shared" si="3"/>
        <v>2305.1999999999998</v>
      </c>
      <c r="T142" s="114">
        <v>2305.1999999999998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150"/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0"/>
        <v>0</v>
      </c>
      <c r="N143" s="26"/>
      <c r="O143" s="31"/>
      <c r="P143" s="53">
        <v>15</v>
      </c>
      <c r="Q143" s="30">
        <v>11948.95</v>
      </c>
      <c r="R143" s="27"/>
      <c r="S143" s="26">
        <f t="shared" si="3"/>
        <v>0</v>
      </c>
      <c r="T143" s="26"/>
      <c r="U143" s="3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0"/>
        <v>2305.1999999999998</v>
      </c>
      <c r="N144" s="39"/>
      <c r="O144" s="41">
        <f>2305.2</f>
        <v>2305.1999999999998</v>
      </c>
      <c r="P144" s="115">
        <v>1</v>
      </c>
      <c r="Q144" s="68">
        <v>700</v>
      </c>
      <c r="R144" s="40"/>
      <c r="S144" s="39">
        <f t="shared" si="3"/>
        <v>1056.55</v>
      </c>
      <c r="T144" s="39"/>
      <c r="U144" s="41">
        <f>1056.55</f>
        <v>1056.55</v>
      </c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6</v>
      </c>
      <c r="I145" s="203">
        <v>3</v>
      </c>
      <c r="J145" s="203">
        <v>3</v>
      </c>
      <c r="K145" s="65">
        <v>3609.92</v>
      </c>
      <c r="L145" s="51"/>
      <c r="M145" s="50">
        <f t="shared" si="0"/>
        <v>0</v>
      </c>
      <c r="N145" s="50"/>
      <c r="O145" s="31"/>
      <c r="P145" s="108">
        <v>8</v>
      </c>
      <c r="Q145" s="65">
        <v>29582.03</v>
      </c>
      <c r="R145" s="51"/>
      <c r="S145" s="50">
        <f t="shared" si="3"/>
        <v>8462.64</v>
      </c>
      <c r="T145" s="50"/>
      <c r="U145" s="225">
        <v>8462.64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0"/>
        <v>1578.8</v>
      </c>
      <c r="N146" s="39"/>
      <c r="O146" s="41">
        <f>1578.8</f>
        <v>1578.8</v>
      </c>
      <c r="P146" s="115">
        <v>2</v>
      </c>
      <c r="Q146" s="68">
        <v>15088</v>
      </c>
      <c r="R146" s="40"/>
      <c r="S146" s="39">
        <f t="shared" si="3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3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03"/>
      <c r="Q148" s="43"/>
      <c r="R148" s="44"/>
      <c r="S148" s="43">
        <f t="shared" si="3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2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4</v>
      </c>
      <c r="Q149" s="30">
        <v>22885.21</v>
      </c>
      <c r="R149" s="27"/>
      <c r="S149" s="26">
        <f t="shared" si="3"/>
        <v>4085.52</v>
      </c>
      <c r="T149" s="26"/>
      <c r="U149" s="225">
        <v>4085.52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44"/>
      <c r="M150" s="43">
        <f t="shared" si="0"/>
        <v>1728.9</v>
      </c>
      <c r="N150" s="43"/>
      <c r="O150" s="234">
        <v>1728.9</v>
      </c>
      <c r="P150" s="113">
        <v>1</v>
      </c>
      <c r="Q150" s="114">
        <v>3457.8</v>
      </c>
      <c r="R150" s="44"/>
      <c r="S150" s="43">
        <f t="shared" si="3"/>
        <v>0</v>
      </c>
      <c r="T150" s="43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6</v>
      </c>
      <c r="I151" s="62">
        <v>4</v>
      </c>
      <c r="J151" s="62">
        <v>4</v>
      </c>
      <c r="K151" s="30">
        <v>3842.01</v>
      </c>
      <c r="L151" s="27"/>
      <c r="M151" s="26">
        <f t="shared" si="0"/>
        <v>0</v>
      </c>
      <c r="N151" s="26"/>
      <c r="O151" s="31"/>
      <c r="P151" s="53">
        <v>11</v>
      </c>
      <c r="Q151" s="30">
        <v>31846.83</v>
      </c>
      <c r="R151" s="205">
        <v>1</v>
      </c>
      <c r="S151" s="26">
        <f t="shared" si="3"/>
        <v>17204.46</v>
      </c>
      <c r="T151" s="30">
        <v>2697.08</v>
      </c>
      <c r="U151" s="225">
        <v>14507.38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0"/>
        <v>0</v>
      </c>
      <c r="N152" s="129"/>
      <c r="O152" s="45"/>
      <c r="P152" s="238">
        <v>7</v>
      </c>
      <c r="Q152" s="239">
        <v>11775.73</v>
      </c>
      <c r="R152" s="128"/>
      <c r="S152" s="129">
        <f t="shared" si="3"/>
        <v>7222.96</v>
      </c>
      <c r="T152" s="239">
        <v>288.14999999999998</v>
      </c>
      <c r="U152" s="45">
        <f>6934.81</f>
        <v>6934.81</v>
      </c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0"/>
        <v>0</v>
      </c>
      <c r="N153" s="43"/>
      <c r="O153" s="41"/>
      <c r="P153" s="103"/>
      <c r="Q153" s="43"/>
      <c r="R153" s="44"/>
      <c r="S153" s="43">
        <f t="shared" si="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5</v>
      </c>
      <c r="I154" s="25"/>
      <c r="J154" s="25"/>
      <c r="K154" s="26"/>
      <c r="L154" s="27"/>
      <c r="M154" s="26">
        <f t="shared" si="0"/>
        <v>0</v>
      </c>
      <c r="N154" s="26"/>
      <c r="O154" s="31"/>
      <c r="P154" s="99"/>
      <c r="Q154" s="26"/>
      <c r="R154" s="27"/>
      <c r="S154" s="26">
        <f t="shared" si="3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0"/>
        <v>0</v>
      </c>
      <c r="N155" s="39"/>
      <c r="O155" s="41"/>
      <c r="P155" s="59"/>
      <c r="Q155" s="39"/>
      <c r="R155" s="40"/>
      <c r="S155" s="39">
        <f t="shared" si="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6</v>
      </c>
      <c r="I156" s="203">
        <v>3</v>
      </c>
      <c r="J156" s="203">
        <v>3</v>
      </c>
      <c r="K156" s="65">
        <v>6564.06</v>
      </c>
      <c r="L156" s="51"/>
      <c r="M156" s="50">
        <f t="shared" si="0"/>
        <v>0</v>
      </c>
      <c r="N156" s="50"/>
      <c r="O156" s="31"/>
      <c r="P156" s="108">
        <v>5</v>
      </c>
      <c r="Q156" s="65">
        <v>27150.720000000001</v>
      </c>
      <c r="R156" s="224">
        <v>2</v>
      </c>
      <c r="S156" s="50">
        <f t="shared" si="3"/>
        <v>3694.33</v>
      </c>
      <c r="T156" s="65">
        <v>3694.33</v>
      </c>
      <c r="U156" s="3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6</v>
      </c>
      <c r="I157" s="139"/>
      <c r="J157" s="139"/>
      <c r="K157" s="142"/>
      <c r="L157" s="143"/>
      <c r="M157" s="142">
        <f t="shared" si="0"/>
        <v>0</v>
      </c>
      <c r="N157" s="142"/>
      <c r="O157" s="45"/>
      <c r="P157" s="157">
        <v>4</v>
      </c>
      <c r="Q157" s="158">
        <v>8625.2900000000009</v>
      </c>
      <c r="R157" s="51"/>
      <c r="S157" s="50">
        <f t="shared" si="3"/>
        <v>6224.04</v>
      </c>
      <c r="T157" s="158">
        <v>6224.04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0"/>
        <v>0</v>
      </c>
      <c r="N158" s="43"/>
      <c r="O158" s="41"/>
      <c r="P158" s="103"/>
      <c r="Q158" s="43"/>
      <c r="R158" s="44"/>
      <c r="S158" s="43">
        <f t="shared" si="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7</v>
      </c>
      <c r="I159" s="62">
        <v>2</v>
      </c>
      <c r="J159" s="62">
        <v>2</v>
      </c>
      <c r="K159" s="30">
        <v>1993.03</v>
      </c>
      <c r="L159" s="27"/>
      <c r="M159" s="26">
        <f t="shared" si="0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3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8"/>
      <c r="J160" s="38"/>
      <c r="K160" s="39"/>
      <c r="L160" s="40"/>
      <c r="M160" s="39">
        <f t="shared" si="0"/>
        <v>0</v>
      </c>
      <c r="N160" s="39"/>
      <c r="O160" s="41"/>
      <c r="P160" s="115">
        <v>2</v>
      </c>
      <c r="Q160" s="68">
        <v>3265.7</v>
      </c>
      <c r="R160" s="40"/>
      <c r="S160" s="39">
        <f t="shared" si="3"/>
        <v>1921</v>
      </c>
      <c r="T160" s="39"/>
      <c r="U160" s="41">
        <f>1921</f>
        <v>1921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3</v>
      </c>
      <c r="J161" s="203">
        <v>3</v>
      </c>
      <c r="K161" s="65">
        <v>7338.22</v>
      </c>
      <c r="L161" s="51"/>
      <c r="M161" s="50">
        <f t="shared" si="0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3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44"/>
      <c r="M162" s="43">
        <f t="shared" si="0"/>
        <v>0</v>
      </c>
      <c r="N162" s="43"/>
      <c r="O162" s="41"/>
      <c r="P162" s="113">
        <v>3</v>
      </c>
      <c r="Q162" s="114">
        <v>7203.75</v>
      </c>
      <c r="R162" s="44"/>
      <c r="S162" s="43">
        <f t="shared" si="3"/>
        <v>4802.5</v>
      </c>
      <c r="T162" s="114">
        <v>4802.5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4</v>
      </c>
      <c r="I163" s="62">
        <v>3</v>
      </c>
      <c r="J163" s="62">
        <v>4</v>
      </c>
      <c r="K163" s="30">
        <v>11839.32</v>
      </c>
      <c r="L163" s="27"/>
      <c r="M163" s="26">
        <f t="shared" si="0"/>
        <v>6365.22</v>
      </c>
      <c r="N163" s="26"/>
      <c r="O163" s="225">
        <v>6365.22</v>
      </c>
      <c r="P163" s="53">
        <v>9</v>
      </c>
      <c r="Q163" s="30">
        <v>21556.66</v>
      </c>
      <c r="R163" s="205">
        <v>2</v>
      </c>
      <c r="S163" s="26">
        <f t="shared" si="3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0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3"/>
        <v>10253.700000000001</v>
      </c>
      <c r="T164" s="114">
        <v>6269.7</v>
      </c>
      <c r="U164" s="45">
        <f>2401.2+1582.8</f>
        <v>3984</v>
      </c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3</v>
      </c>
      <c r="I165" s="62">
        <v>1</v>
      </c>
      <c r="J165" s="62">
        <v>1</v>
      </c>
      <c r="K165" s="30">
        <v>1045.98</v>
      </c>
      <c r="L165" s="27"/>
      <c r="M165" s="26">
        <f t="shared" si="0"/>
        <v>0</v>
      </c>
      <c r="N165" s="26"/>
      <c r="O165" s="159"/>
      <c r="P165" s="53">
        <v>3</v>
      </c>
      <c r="Q165" s="30">
        <v>20168.78</v>
      </c>
      <c r="R165" s="27"/>
      <c r="S165" s="26">
        <f t="shared" si="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0"/>
        <v>1728.9</v>
      </c>
      <c r="N166" s="211"/>
      <c r="O166" s="274">
        <f>1728.9</f>
        <v>1728.9</v>
      </c>
      <c r="P166" s="262">
        <v>2</v>
      </c>
      <c r="Q166" s="209">
        <v>2420.46</v>
      </c>
      <c r="R166" s="210"/>
      <c r="S166" s="211">
        <f t="shared" si="3"/>
        <v>0</v>
      </c>
      <c r="T166" s="211"/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0"/>
        <v>0</v>
      </c>
      <c r="N167" s="26"/>
      <c r="O167" s="28"/>
      <c r="P167" s="214"/>
      <c r="Q167" s="30"/>
      <c r="R167" s="205"/>
      <c r="S167" s="26">
        <f t="shared" si="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0"/>
        <v>0</v>
      </c>
      <c r="N168" s="39"/>
      <c r="O168" s="41"/>
      <c r="P168" s="217"/>
      <c r="Q168" s="68"/>
      <c r="R168" s="285"/>
      <c r="S168" s="39">
        <f t="shared" si="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3</v>
      </c>
      <c r="I169" s="96"/>
      <c r="J169" s="96"/>
      <c r="K169" s="81"/>
      <c r="L169" s="80"/>
      <c r="M169" s="81">
        <f t="shared" si="0"/>
        <v>0</v>
      </c>
      <c r="N169" s="81"/>
      <c r="O169" s="219"/>
      <c r="P169" s="267">
        <v>2</v>
      </c>
      <c r="Q169" s="79">
        <v>4427.91</v>
      </c>
      <c r="R169" s="268">
        <v>1</v>
      </c>
      <c r="S169" s="81">
        <f t="shared" si="3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5"/>
      <c r="P170" s="103"/>
      <c r="Q170" s="43"/>
      <c r="R170" s="44"/>
      <c r="S170" s="43">
        <f t="shared" si="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7"/>
      <c r="M171" s="26">
        <f t="shared" si="0"/>
        <v>524.91</v>
      </c>
      <c r="N171" s="26"/>
      <c r="O171" s="241">
        <v>524.91</v>
      </c>
      <c r="P171" s="53">
        <v>1</v>
      </c>
      <c r="Q171" s="30">
        <v>412.05</v>
      </c>
      <c r="R171" s="27"/>
      <c r="S171" s="26">
        <f t="shared" si="3"/>
        <v>412.05</v>
      </c>
      <c r="T171" s="26"/>
      <c r="U171" s="241">
        <v>412.05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0"/>
        <v>0</v>
      </c>
      <c r="N172" s="211"/>
      <c r="O172" s="212"/>
      <c r="P172" s="273"/>
      <c r="Q172" s="211"/>
      <c r="R172" s="210"/>
      <c r="S172" s="211">
        <f t="shared" si="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/>
      <c r="D173" s="374"/>
      <c r="E173" s="374"/>
      <c r="F173" s="204"/>
      <c r="G173" s="213" t="s">
        <v>24</v>
      </c>
      <c r="H173" s="24"/>
      <c r="I173" s="25"/>
      <c r="J173" s="25"/>
      <c r="K173" s="26"/>
      <c r="L173" s="27"/>
      <c r="M173" s="26">
        <f t="shared" si="0"/>
        <v>0</v>
      </c>
      <c r="N173" s="26"/>
      <c r="O173" s="28"/>
      <c r="P173" s="214"/>
      <c r="Q173" s="30"/>
      <c r="R173" s="205"/>
      <c r="S173" s="26">
        <f t="shared" si="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0"/>
        <v>0</v>
      </c>
      <c r="N174" s="39"/>
      <c r="O174" s="41"/>
      <c r="P174" s="217"/>
      <c r="Q174" s="68"/>
      <c r="R174" s="285"/>
      <c r="S174" s="39">
        <f t="shared" si="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96"/>
      <c r="J175" s="96"/>
      <c r="K175" s="81"/>
      <c r="L175" s="80"/>
      <c r="M175" s="81">
        <f t="shared" si="0"/>
        <v>0</v>
      </c>
      <c r="N175" s="81"/>
      <c r="O175" s="219"/>
      <c r="P175" s="267">
        <v>10</v>
      </c>
      <c r="Q175" s="79">
        <v>34311.440000000002</v>
      </c>
      <c r="R175" s="268">
        <v>4</v>
      </c>
      <c r="S175" s="81">
        <f t="shared" si="3"/>
        <v>16502.04</v>
      </c>
      <c r="T175" s="79">
        <v>16502.04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5</v>
      </c>
      <c r="I176" s="130">
        <v>1</v>
      </c>
      <c r="J176" s="130">
        <v>1</v>
      </c>
      <c r="K176" s="114">
        <v>2497.3000000000002</v>
      </c>
      <c r="L176" s="128"/>
      <c r="M176" s="50">
        <f t="shared" si="0"/>
        <v>0</v>
      </c>
      <c r="N176" s="43"/>
      <c r="O176" s="41"/>
      <c r="P176" s="113">
        <v>1</v>
      </c>
      <c r="Q176" s="114">
        <v>5426.7</v>
      </c>
      <c r="R176" s="44"/>
      <c r="S176" s="43">
        <f t="shared" si="3"/>
        <v>576.29999999999995</v>
      </c>
      <c r="T176" s="114">
        <v>576.29999999999995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5</v>
      </c>
      <c r="I177" s="62">
        <v>2</v>
      </c>
      <c r="J177" s="62">
        <v>2</v>
      </c>
      <c r="K177" s="30">
        <v>2437.75</v>
      </c>
      <c r="L177" s="27"/>
      <c r="M177" s="26">
        <f t="shared" si="0"/>
        <v>0</v>
      </c>
      <c r="N177" s="26"/>
      <c r="O177" s="31"/>
      <c r="P177" s="53">
        <v>9</v>
      </c>
      <c r="Q177" s="30">
        <v>29951.200000000001</v>
      </c>
      <c r="R177" s="205">
        <v>1</v>
      </c>
      <c r="S177" s="26">
        <f t="shared" si="3"/>
        <v>1267.8599999999999</v>
      </c>
      <c r="T177" s="30">
        <v>1267.8599999999999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2</v>
      </c>
      <c r="I178" s="57"/>
      <c r="J178" s="57"/>
      <c r="K178" s="43"/>
      <c r="L178" s="44"/>
      <c r="M178" s="43">
        <f t="shared" si="0"/>
        <v>0</v>
      </c>
      <c r="N178" s="43"/>
      <c r="O178" s="41"/>
      <c r="P178" s="115">
        <v>4</v>
      </c>
      <c r="Q178" s="68">
        <v>17865.3</v>
      </c>
      <c r="R178" s="40"/>
      <c r="S178" s="39">
        <f t="shared" si="3"/>
        <v>16520.600000000002</v>
      </c>
      <c r="T178" s="68">
        <v>576.29999999999995</v>
      </c>
      <c r="U178" s="41">
        <f>11910.2+4034.1</f>
        <v>15944.300000000001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12</v>
      </c>
      <c r="I179" s="62">
        <v>9</v>
      </c>
      <c r="J179" s="204">
        <v>10</v>
      </c>
      <c r="K179" s="30">
        <v>13304.08</v>
      </c>
      <c r="L179" s="27"/>
      <c r="M179" s="26">
        <f t="shared" si="0"/>
        <v>0</v>
      </c>
      <c r="N179" s="26"/>
      <c r="O179" s="31"/>
      <c r="P179" s="108">
        <v>20</v>
      </c>
      <c r="Q179" s="65">
        <v>57624.09</v>
      </c>
      <c r="R179" s="224">
        <v>5</v>
      </c>
      <c r="S179" s="50">
        <f t="shared" si="3"/>
        <v>17249.09</v>
      </c>
      <c r="T179" s="65">
        <v>17249.09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0"/>
        <v>0</v>
      </c>
      <c r="N180" s="211"/>
      <c r="O180" s="212"/>
      <c r="P180" s="262">
        <v>1</v>
      </c>
      <c r="Q180" s="209">
        <v>576.29999999999995</v>
      </c>
      <c r="R180" s="210"/>
      <c r="S180" s="211">
        <f t="shared" si="3"/>
        <v>1921</v>
      </c>
      <c r="T180" s="209">
        <v>1921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104"/>
      <c r="I181" s="25"/>
      <c r="J181" s="25"/>
      <c r="K181" s="162"/>
      <c r="L181" s="163"/>
      <c r="M181" s="162">
        <f t="shared" si="0"/>
        <v>0</v>
      </c>
      <c r="N181" s="162"/>
      <c r="O181" s="28"/>
      <c r="P181" s="275"/>
      <c r="Q181" s="26"/>
      <c r="R181" s="27"/>
      <c r="S181" s="26">
        <f t="shared" si="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2</v>
      </c>
      <c r="I182" s="38"/>
      <c r="J182" s="38"/>
      <c r="K182" s="164"/>
      <c r="L182" s="165"/>
      <c r="M182" s="164">
        <f t="shared" si="0"/>
        <v>0</v>
      </c>
      <c r="N182" s="164"/>
      <c r="O182" s="41"/>
      <c r="P182" s="276"/>
      <c r="Q182" s="39"/>
      <c r="R182" s="40"/>
      <c r="S182" s="39">
        <f t="shared" si="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0"/>
        <v>0</v>
      </c>
      <c r="N183" s="293"/>
      <c r="O183" s="82"/>
      <c r="P183" s="295"/>
      <c r="Q183" s="81"/>
      <c r="R183" s="80"/>
      <c r="S183" s="81">
        <f t="shared" si="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0"/>
        <v>0</v>
      </c>
      <c r="N184" s="164"/>
      <c r="O184" s="41"/>
      <c r="P184" s="67">
        <v>3</v>
      </c>
      <c r="Q184" s="68">
        <v>10841.33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7</v>
      </c>
      <c r="I185" s="203">
        <v>6</v>
      </c>
      <c r="J185" s="203">
        <v>8</v>
      </c>
      <c r="K185" s="242">
        <v>18700.09</v>
      </c>
      <c r="L185" s="167"/>
      <c r="M185" s="166">
        <f t="shared" si="0"/>
        <v>0</v>
      </c>
      <c r="N185" s="166"/>
      <c r="O185" s="31"/>
      <c r="P185" s="108">
        <v>6</v>
      </c>
      <c r="Q185" s="65">
        <v>34185.78</v>
      </c>
      <c r="R185" s="224">
        <v>4</v>
      </c>
      <c r="S185" s="50">
        <f t="shared" ref="S185:S204" si="4">T185+U185</f>
        <v>15452.64</v>
      </c>
      <c r="T185" s="65">
        <v>15452.64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11"/>
      <c r="I186" s="57"/>
      <c r="J186" s="57"/>
      <c r="K186" s="43"/>
      <c r="L186" s="44"/>
      <c r="M186" s="43">
        <f t="shared" si="0"/>
        <v>0</v>
      </c>
      <c r="N186" s="43"/>
      <c r="O186" s="41"/>
      <c r="P186" s="103"/>
      <c r="Q186" s="43"/>
      <c r="R186" s="44"/>
      <c r="S186" s="43">
        <f t="shared" si="4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1</v>
      </c>
      <c r="J187" s="62">
        <v>1</v>
      </c>
      <c r="K187" s="30">
        <v>2088.17</v>
      </c>
      <c r="L187" s="27"/>
      <c r="M187" s="26">
        <f t="shared" si="0"/>
        <v>0</v>
      </c>
      <c r="N187" s="26"/>
      <c r="O187" s="31"/>
      <c r="P187" s="53">
        <v>4</v>
      </c>
      <c r="Q187" s="30">
        <v>10125.48</v>
      </c>
      <c r="R187" s="205">
        <v>1</v>
      </c>
      <c r="S187" s="26">
        <f t="shared" si="4"/>
        <v>3759.09</v>
      </c>
      <c r="T187" s="30">
        <v>3759.09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0"/>
        <v>0</v>
      </c>
      <c r="N188" s="39"/>
      <c r="O188" s="41"/>
      <c r="P188" s="59"/>
      <c r="Q188" s="39"/>
      <c r="R188" s="40"/>
      <c r="S188" s="39">
        <f t="shared" si="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0"/>
        <v>0</v>
      </c>
      <c r="N189" s="50"/>
      <c r="O189" s="31"/>
      <c r="P189" s="108">
        <v>2</v>
      </c>
      <c r="Q189" s="65">
        <v>14241.9</v>
      </c>
      <c r="R189" s="51"/>
      <c r="S189" s="50">
        <f t="shared" si="4"/>
        <v>11832.5</v>
      </c>
      <c r="T189" s="50"/>
      <c r="U189" s="225">
        <v>11832.5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0"/>
        <v>0</v>
      </c>
      <c r="N190" s="43"/>
      <c r="O190" s="41"/>
      <c r="P190" s="103"/>
      <c r="Q190" s="43"/>
      <c r="R190" s="44"/>
      <c r="S190" s="43">
        <f t="shared" si="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0"/>
        <v>0</v>
      </c>
      <c r="N191" s="26"/>
      <c r="O191" s="31"/>
      <c r="P191" s="120"/>
      <c r="Q191" s="26"/>
      <c r="R191" s="27"/>
      <c r="S191" s="26">
        <f t="shared" si="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0"/>
        <v>0</v>
      </c>
      <c r="N192" s="39"/>
      <c r="O192" s="41"/>
      <c r="P192" s="69"/>
      <c r="Q192" s="39"/>
      <c r="R192" s="40"/>
      <c r="S192" s="39">
        <f t="shared" si="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7</v>
      </c>
      <c r="I193" s="203">
        <v>6</v>
      </c>
      <c r="J193" s="203">
        <v>6</v>
      </c>
      <c r="K193" s="65">
        <v>11123.36</v>
      </c>
      <c r="L193" s="51"/>
      <c r="M193" s="50">
        <f t="shared" si="0"/>
        <v>0</v>
      </c>
      <c r="N193" s="50"/>
      <c r="O193" s="31"/>
      <c r="P193" s="108">
        <v>6</v>
      </c>
      <c r="Q193" s="65">
        <v>12417.59</v>
      </c>
      <c r="R193" s="224">
        <v>1</v>
      </c>
      <c r="S193" s="50">
        <f t="shared" si="4"/>
        <v>2627.93</v>
      </c>
      <c r="T193" s="65">
        <v>2627.93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1</v>
      </c>
      <c r="I194" s="38"/>
      <c r="J194" s="38"/>
      <c r="K194" s="39"/>
      <c r="L194" s="40"/>
      <c r="M194" s="39">
        <f t="shared" si="0"/>
        <v>0</v>
      </c>
      <c r="N194" s="39"/>
      <c r="O194" s="41"/>
      <c r="P194" s="59"/>
      <c r="Q194" s="39"/>
      <c r="R194" s="40"/>
      <c r="S194" s="39">
        <f t="shared" si="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8</v>
      </c>
      <c r="I195" s="203">
        <v>3</v>
      </c>
      <c r="J195" s="203">
        <v>4</v>
      </c>
      <c r="K195" s="65">
        <v>5908.22</v>
      </c>
      <c r="L195" s="51"/>
      <c r="M195" s="50">
        <f t="shared" si="0"/>
        <v>0</v>
      </c>
      <c r="N195" s="50"/>
      <c r="O195" s="31"/>
      <c r="P195" s="108">
        <v>22</v>
      </c>
      <c r="Q195" s="65">
        <v>35606.5</v>
      </c>
      <c r="R195" s="224">
        <v>9</v>
      </c>
      <c r="S195" s="50">
        <f t="shared" si="4"/>
        <v>27671.879999999997</v>
      </c>
      <c r="T195" s="65">
        <v>12661.42</v>
      </c>
      <c r="U195" s="225">
        <v>15010.46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2</v>
      </c>
      <c r="I196" s="130">
        <v>1</v>
      </c>
      <c r="J196" s="130">
        <v>1</v>
      </c>
      <c r="K196" s="114">
        <v>1056.55</v>
      </c>
      <c r="L196" s="128"/>
      <c r="M196" s="50">
        <f t="shared" si="0"/>
        <v>0</v>
      </c>
      <c r="N196" s="43"/>
      <c r="O196" s="41"/>
      <c r="P196" s="113">
        <v>3</v>
      </c>
      <c r="Q196" s="114">
        <v>5551.69</v>
      </c>
      <c r="R196" s="44"/>
      <c r="S196" s="43">
        <f t="shared" si="4"/>
        <v>0</v>
      </c>
      <c r="T196" s="43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5</v>
      </c>
      <c r="I197" s="25"/>
      <c r="J197" s="25"/>
      <c r="K197" s="26"/>
      <c r="L197" s="27"/>
      <c r="M197" s="26">
        <f t="shared" si="0"/>
        <v>0</v>
      </c>
      <c r="N197" s="26"/>
      <c r="O197" s="31"/>
      <c r="P197" s="53">
        <v>3</v>
      </c>
      <c r="Q197" s="30">
        <v>8280.19</v>
      </c>
      <c r="R197" s="27"/>
      <c r="S197" s="26">
        <f t="shared" si="4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0"/>
        <v>0</v>
      </c>
      <c r="N198" s="39"/>
      <c r="O198" s="41"/>
      <c r="P198" s="59"/>
      <c r="Q198" s="39"/>
      <c r="R198" s="40"/>
      <c r="S198" s="39">
        <f t="shared" si="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0"/>
        <v>0</v>
      </c>
      <c r="N199" s="50"/>
      <c r="O199" s="31"/>
      <c r="P199" s="123"/>
      <c r="Q199" s="50"/>
      <c r="R199" s="51"/>
      <c r="S199" s="50">
        <f t="shared" si="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0"/>
        <v>0</v>
      </c>
      <c r="N200" s="50"/>
      <c r="O200" s="45"/>
      <c r="P200" s="123"/>
      <c r="Q200" s="50"/>
      <c r="R200" s="51"/>
      <c r="S200" s="50">
        <f t="shared" si="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0"/>
        <v>0</v>
      </c>
      <c r="N202" s="26"/>
      <c r="O202" s="31"/>
      <c r="P202" s="99"/>
      <c r="Q202" s="26"/>
      <c r="R202" s="27"/>
      <c r="S202" s="26">
        <f t="shared" si="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0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4"/>
        <v>5955.1</v>
      </c>
      <c r="T203" s="114">
        <v>4034.1</v>
      </c>
      <c r="U203" s="41">
        <f>1921</f>
        <v>1921</v>
      </c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0"/>
        <v>0</v>
      </c>
      <c r="N204" s="26"/>
      <c r="O204" s="31"/>
      <c r="P204" s="99"/>
      <c r="Q204" s="26"/>
      <c r="R204" s="27"/>
      <c r="S204" s="26">
        <f t="shared" si="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0"/>
        <v>0</v>
      </c>
      <c r="N206" s="50"/>
      <c r="O206" s="31"/>
      <c r="P206" s="108">
        <v>3</v>
      </c>
      <c r="Q206" s="65">
        <v>12689.15</v>
      </c>
      <c r="R206" s="51"/>
      <c r="S206" s="50">
        <f t="shared" ref="S206:S220" si="5">T206+U206</f>
        <v>2541.1999999999998</v>
      </c>
      <c r="T206" s="50"/>
      <c r="U206" s="225">
        <v>2541.1999999999998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0"/>
        <v>0</v>
      </c>
      <c r="N207" s="43"/>
      <c r="O207" s="45"/>
      <c r="P207" s="273"/>
      <c r="Q207" s="211"/>
      <c r="R207" s="210"/>
      <c r="S207" s="211">
        <f t="shared" si="5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7"/>
      <c r="M208" s="26">
        <f t="shared" si="0"/>
        <v>576.29999999999995</v>
      </c>
      <c r="N208" s="26"/>
      <c r="O208" s="308">
        <v>576.29999999999995</v>
      </c>
      <c r="P208" s="99"/>
      <c r="Q208" s="26"/>
      <c r="R208" s="27"/>
      <c r="S208" s="26">
        <f t="shared" si="5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3</v>
      </c>
      <c r="I209" s="37"/>
      <c r="J209" s="37"/>
      <c r="K209" s="39"/>
      <c r="L209" s="40"/>
      <c r="M209" s="39">
        <f t="shared" si="0"/>
        <v>0</v>
      </c>
      <c r="N209" s="39"/>
      <c r="O209" s="309"/>
      <c r="P209" s="310">
        <v>4</v>
      </c>
      <c r="Q209" s="245">
        <v>17154.53</v>
      </c>
      <c r="R209" s="40"/>
      <c r="S209" s="39">
        <f t="shared" si="5"/>
        <v>5186.7</v>
      </c>
      <c r="T209" s="68">
        <v>4034.1</v>
      </c>
      <c r="U209" s="41">
        <f>1152.6</f>
        <v>1152.5999999999999</v>
      </c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0"/>
        <v>0</v>
      </c>
      <c r="N210" s="50"/>
      <c r="O210" s="31"/>
      <c r="P210" s="277"/>
      <c r="Q210" s="81"/>
      <c r="R210" s="80"/>
      <c r="S210" s="81">
        <f t="shared" si="5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1</v>
      </c>
      <c r="I211" s="57"/>
      <c r="J211" s="57"/>
      <c r="K211" s="43"/>
      <c r="L211" s="44"/>
      <c r="M211" s="43">
        <f t="shared" si="0"/>
        <v>0</v>
      </c>
      <c r="N211" s="43"/>
      <c r="O211" s="41"/>
      <c r="P211" s="103"/>
      <c r="Q211" s="43"/>
      <c r="R211" s="128"/>
      <c r="S211" s="50">
        <f t="shared" si="5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5</v>
      </c>
      <c r="I212" s="62">
        <v>4</v>
      </c>
      <c r="J212" s="62">
        <v>7</v>
      </c>
      <c r="K212" s="30">
        <v>15928.13</v>
      </c>
      <c r="L212" s="27"/>
      <c r="M212" s="26">
        <f t="shared" si="0"/>
        <v>0</v>
      </c>
      <c r="N212" s="26"/>
      <c r="O212" s="31"/>
      <c r="P212" s="53">
        <v>17</v>
      </c>
      <c r="Q212" s="30">
        <v>46159.82</v>
      </c>
      <c r="R212" s="205">
        <v>2</v>
      </c>
      <c r="S212" s="26">
        <f t="shared" si="5"/>
        <v>22498.43</v>
      </c>
      <c r="T212" s="30">
        <v>5534.4</v>
      </c>
      <c r="U212" s="225">
        <v>16964.03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0"/>
        <v>0</v>
      </c>
      <c r="N213" s="39"/>
      <c r="O213" s="41"/>
      <c r="P213" s="59"/>
      <c r="Q213" s="39"/>
      <c r="R213" s="40"/>
      <c r="S213" s="39">
        <f t="shared" si="5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0"/>
        <v>0</v>
      </c>
      <c r="N214" s="50"/>
      <c r="O214" s="31"/>
      <c r="P214" s="108">
        <v>5</v>
      </c>
      <c r="Q214" s="65">
        <v>16087.92</v>
      </c>
      <c r="R214" s="224">
        <v>5</v>
      </c>
      <c r="S214" s="50">
        <f t="shared" si="5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0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5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9</v>
      </c>
      <c r="I216" s="62">
        <v>6</v>
      </c>
      <c r="J216" s="62">
        <v>6</v>
      </c>
      <c r="K216" s="30">
        <v>2766.26</v>
      </c>
      <c r="L216" s="27"/>
      <c r="M216" s="26">
        <f t="shared" si="0"/>
        <v>0</v>
      </c>
      <c r="N216" s="26"/>
      <c r="O216" s="31"/>
      <c r="P216" s="53">
        <v>26</v>
      </c>
      <c r="Q216" s="30">
        <v>35477.370000000003</v>
      </c>
      <c r="R216" s="205">
        <v>4</v>
      </c>
      <c r="S216" s="26">
        <f t="shared" si="5"/>
        <v>6109.65</v>
      </c>
      <c r="T216" s="30">
        <v>6109.65</v>
      </c>
      <c r="U216" s="30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1728.9</v>
      </c>
      <c r="R217" s="44"/>
      <c r="S217" s="43">
        <f t="shared" si="5"/>
        <v>1728.9</v>
      </c>
      <c r="T217" s="43"/>
      <c r="U217" s="234">
        <v>1728.9</v>
      </c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18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5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5</v>
      </c>
      <c r="I219" s="37">
        <v>1</v>
      </c>
      <c r="J219" s="37">
        <v>1</v>
      </c>
      <c r="K219" s="68">
        <v>1152.5999999999999</v>
      </c>
      <c r="L219" s="40"/>
      <c r="M219" s="39">
        <f t="shared" si="0"/>
        <v>1152.5999999999999</v>
      </c>
      <c r="N219" s="39"/>
      <c r="O219" s="234">
        <v>1152.5999999999999</v>
      </c>
      <c r="P219" s="115">
        <v>2</v>
      </c>
      <c r="Q219" s="68">
        <v>4942.5</v>
      </c>
      <c r="R219" s="40"/>
      <c r="S219" s="39">
        <f t="shared" si="5"/>
        <v>4942.5</v>
      </c>
      <c r="T219" s="39"/>
      <c r="U219" s="234">
        <v>4942.5</v>
      </c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8</v>
      </c>
      <c r="I220" s="203">
        <v>4</v>
      </c>
      <c r="J220" s="203">
        <v>5</v>
      </c>
      <c r="K220" s="65">
        <v>5845.61</v>
      </c>
      <c r="L220" s="51"/>
      <c r="M220" s="50">
        <f t="shared" si="0"/>
        <v>0</v>
      </c>
      <c r="N220" s="50"/>
      <c r="O220" s="31"/>
      <c r="P220" s="108">
        <v>16</v>
      </c>
      <c r="Q220" s="65">
        <v>50670.65</v>
      </c>
      <c r="R220" s="51"/>
      <c r="S220" s="50">
        <f t="shared" si="5"/>
        <v>24141.61</v>
      </c>
      <c r="T220" s="50"/>
      <c r="U220" s="225">
        <v>24141.61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5</v>
      </c>
      <c r="Q221" s="114">
        <v>24781.439999999999</v>
      </c>
      <c r="R221" s="270">
        <v>2</v>
      </c>
      <c r="S221" s="114">
        <v>19142.64</v>
      </c>
      <c r="T221" s="114">
        <v>13811.2</v>
      </c>
      <c r="U221" s="234">
        <v>5331.44</v>
      </c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2</v>
      </c>
      <c r="J222" s="62">
        <v>2</v>
      </c>
      <c r="K222" s="30">
        <v>1185.45</v>
      </c>
      <c r="L222" s="27"/>
      <c r="M222" s="26">
        <f t="shared" si="0"/>
        <v>0</v>
      </c>
      <c r="N222" s="26"/>
      <c r="O222" s="31"/>
      <c r="P222" s="53">
        <v>14</v>
      </c>
      <c r="Q222" s="30">
        <v>45509.18</v>
      </c>
      <c r="R222" s="205">
        <v>3</v>
      </c>
      <c r="S222" s="26">
        <f t="shared" ref="S222:S270" si="6">T222+U222</f>
        <v>19390.669999999998</v>
      </c>
      <c r="T222" s="30">
        <v>7081.87</v>
      </c>
      <c r="U222" s="225">
        <v>12308.8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1"/>
      <c r="P223" s="103"/>
      <c r="Q223" s="43"/>
      <c r="R223" s="44"/>
      <c r="S223" s="43">
        <f t="shared" si="6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1</v>
      </c>
      <c r="I224" s="25"/>
      <c r="J224" s="25"/>
      <c r="K224" s="26"/>
      <c r="L224" s="27"/>
      <c r="M224" s="26">
        <f t="shared" si="0"/>
        <v>0</v>
      </c>
      <c r="N224" s="26"/>
      <c r="O224" s="31"/>
      <c r="P224" s="120"/>
      <c r="Q224" s="26"/>
      <c r="R224" s="27"/>
      <c r="S224" s="26">
        <f t="shared" si="6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0"/>
        <v>0</v>
      </c>
      <c r="N225" s="43"/>
      <c r="O225" s="45"/>
      <c r="P225" s="42"/>
      <c r="Q225" s="43"/>
      <c r="R225" s="44"/>
      <c r="S225" s="43">
        <f t="shared" si="6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0"/>
        <v>0</v>
      </c>
      <c r="N226" s="26"/>
      <c r="O226" s="28"/>
      <c r="P226" s="120"/>
      <c r="Q226" s="26"/>
      <c r="R226" s="27"/>
      <c r="S226" s="26">
        <f t="shared" si="6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0"/>
        <v>0</v>
      </c>
      <c r="N227" s="211"/>
      <c r="O227" s="212"/>
      <c r="P227" s="284"/>
      <c r="Q227" s="211"/>
      <c r="R227" s="210"/>
      <c r="S227" s="211">
        <f t="shared" si="6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1</v>
      </c>
      <c r="I228" s="62"/>
      <c r="J228" s="62"/>
      <c r="K228" s="30"/>
      <c r="L228" s="27"/>
      <c r="M228" s="26">
        <f t="shared" si="0"/>
        <v>0</v>
      </c>
      <c r="N228" s="26"/>
      <c r="O228" s="28"/>
      <c r="P228" s="214"/>
      <c r="Q228" s="30"/>
      <c r="R228" s="205"/>
      <c r="S228" s="26">
        <f t="shared" si="6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3</v>
      </c>
      <c r="I229" s="37"/>
      <c r="J229" s="37"/>
      <c r="K229" s="68"/>
      <c r="L229" s="40"/>
      <c r="M229" s="39">
        <f t="shared" si="0"/>
        <v>0</v>
      </c>
      <c r="N229" s="39"/>
      <c r="O229" s="41"/>
      <c r="P229" s="217"/>
      <c r="Q229" s="68"/>
      <c r="R229" s="285"/>
      <c r="S229" s="39">
        <f t="shared" si="6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6</v>
      </c>
      <c r="K230" s="79">
        <v>3256.1</v>
      </c>
      <c r="L230" s="80"/>
      <c r="M230" s="81">
        <f t="shared" si="0"/>
        <v>0</v>
      </c>
      <c r="N230" s="81"/>
      <c r="O230" s="219"/>
      <c r="P230" s="267">
        <v>11</v>
      </c>
      <c r="Q230" s="79">
        <v>33980.25</v>
      </c>
      <c r="R230" s="268">
        <v>8</v>
      </c>
      <c r="S230" s="81">
        <f t="shared" si="6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0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6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14</v>
      </c>
      <c r="I232" s="62">
        <v>12</v>
      </c>
      <c r="J232" s="62">
        <v>13</v>
      </c>
      <c r="K232" s="30">
        <v>16335.82</v>
      </c>
      <c r="L232" s="27"/>
      <c r="M232" s="26">
        <f t="shared" si="0"/>
        <v>0</v>
      </c>
      <c r="N232" s="26"/>
      <c r="O232" s="31"/>
      <c r="P232" s="53">
        <v>7</v>
      </c>
      <c r="Q232" s="30">
        <v>33705.78</v>
      </c>
      <c r="R232" s="205">
        <v>2</v>
      </c>
      <c r="S232" s="26">
        <f t="shared" si="6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0"/>
        <v>0</v>
      </c>
      <c r="N233" s="39"/>
      <c r="O233" s="41"/>
      <c r="P233" s="115">
        <v>1</v>
      </c>
      <c r="Q233" s="68">
        <v>3073.6</v>
      </c>
      <c r="R233" s="40"/>
      <c r="S233" s="39">
        <f t="shared" si="6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2</v>
      </c>
      <c r="I234" s="49"/>
      <c r="J234" s="49"/>
      <c r="K234" s="50"/>
      <c r="L234" s="51"/>
      <c r="M234" s="50">
        <f t="shared" si="0"/>
        <v>0</v>
      </c>
      <c r="N234" s="50"/>
      <c r="O234" s="31"/>
      <c r="P234" s="108">
        <v>7</v>
      </c>
      <c r="Q234" s="65">
        <v>8094.01</v>
      </c>
      <c r="R234" s="51"/>
      <c r="S234" s="50">
        <f t="shared" si="6"/>
        <v>1319.81</v>
      </c>
      <c r="T234" s="50"/>
      <c r="U234" s="225">
        <v>1319.81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0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6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104"/>
      <c r="I236" s="25"/>
      <c r="J236" s="25"/>
      <c r="K236" s="26"/>
      <c r="L236" s="27"/>
      <c r="M236" s="26">
        <f t="shared" si="0"/>
        <v>0</v>
      </c>
      <c r="N236" s="26"/>
      <c r="O236" s="28"/>
      <c r="P236" s="275"/>
      <c r="Q236" s="26"/>
      <c r="R236" s="27"/>
      <c r="S236" s="26">
        <f t="shared" si="6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0"/>
        <v>0</v>
      </c>
      <c r="N237" s="39"/>
      <c r="O237" s="41"/>
      <c r="P237" s="276"/>
      <c r="Q237" s="39"/>
      <c r="R237" s="40"/>
      <c r="S237" s="39">
        <f t="shared" si="6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0"/>
        <v>0</v>
      </c>
      <c r="N238" s="81"/>
      <c r="O238" s="219"/>
      <c r="P238" s="277"/>
      <c r="Q238" s="81"/>
      <c r="R238" s="80"/>
      <c r="S238" s="81">
        <f t="shared" si="6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1</v>
      </c>
      <c r="J239" s="130">
        <v>1</v>
      </c>
      <c r="K239" s="114">
        <v>1921</v>
      </c>
      <c r="L239" s="44"/>
      <c r="M239" s="43">
        <f t="shared" si="0"/>
        <v>0</v>
      </c>
      <c r="N239" s="43"/>
      <c r="O239" s="41"/>
      <c r="P239" s="113">
        <v>2</v>
      </c>
      <c r="Q239" s="114">
        <v>2958.34</v>
      </c>
      <c r="R239" s="44"/>
      <c r="S239" s="43">
        <f t="shared" si="6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0"/>
        <v>0</v>
      </c>
      <c r="N240" s="26"/>
      <c r="O240" s="31"/>
      <c r="P240" s="53">
        <v>2</v>
      </c>
      <c r="Q240" s="30">
        <v>2633.4</v>
      </c>
      <c r="R240" s="205">
        <v>1</v>
      </c>
      <c r="S240" s="26">
        <f t="shared" si="6"/>
        <v>2633.4</v>
      </c>
      <c r="T240" s="30">
        <v>1288.7</v>
      </c>
      <c r="U240" s="225">
        <v>1344.7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2</v>
      </c>
      <c r="I241" s="57"/>
      <c r="J241" s="57"/>
      <c r="K241" s="43"/>
      <c r="L241" s="44"/>
      <c r="M241" s="43">
        <f t="shared" si="0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6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4</v>
      </c>
      <c r="I242" s="62">
        <v>2</v>
      </c>
      <c r="J242" s="62">
        <v>2</v>
      </c>
      <c r="K242" s="30">
        <v>3562.05</v>
      </c>
      <c r="L242" s="27"/>
      <c r="M242" s="26">
        <f t="shared" si="0"/>
        <v>0</v>
      </c>
      <c r="N242" s="26"/>
      <c r="O242" s="31"/>
      <c r="P242" s="53">
        <v>12</v>
      </c>
      <c r="Q242" s="30">
        <v>25040</v>
      </c>
      <c r="R242" s="205">
        <v>3</v>
      </c>
      <c r="S242" s="26">
        <f t="shared" si="6"/>
        <v>6447.76</v>
      </c>
      <c r="T242" s="30">
        <v>6447.76</v>
      </c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5</v>
      </c>
      <c r="I243" s="38"/>
      <c r="J243" s="38"/>
      <c r="K243" s="39"/>
      <c r="L243" s="40"/>
      <c r="M243" s="39">
        <f t="shared" si="0"/>
        <v>0</v>
      </c>
      <c r="N243" s="39"/>
      <c r="O243" s="41"/>
      <c r="P243" s="59"/>
      <c r="Q243" s="39"/>
      <c r="R243" s="40"/>
      <c r="S243" s="39">
        <f t="shared" si="6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10</v>
      </c>
      <c r="I244" s="203">
        <v>8</v>
      </c>
      <c r="J244" s="203">
        <v>10</v>
      </c>
      <c r="K244" s="65">
        <v>11647.22</v>
      </c>
      <c r="L244" s="51"/>
      <c r="M244" s="50">
        <f t="shared" si="0"/>
        <v>2218.7600000000002</v>
      </c>
      <c r="N244" s="50"/>
      <c r="O244" s="225">
        <v>2218.7600000000002</v>
      </c>
      <c r="P244" s="108">
        <v>17</v>
      </c>
      <c r="Q244" s="65">
        <v>44479.839999999997</v>
      </c>
      <c r="R244" s="224">
        <v>1</v>
      </c>
      <c r="S244" s="50">
        <f t="shared" si="6"/>
        <v>25044.9</v>
      </c>
      <c r="T244" s="65">
        <v>1046.6300000000001</v>
      </c>
      <c r="U244" s="225">
        <v>23998.27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0"/>
        <v>0</v>
      </c>
      <c r="N245" s="43"/>
      <c r="O245" s="41"/>
      <c r="P245" s="113">
        <v>2</v>
      </c>
      <c r="Q245" s="114">
        <v>15252.74</v>
      </c>
      <c r="R245" s="44"/>
      <c r="S245" s="43">
        <f t="shared" si="6"/>
        <v>2996.76</v>
      </c>
      <c r="T245" s="43"/>
      <c r="U245" s="234">
        <v>2996.76</v>
      </c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188</v>
      </c>
      <c r="C246" s="374" t="s">
        <v>39</v>
      </c>
      <c r="D246" s="374"/>
      <c r="E246" s="374" t="s">
        <v>27</v>
      </c>
      <c r="F246" s="22"/>
      <c r="G246" s="176" t="s">
        <v>24</v>
      </c>
      <c r="H246" s="151">
        <v>1</v>
      </c>
      <c r="I246" s="25"/>
      <c r="J246" s="25"/>
      <c r="K246" s="26"/>
      <c r="L246" s="27"/>
      <c r="M246" s="26">
        <f t="shared" si="0"/>
        <v>0</v>
      </c>
      <c r="N246" s="26"/>
      <c r="O246" s="31"/>
      <c r="P246" s="99"/>
      <c r="Q246" s="26"/>
      <c r="R246" s="27"/>
      <c r="S246" s="26">
        <f t="shared" si="6"/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20.25" customHeight="1">
      <c r="A247" s="373"/>
      <c r="B247" s="375"/>
      <c r="C247" s="375"/>
      <c r="D247" s="375"/>
      <c r="E247" s="375"/>
      <c r="F247" s="220" t="s">
        <v>344</v>
      </c>
      <c r="G247" s="229" t="s">
        <v>28</v>
      </c>
      <c r="H247" s="56">
        <v>2</v>
      </c>
      <c r="I247" s="57"/>
      <c r="J247" s="57"/>
      <c r="K247" s="43"/>
      <c r="L247" s="44"/>
      <c r="M247" s="43">
        <f t="shared" si="0"/>
        <v>0</v>
      </c>
      <c r="N247" s="43"/>
      <c r="O247" s="45"/>
      <c r="P247" s="113">
        <v>11</v>
      </c>
      <c r="Q247" s="114">
        <v>13054.9</v>
      </c>
      <c r="R247" s="44"/>
      <c r="S247" s="43">
        <f t="shared" si="6"/>
        <v>4050.2</v>
      </c>
      <c r="T247" s="114">
        <v>4050.2</v>
      </c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189</v>
      </c>
      <c r="C248" s="374" t="s">
        <v>39</v>
      </c>
      <c r="D248" s="374" t="s">
        <v>427</v>
      </c>
      <c r="E248" s="374" t="s">
        <v>27</v>
      </c>
      <c r="F248" s="232" t="s">
        <v>428</v>
      </c>
      <c r="G248" s="23" t="s">
        <v>24</v>
      </c>
      <c r="H248" s="24">
        <v>9</v>
      </c>
      <c r="I248" s="62">
        <v>4</v>
      </c>
      <c r="J248" s="62">
        <v>6</v>
      </c>
      <c r="K248" s="30">
        <v>9191.0300000000007</v>
      </c>
      <c r="L248" s="27"/>
      <c r="M248" s="26">
        <f t="shared" si="0"/>
        <v>2828.68</v>
      </c>
      <c r="N248" s="26"/>
      <c r="O248" s="241">
        <v>2828.68</v>
      </c>
      <c r="P248" s="29">
        <v>2</v>
      </c>
      <c r="Q248" s="30">
        <v>1870.81</v>
      </c>
      <c r="R248" s="27"/>
      <c r="S248" s="26">
        <f t="shared" si="6"/>
        <v>1870.81</v>
      </c>
      <c r="T248" s="26"/>
      <c r="U248" s="241">
        <v>1870.81</v>
      </c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256</v>
      </c>
      <c r="G249" s="35" t="s">
        <v>28</v>
      </c>
      <c r="H249" s="66">
        <v>3</v>
      </c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6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190</v>
      </c>
      <c r="C250" s="381" t="s">
        <v>39</v>
      </c>
      <c r="D250" s="381" t="s">
        <v>191</v>
      </c>
      <c r="E250" s="381" t="s">
        <v>27</v>
      </c>
      <c r="F250" s="46"/>
      <c r="G250" s="47" t="s">
        <v>24</v>
      </c>
      <c r="H250" s="98"/>
      <c r="I250" s="49"/>
      <c r="J250" s="49"/>
      <c r="K250" s="50"/>
      <c r="L250" s="51"/>
      <c r="M250" s="50">
        <f t="shared" si="0"/>
        <v>0</v>
      </c>
      <c r="N250" s="50"/>
      <c r="O250" s="31"/>
      <c r="P250" s="123"/>
      <c r="Q250" s="50"/>
      <c r="R250" s="51"/>
      <c r="S250" s="50">
        <f t="shared" si="6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345</v>
      </c>
      <c r="G251" s="35" t="s">
        <v>28</v>
      </c>
      <c r="H251" s="112">
        <v>2</v>
      </c>
      <c r="I251" s="57"/>
      <c r="J251" s="57"/>
      <c r="K251" s="43"/>
      <c r="L251" s="44"/>
      <c r="M251" s="43">
        <f t="shared" si="0"/>
        <v>0</v>
      </c>
      <c r="N251" s="43"/>
      <c r="O251" s="45"/>
      <c r="P251" s="115">
        <v>4</v>
      </c>
      <c r="Q251" s="68">
        <v>5106.7</v>
      </c>
      <c r="R251" s="40"/>
      <c r="S251" s="39">
        <f t="shared" si="6"/>
        <v>6739.58</v>
      </c>
      <c r="T251" s="68">
        <v>3818</v>
      </c>
      <c r="U251" s="41">
        <f>2921.58</f>
        <v>2921.58</v>
      </c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192</v>
      </c>
      <c r="C252" s="374" t="s">
        <v>22</v>
      </c>
      <c r="D252" s="374"/>
      <c r="E252" s="374" t="s">
        <v>193</v>
      </c>
      <c r="F252" s="204" t="s">
        <v>318</v>
      </c>
      <c r="G252" s="176" t="s">
        <v>24</v>
      </c>
      <c r="H252" s="61">
        <v>5</v>
      </c>
      <c r="I252" s="62">
        <v>4</v>
      </c>
      <c r="J252" s="62">
        <v>4</v>
      </c>
      <c r="K252" s="30">
        <v>4934.76</v>
      </c>
      <c r="L252" s="27"/>
      <c r="M252" s="26">
        <f t="shared" si="0"/>
        <v>0</v>
      </c>
      <c r="N252" s="26"/>
      <c r="O252" s="100"/>
      <c r="P252" s="64">
        <v>17</v>
      </c>
      <c r="Q252" s="65">
        <v>46158.400000000001</v>
      </c>
      <c r="R252" s="224">
        <v>9</v>
      </c>
      <c r="S252" s="50">
        <f t="shared" si="6"/>
        <v>32753.78</v>
      </c>
      <c r="T252" s="65">
        <v>15520.42</v>
      </c>
      <c r="U252" s="225">
        <v>17233.36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346</v>
      </c>
      <c r="G253" s="229" t="s">
        <v>28</v>
      </c>
      <c r="H253" s="133">
        <v>1</v>
      </c>
      <c r="I253" s="37">
        <v>1</v>
      </c>
      <c r="J253" s="37">
        <v>1</v>
      </c>
      <c r="K253" s="68">
        <v>1728.9</v>
      </c>
      <c r="L253" s="40"/>
      <c r="M253" s="39">
        <f t="shared" si="0"/>
        <v>0</v>
      </c>
      <c r="N253" s="39"/>
      <c r="O253" s="41"/>
      <c r="P253" s="42"/>
      <c r="Q253" s="43"/>
      <c r="R253" s="44"/>
      <c r="S253" s="43">
        <f t="shared" si="6"/>
        <v>0</v>
      </c>
      <c r="T253" s="43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194</v>
      </c>
      <c r="C254" s="377" t="s">
        <v>39</v>
      </c>
      <c r="D254" s="377" t="s">
        <v>319</v>
      </c>
      <c r="E254" s="374" t="s">
        <v>160</v>
      </c>
      <c r="F254" s="232" t="s">
        <v>320</v>
      </c>
      <c r="G254" s="23" t="s">
        <v>24</v>
      </c>
      <c r="H254" s="48">
        <v>5</v>
      </c>
      <c r="I254" s="203">
        <v>3</v>
      </c>
      <c r="J254" s="203">
        <v>3</v>
      </c>
      <c r="K254" s="65">
        <v>2090.2399999999998</v>
      </c>
      <c r="L254" s="128"/>
      <c r="M254" s="129">
        <f t="shared" si="0"/>
        <v>288.14999999999998</v>
      </c>
      <c r="N254" s="50"/>
      <c r="O254" s="225">
        <v>288.14999999999998</v>
      </c>
      <c r="P254" s="29">
        <v>3</v>
      </c>
      <c r="Q254" s="30">
        <v>6107.21</v>
      </c>
      <c r="R254" s="205">
        <v>2</v>
      </c>
      <c r="S254" s="26">
        <f t="shared" si="6"/>
        <v>6107.21</v>
      </c>
      <c r="T254" s="30">
        <v>2951.62</v>
      </c>
      <c r="U254" s="225">
        <v>3155.59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347</v>
      </c>
      <c r="G255" s="35" t="s">
        <v>28</v>
      </c>
      <c r="H255" s="117">
        <v>1</v>
      </c>
      <c r="I255" s="37"/>
      <c r="J255" s="37"/>
      <c r="K255" s="39"/>
      <c r="L255" s="44"/>
      <c r="M255" s="43">
        <f t="shared" si="0"/>
        <v>0</v>
      </c>
      <c r="N255" s="39"/>
      <c r="O255" s="41"/>
      <c r="P255" s="37">
        <v>5</v>
      </c>
      <c r="Q255" s="37">
        <v>12038.63</v>
      </c>
      <c r="R255" s="40"/>
      <c r="S255" s="39">
        <f t="shared" si="6"/>
        <v>4621.6400000000003</v>
      </c>
      <c r="T255" s="68">
        <v>576.29999999999995</v>
      </c>
      <c r="U255" s="234">
        <v>4045.34</v>
      </c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195</v>
      </c>
      <c r="C256" s="377" t="s">
        <v>39</v>
      </c>
      <c r="D256" s="377" t="s">
        <v>231</v>
      </c>
      <c r="E256" s="381" t="s">
        <v>27</v>
      </c>
      <c r="F256" s="204" t="s">
        <v>232</v>
      </c>
      <c r="G256" s="47" t="s">
        <v>24</v>
      </c>
      <c r="H256" s="61">
        <v>1</v>
      </c>
      <c r="I256" s="25"/>
      <c r="J256" s="25"/>
      <c r="K256" s="26"/>
      <c r="L256" s="27"/>
      <c r="M256" s="26">
        <f t="shared" si="0"/>
        <v>0</v>
      </c>
      <c r="N256" s="26"/>
      <c r="O256" s="31"/>
      <c r="P256" s="64">
        <v>7</v>
      </c>
      <c r="Q256" s="65">
        <v>46859.35</v>
      </c>
      <c r="R256" s="224">
        <v>3</v>
      </c>
      <c r="S256" s="50">
        <f t="shared" si="6"/>
        <v>38298.17</v>
      </c>
      <c r="T256" s="65">
        <v>38298.17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1" t="s">
        <v>260</v>
      </c>
      <c r="G257" s="55" t="s">
        <v>28</v>
      </c>
      <c r="H257" s="178">
        <v>3</v>
      </c>
      <c r="I257" s="130">
        <v>1</v>
      </c>
      <c r="J257" s="130">
        <v>1</v>
      </c>
      <c r="K257" s="114">
        <v>1152.5999999999999</v>
      </c>
      <c r="L257" s="44"/>
      <c r="M257" s="43">
        <f t="shared" si="0"/>
        <v>1152.5999999999999</v>
      </c>
      <c r="N257" s="43"/>
      <c r="O257" s="222">
        <v>1152.5999999999999</v>
      </c>
      <c r="P257" s="130">
        <v>4</v>
      </c>
      <c r="Q257" s="130">
        <v>15104.45</v>
      </c>
      <c r="R257" s="44"/>
      <c r="S257" s="43">
        <f t="shared" si="6"/>
        <v>17673.2</v>
      </c>
      <c r="T257" s="114">
        <v>4994.6000000000004</v>
      </c>
      <c r="U257" s="222">
        <f>6339.3+6339.3</f>
        <v>12678.6</v>
      </c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196</v>
      </c>
      <c r="C258" s="381" t="s">
        <v>22</v>
      </c>
      <c r="D258" s="374"/>
      <c r="E258" s="381" t="s">
        <v>27</v>
      </c>
      <c r="F258" s="22"/>
      <c r="G258" s="23" t="s">
        <v>24</v>
      </c>
      <c r="H258" s="119"/>
      <c r="I258" s="25"/>
      <c r="J258" s="25"/>
      <c r="K258" s="26"/>
      <c r="L258" s="27"/>
      <c r="M258" s="26">
        <f t="shared" si="0"/>
        <v>0</v>
      </c>
      <c r="N258" s="26"/>
      <c r="O258" s="28"/>
      <c r="P258" s="120"/>
      <c r="Q258" s="26"/>
      <c r="R258" s="27"/>
      <c r="S258" s="26">
        <f t="shared" si="6"/>
        <v>0</v>
      </c>
      <c r="T258" s="26"/>
      <c r="U258" s="28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348</v>
      </c>
      <c r="G259" s="35" t="s">
        <v>28</v>
      </c>
      <c r="H259" s="66">
        <v>4</v>
      </c>
      <c r="I259" s="38"/>
      <c r="J259" s="38"/>
      <c r="K259" s="39"/>
      <c r="L259" s="40"/>
      <c r="M259" s="39">
        <f t="shared" si="0"/>
        <v>0</v>
      </c>
      <c r="N259" s="39"/>
      <c r="O259" s="41"/>
      <c r="P259" s="67">
        <v>2</v>
      </c>
      <c r="Q259" s="68">
        <v>6723.5</v>
      </c>
      <c r="R259" s="40"/>
      <c r="S259" s="39">
        <f t="shared" si="6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197</v>
      </c>
      <c r="C260" s="381" t="s">
        <v>39</v>
      </c>
      <c r="D260" s="381" t="s">
        <v>381</v>
      </c>
      <c r="E260" s="381" t="s">
        <v>27</v>
      </c>
      <c r="F260" s="204" t="s">
        <v>382</v>
      </c>
      <c r="G260" s="47" t="s">
        <v>24</v>
      </c>
      <c r="H260" s="98"/>
      <c r="I260" s="49"/>
      <c r="J260" s="49"/>
      <c r="K260" s="50"/>
      <c r="L260" s="51"/>
      <c r="M260" s="50">
        <f t="shared" si="0"/>
        <v>0</v>
      </c>
      <c r="N260" s="50"/>
      <c r="O260" s="31"/>
      <c r="P260" s="108">
        <v>1</v>
      </c>
      <c r="Q260" s="65">
        <v>748.24</v>
      </c>
      <c r="R260" s="51"/>
      <c r="S260" s="50">
        <f t="shared" si="6"/>
        <v>748.24</v>
      </c>
      <c r="T260" s="50"/>
      <c r="U260" s="225">
        <v>748.24</v>
      </c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9"/>
      <c r="B261" s="380"/>
      <c r="C261" s="380"/>
      <c r="D261" s="380"/>
      <c r="E261" s="380"/>
      <c r="F261" s="221" t="s">
        <v>349</v>
      </c>
      <c r="G261" s="55" t="s">
        <v>28</v>
      </c>
      <c r="H261" s="153">
        <v>3</v>
      </c>
      <c r="I261" s="130">
        <v>2</v>
      </c>
      <c r="J261" s="130">
        <v>2</v>
      </c>
      <c r="K261" s="114">
        <v>3265.7</v>
      </c>
      <c r="L261" s="44"/>
      <c r="M261" s="43">
        <f t="shared" si="0"/>
        <v>0</v>
      </c>
      <c r="N261" s="43"/>
      <c r="O261" s="41"/>
      <c r="P261" s="103"/>
      <c r="Q261" s="43"/>
      <c r="R261" s="44"/>
      <c r="S261" s="43">
        <f t="shared" si="6"/>
        <v>3765.16</v>
      </c>
      <c r="T261" s="114">
        <v>1440.75</v>
      </c>
      <c r="U261" s="41">
        <f>2324.41</f>
        <v>2324.41</v>
      </c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198</v>
      </c>
      <c r="C262" s="374" t="s">
        <v>22</v>
      </c>
      <c r="D262" s="374"/>
      <c r="E262" s="374" t="s">
        <v>112</v>
      </c>
      <c r="F262" s="204" t="s">
        <v>383</v>
      </c>
      <c r="G262" s="23" t="s">
        <v>24</v>
      </c>
      <c r="H262" s="48">
        <v>5</v>
      </c>
      <c r="I262" s="62">
        <v>3</v>
      </c>
      <c r="J262" s="62">
        <v>3</v>
      </c>
      <c r="K262" s="30">
        <v>4187.78</v>
      </c>
      <c r="L262" s="27"/>
      <c r="M262" s="26">
        <f t="shared" si="0"/>
        <v>0</v>
      </c>
      <c r="N262" s="26"/>
      <c r="O262" s="31"/>
      <c r="P262" s="53">
        <v>9</v>
      </c>
      <c r="Q262" s="30">
        <v>37359.620000000003</v>
      </c>
      <c r="R262" s="27"/>
      <c r="S262" s="26">
        <f t="shared" si="6"/>
        <v>10703.11</v>
      </c>
      <c r="T262" s="26"/>
      <c r="U262" s="225">
        <v>10703.11</v>
      </c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350</v>
      </c>
      <c r="G263" s="35" t="s">
        <v>28</v>
      </c>
      <c r="H263" s="153">
        <v>1</v>
      </c>
      <c r="I263" s="38"/>
      <c r="J263" s="38"/>
      <c r="K263" s="39"/>
      <c r="L263" s="40"/>
      <c r="M263" s="39">
        <f t="shared" si="0"/>
        <v>0</v>
      </c>
      <c r="N263" s="39"/>
      <c r="O263" s="41"/>
      <c r="P263" s="59"/>
      <c r="Q263" s="39"/>
      <c r="R263" s="40"/>
      <c r="S263" s="39">
        <f t="shared" si="6"/>
        <v>0</v>
      </c>
      <c r="T263" s="39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82"/>
      <c r="B264" s="381" t="s">
        <v>199</v>
      </c>
      <c r="C264" s="381" t="s">
        <v>22</v>
      </c>
      <c r="D264" s="381"/>
      <c r="E264" s="381" t="s">
        <v>131</v>
      </c>
      <c r="F264" s="46"/>
      <c r="G264" s="23" t="s">
        <v>24</v>
      </c>
      <c r="H264" s="98"/>
      <c r="I264" s="49"/>
      <c r="J264" s="49"/>
      <c r="K264" s="50"/>
      <c r="L264" s="51"/>
      <c r="M264" s="50">
        <f t="shared" si="0"/>
        <v>0</v>
      </c>
      <c r="N264" s="50"/>
      <c r="O264" s="31"/>
      <c r="P264" s="123"/>
      <c r="Q264" s="50"/>
      <c r="R264" s="51"/>
      <c r="S264" s="50">
        <f t="shared" si="6"/>
        <v>0</v>
      </c>
      <c r="T264" s="50"/>
      <c r="U264" s="31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9"/>
      <c r="B265" s="380"/>
      <c r="C265" s="380"/>
      <c r="D265" s="380"/>
      <c r="E265" s="380"/>
      <c r="F265" s="126"/>
      <c r="G265" s="55" t="s">
        <v>25</v>
      </c>
      <c r="H265" s="118"/>
      <c r="I265" s="57"/>
      <c r="J265" s="57"/>
      <c r="K265" s="43"/>
      <c r="L265" s="44"/>
      <c r="M265" s="43">
        <f t="shared" si="0"/>
        <v>0</v>
      </c>
      <c r="N265" s="43"/>
      <c r="O265" s="41"/>
      <c r="P265" s="103"/>
      <c r="Q265" s="43"/>
      <c r="R265" s="44"/>
      <c r="S265" s="43">
        <f t="shared" si="6"/>
        <v>0</v>
      </c>
      <c r="T265" s="43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2"/>
      <c r="B266" s="374" t="s">
        <v>200</v>
      </c>
      <c r="C266" s="374" t="s">
        <v>22</v>
      </c>
      <c r="D266" s="374"/>
      <c r="E266" s="374" t="s">
        <v>27</v>
      </c>
      <c r="F266" s="204" t="s">
        <v>384</v>
      </c>
      <c r="G266" s="23" t="s">
        <v>24</v>
      </c>
      <c r="H266" s="61">
        <v>1</v>
      </c>
      <c r="I266" s="25"/>
      <c r="J266" s="25"/>
      <c r="K266" s="26"/>
      <c r="L266" s="27"/>
      <c r="M266" s="26">
        <f t="shared" si="0"/>
        <v>0</v>
      </c>
      <c r="N266" s="26"/>
      <c r="O266" s="31"/>
      <c r="P266" s="29">
        <v>5</v>
      </c>
      <c r="Q266" s="30">
        <v>20287.48</v>
      </c>
      <c r="R266" s="27"/>
      <c r="S266" s="26">
        <f t="shared" si="6"/>
        <v>1911.09</v>
      </c>
      <c r="T266" s="26"/>
      <c r="U266" s="225">
        <v>1911.09</v>
      </c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33" t="s">
        <v>351</v>
      </c>
      <c r="G267" s="227" t="s">
        <v>28</v>
      </c>
      <c r="H267" s="207">
        <v>1</v>
      </c>
      <c r="I267" s="208">
        <v>1</v>
      </c>
      <c r="J267" s="208">
        <v>1</v>
      </c>
      <c r="K267" s="209">
        <v>1056.55</v>
      </c>
      <c r="L267" s="210"/>
      <c r="M267" s="211">
        <f t="shared" si="0"/>
        <v>0</v>
      </c>
      <c r="N267" s="211"/>
      <c r="O267" s="212"/>
      <c r="P267" s="284"/>
      <c r="Q267" s="211"/>
      <c r="R267" s="210"/>
      <c r="S267" s="211">
        <f t="shared" si="6"/>
        <v>1921</v>
      </c>
      <c r="T267" s="209">
        <v>1921</v>
      </c>
      <c r="U267" s="212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430</v>
      </c>
      <c r="C268" s="374"/>
      <c r="D268" s="374"/>
      <c r="E268" s="374"/>
      <c r="F268" s="204"/>
      <c r="G268" s="213" t="s">
        <v>24</v>
      </c>
      <c r="H268" s="61"/>
      <c r="I268" s="62"/>
      <c r="J268" s="62"/>
      <c r="K268" s="30"/>
      <c r="L268" s="27"/>
      <c r="M268" s="26">
        <f t="shared" si="0"/>
        <v>0</v>
      </c>
      <c r="N268" s="26"/>
      <c r="O268" s="241"/>
      <c r="P268" s="214"/>
      <c r="Q268" s="30"/>
      <c r="R268" s="205"/>
      <c r="S268" s="26">
        <f t="shared" si="6"/>
        <v>0</v>
      </c>
      <c r="T268" s="30"/>
      <c r="U268" s="28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/>
      <c r="G269" s="215" t="s">
        <v>28</v>
      </c>
      <c r="H269" s="117"/>
      <c r="I269" s="37"/>
      <c r="J269" s="37"/>
      <c r="K269" s="68"/>
      <c r="L269" s="40"/>
      <c r="M269" s="39">
        <f t="shared" si="0"/>
        <v>0</v>
      </c>
      <c r="N269" s="39"/>
      <c r="O269" s="234"/>
      <c r="P269" s="217"/>
      <c r="Q269" s="68"/>
      <c r="R269" s="285"/>
      <c r="S269" s="39">
        <f t="shared" si="6"/>
        <v>0</v>
      </c>
      <c r="T269" s="68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6"/>
      <c r="B270" s="377" t="s">
        <v>201</v>
      </c>
      <c r="C270" s="377" t="s">
        <v>39</v>
      </c>
      <c r="D270" s="377" t="s">
        <v>385</v>
      </c>
      <c r="E270" s="377" t="s">
        <v>386</v>
      </c>
      <c r="F270" s="232" t="s">
        <v>387</v>
      </c>
      <c r="G270" s="95" t="s">
        <v>24</v>
      </c>
      <c r="H270" s="265">
        <v>8</v>
      </c>
      <c r="I270" s="266">
        <v>5</v>
      </c>
      <c r="J270" s="266">
        <v>7</v>
      </c>
      <c r="K270" s="79">
        <v>8145.22</v>
      </c>
      <c r="L270" s="80"/>
      <c r="M270" s="81">
        <f t="shared" si="0"/>
        <v>4589.6499999999996</v>
      </c>
      <c r="N270" s="81"/>
      <c r="O270" s="313">
        <v>4589.6499999999996</v>
      </c>
      <c r="P270" s="267">
        <v>2</v>
      </c>
      <c r="Q270" s="79">
        <v>4356.83</v>
      </c>
      <c r="R270" s="268">
        <v>2</v>
      </c>
      <c r="S270" s="81">
        <f t="shared" si="6"/>
        <v>4356.83</v>
      </c>
      <c r="T270" s="79">
        <v>4356.83</v>
      </c>
      <c r="U270" s="82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105"/>
      <c r="G271" s="35" t="s">
        <v>25</v>
      </c>
      <c r="H271" s="106"/>
      <c r="I271" s="38"/>
      <c r="J271" s="38"/>
      <c r="K271" s="39"/>
      <c r="L271" s="40"/>
      <c r="M271" s="39">
        <f t="shared" si="0"/>
        <v>0</v>
      </c>
      <c r="N271" s="39"/>
      <c r="O271" s="58"/>
      <c r="P271" s="115">
        <v>2</v>
      </c>
      <c r="Q271" s="68">
        <v>4418.3</v>
      </c>
      <c r="R271" s="285">
        <v>1</v>
      </c>
      <c r="S271" s="68">
        <v>3073.6</v>
      </c>
      <c r="T271" s="68">
        <v>3073.6</v>
      </c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82"/>
      <c r="B272" s="381" t="s">
        <v>202</v>
      </c>
      <c r="C272" s="381" t="s">
        <v>39</v>
      </c>
      <c r="D272" s="377"/>
      <c r="E272" s="381" t="s">
        <v>27</v>
      </c>
      <c r="F272" s="110"/>
      <c r="G272" s="47" t="s">
        <v>24</v>
      </c>
      <c r="H272" s="48">
        <v>1</v>
      </c>
      <c r="I272" s="49"/>
      <c r="J272" s="49"/>
      <c r="K272" s="50"/>
      <c r="L272" s="51"/>
      <c r="M272" s="50">
        <f t="shared" si="0"/>
        <v>0</v>
      </c>
      <c r="N272" s="50"/>
      <c r="O272" s="31"/>
      <c r="P272" s="108">
        <v>1</v>
      </c>
      <c r="Q272" s="65">
        <v>1124.17</v>
      </c>
      <c r="R272" s="51"/>
      <c r="S272" s="50">
        <f t="shared" ref="S272:S277" si="7">T272+U272</f>
        <v>0</v>
      </c>
      <c r="T272" s="50"/>
      <c r="U272" s="31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1" t="s">
        <v>262</v>
      </c>
      <c r="G273" s="55" t="s">
        <v>28</v>
      </c>
      <c r="H273" s="112">
        <v>1</v>
      </c>
      <c r="I273" s="57"/>
      <c r="J273" s="57"/>
      <c r="K273" s="43"/>
      <c r="L273" s="128"/>
      <c r="M273" s="129">
        <f t="shared" si="0"/>
        <v>0</v>
      </c>
      <c r="N273" s="43"/>
      <c r="O273" s="45"/>
      <c r="P273" s="113">
        <v>1</v>
      </c>
      <c r="Q273" s="114">
        <v>1344.7</v>
      </c>
      <c r="R273" s="128"/>
      <c r="S273" s="129">
        <f t="shared" si="7"/>
        <v>4994.6000000000004</v>
      </c>
      <c r="T273" s="114">
        <v>3649.9</v>
      </c>
      <c r="U273" s="45">
        <f>1344.7</f>
        <v>1344.7</v>
      </c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2"/>
      <c r="B274" s="374" t="s">
        <v>203</v>
      </c>
      <c r="C274" s="374"/>
      <c r="D274" s="374"/>
      <c r="E274" s="374" t="s">
        <v>27</v>
      </c>
      <c r="F274" s="60"/>
      <c r="G274" s="23" t="s">
        <v>24</v>
      </c>
      <c r="H274" s="104"/>
      <c r="I274" s="25"/>
      <c r="J274" s="25"/>
      <c r="K274" s="26"/>
      <c r="L274" s="27"/>
      <c r="M274" s="26">
        <f t="shared" si="0"/>
        <v>0</v>
      </c>
      <c r="N274" s="26"/>
      <c r="O274" s="28"/>
      <c r="P274" s="120"/>
      <c r="Q274" s="26"/>
      <c r="R274" s="27"/>
      <c r="S274" s="26">
        <f t="shared" si="7"/>
        <v>0</v>
      </c>
      <c r="T274" s="26"/>
      <c r="U274" s="28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34"/>
      <c r="G275" s="35" t="s">
        <v>28</v>
      </c>
      <c r="H275" s="117"/>
      <c r="I275" s="38"/>
      <c r="J275" s="38"/>
      <c r="K275" s="39"/>
      <c r="L275" s="40"/>
      <c r="M275" s="39">
        <f t="shared" si="0"/>
        <v>0</v>
      </c>
      <c r="N275" s="39"/>
      <c r="O275" s="41"/>
      <c r="P275" s="69"/>
      <c r="Q275" s="39"/>
      <c r="R275" s="40"/>
      <c r="S275" s="39">
        <f t="shared" si="7"/>
        <v>0</v>
      </c>
      <c r="T275" s="39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82"/>
      <c r="B276" s="381" t="s">
        <v>204</v>
      </c>
      <c r="C276" s="381" t="s">
        <v>22</v>
      </c>
      <c r="D276" s="381"/>
      <c r="E276" s="381" t="s">
        <v>23</v>
      </c>
      <c r="F276" s="204" t="s">
        <v>431</v>
      </c>
      <c r="G276" s="47" t="s">
        <v>24</v>
      </c>
      <c r="H276" s="48">
        <v>6</v>
      </c>
      <c r="I276" s="203">
        <v>5</v>
      </c>
      <c r="J276" s="203">
        <v>6</v>
      </c>
      <c r="K276" s="65">
        <v>7650.47</v>
      </c>
      <c r="L276" s="51"/>
      <c r="M276" s="50">
        <f t="shared" si="0"/>
        <v>384.2</v>
      </c>
      <c r="N276" s="50"/>
      <c r="O276" s="225">
        <v>384.2</v>
      </c>
      <c r="P276" s="108">
        <v>4</v>
      </c>
      <c r="Q276" s="65">
        <v>3363.11</v>
      </c>
      <c r="R276" s="51"/>
      <c r="S276" s="50">
        <f t="shared" si="7"/>
        <v>3363.11</v>
      </c>
      <c r="T276" s="50"/>
      <c r="U276" s="225">
        <v>3363.11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25</v>
      </c>
      <c r="H277" s="111"/>
      <c r="I277" s="38"/>
      <c r="J277" s="38"/>
      <c r="K277" s="39"/>
      <c r="L277" s="40"/>
      <c r="M277" s="39">
        <f t="shared" si="0"/>
        <v>0</v>
      </c>
      <c r="N277" s="39"/>
      <c r="O277" s="41"/>
      <c r="P277" s="115">
        <v>1</v>
      </c>
      <c r="Q277" s="68">
        <v>2305.1999999999998</v>
      </c>
      <c r="R277" s="40"/>
      <c r="S277" s="39">
        <f t="shared" si="7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179"/>
      <c r="B278" s="180" t="s">
        <v>205</v>
      </c>
      <c r="C278" s="180"/>
      <c r="D278" s="180"/>
      <c r="E278" s="180"/>
      <c r="F278" s="180"/>
      <c r="G278" s="181"/>
      <c r="H278" s="182">
        <f t="shared" ref="H278:U278" si="8">SUM(H9:H277)</f>
        <v>723</v>
      </c>
      <c r="I278" s="183">
        <f t="shared" si="8"/>
        <v>300</v>
      </c>
      <c r="J278" s="183">
        <f t="shared" si="8"/>
        <v>343</v>
      </c>
      <c r="K278" s="184">
        <f t="shared" si="8"/>
        <v>500503.18999999989</v>
      </c>
      <c r="L278" s="185">
        <f t="shared" si="8"/>
        <v>3</v>
      </c>
      <c r="M278" s="184">
        <f t="shared" si="8"/>
        <v>86542.209999999992</v>
      </c>
      <c r="N278" s="184">
        <f t="shared" si="8"/>
        <v>3566.3100000000004</v>
      </c>
      <c r="O278" s="186">
        <f t="shared" si="8"/>
        <v>82975.899999999994</v>
      </c>
      <c r="P278" s="187">
        <f t="shared" si="8"/>
        <v>943</v>
      </c>
      <c r="Q278" s="188">
        <f t="shared" si="8"/>
        <v>2874510.82</v>
      </c>
      <c r="R278" s="185">
        <f t="shared" si="8"/>
        <v>249</v>
      </c>
      <c r="S278" s="188">
        <f t="shared" si="8"/>
        <v>1506118.57</v>
      </c>
      <c r="T278" s="188">
        <f t="shared" si="8"/>
        <v>915887.62999999989</v>
      </c>
      <c r="U278" s="189">
        <f t="shared" si="8"/>
        <v>590230.93999999983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4"/>
      <c r="G279" s="4"/>
      <c r="I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H281" s="4" t="s">
        <v>206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27.75" customHeight="1">
      <c r="A282" s="4"/>
      <c r="B282" s="4"/>
      <c r="C282" s="4"/>
      <c r="D282" s="4"/>
      <c r="E282" s="4"/>
      <c r="F282" s="394"/>
      <c r="G282" s="395" t="s">
        <v>5</v>
      </c>
      <c r="H282" s="396"/>
      <c r="I282" s="396"/>
      <c r="J282" s="396"/>
      <c r="K282" s="396"/>
      <c r="L282" s="396"/>
      <c r="M282" s="396"/>
      <c r="N282" s="397"/>
      <c r="O282" s="395" t="s">
        <v>6</v>
      </c>
      <c r="P282" s="396"/>
      <c r="Q282" s="396"/>
      <c r="R282" s="396"/>
      <c r="S282" s="396"/>
      <c r="T282" s="397"/>
      <c r="U282" s="393" t="s">
        <v>207</v>
      </c>
      <c r="V282" s="393" t="s">
        <v>208</v>
      </c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386"/>
      <c r="G283" s="190" t="s">
        <v>13</v>
      </c>
      <c r="H283" s="190" t="s">
        <v>14</v>
      </c>
      <c r="I283" s="190" t="s">
        <v>15</v>
      </c>
      <c r="J283" s="190" t="s">
        <v>16</v>
      </c>
      <c r="K283" s="191" t="s">
        <v>17</v>
      </c>
      <c r="L283" s="190" t="s">
        <v>18</v>
      </c>
      <c r="M283" s="190" t="s">
        <v>19</v>
      </c>
      <c r="N283" s="190" t="s">
        <v>20</v>
      </c>
      <c r="O283" s="190" t="s">
        <v>15</v>
      </c>
      <c r="P283" s="190" t="s">
        <v>16</v>
      </c>
      <c r="Q283" s="191" t="s">
        <v>17</v>
      </c>
      <c r="R283" s="190" t="s">
        <v>18</v>
      </c>
      <c r="S283" s="190" t="s">
        <v>19</v>
      </c>
      <c r="T283" s="190" t="s">
        <v>20</v>
      </c>
      <c r="U283" s="392"/>
      <c r="V283" s="392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192" t="s">
        <v>24</v>
      </c>
      <c r="G284" s="193">
        <f t="shared" ref="G284:I284" si="9">SUMIF($G$9:$G$277,$F$284,H9:H277)</f>
        <v>489</v>
      </c>
      <c r="H284" s="193">
        <f t="shared" si="9"/>
        <v>245</v>
      </c>
      <c r="I284" s="193">
        <f t="shared" si="9"/>
        <v>288</v>
      </c>
      <c r="J284" s="194">
        <f t="shared" ref="J284:J286" si="10">SUMIF($G$9:$G$277,F284,$K$9:$K$277)</f>
        <v>420675.62999999983</v>
      </c>
      <c r="K284" s="195">
        <f t="shared" ref="K284:K286" si="11">SUMIF($G$9:$G$277,F284,$L$9:$L$277)</f>
        <v>3</v>
      </c>
      <c r="L284" s="194">
        <f t="shared" ref="L284:L286" si="12">SUMIF($G$9:$G$277,F284,$M$9:$M$277)</f>
        <v>63640.310000000019</v>
      </c>
      <c r="M284" s="194">
        <f t="shared" ref="M284:O284" si="13">SUMIF($G$9:$G$277,$F$284,N9:N277)</f>
        <v>2221.61</v>
      </c>
      <c r="N284" s="194">
        <f t="shared" si="13"/>
        <v>61418.700000000019</v>
      </c>
      <c r="O284" s="193">
        <f t="shared" si="13"/>
        <v>793</v>
      </c>
      <c r="P284" s="194">
        <f t="shared" ref="P284:P286" si="14">SUMIF($G$9:$G$277,F284,$Q$9:$Q$277)</f>
        <v>2452354.3299999991</v>
      </c>
      <c r="Q284" s="195">
        <f t="shared" ref="Q284:Q286" si="15">SUMIF($G$9:$G$277,F284,$R$9:$R$277)</f>
        <v>235</v>
      </c>
      <c r="R284" s="194">
        <f t="shared" ref="R284:R286" si="16">SUMIF($G$9:$G$277,F284,$S$9:$S$277)</f>
        <v>1232738.3300000005</v>
      </c>
      <c r="S284" s="194">
        <f t="shared" ref="S284:T284" si="17">SUMIF($G$9:$G$277,$F$284,T9:T277)</f>
        <v>752418.79000000015</v>
      </c>
      <c r="T284" s="194">
        <f t="shared" si="17"/>
        <v>480319.54000000004</v>
      </c>
      <c r="U284" s="194">
        <f t="shared" ref="U284:U286" si="18">S284+M284</f>
        <v>754640.40000000014</v>
      </c>
      <c r="V284" s="196">
        <f t="shared" ref="V284:V286" si="19">J284-M284+P284-S284</f>
        <v>2118389.5599999991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192" t="s">
        <v>28</v>
      </c>
      <c r="G285" s="236">
        <f t="shared" ref="G285:I285" si="20">SUMIF($G$9:$G$277,$F$285,H9:H277)</f>
        <v>194</v>
      </c>
      <c r="H285" s="193">
        <f t="shared" si="20"/>
        <v>40</v>
      </c>
      <c r="I285" s="193">
        <f t="shared" si="20"/>
        <v>40</v>
      </c>
      <c r="J285" s="194">
        <f t="shared" si="10"/>
        <v>60060.470000000008</v>
      </c>
      <c r="K285" s="195">
        <f t="shared" si="11"/>
        <v>0</v>
      </c>
      <c r="L285" s="194">
        <f t="shared" si="12"/>
        <v>9262.8000000000011</v>
      </c>
      <c r="M285" s="194">
        <f t="shared" ref="M285:O285" si="21">SUMIF($G$9:$G$277,$F$285,N9:N277)</f>
        <v>1344.7</v>
      </c>
      <c r="N285" s="194">
        <f t="shared" si="21"/>
        <v>7918.1</v>
      </c>
      <c r="O285" s="193">
        <f t="shared" si="21"/>
        <v>114</v>
      </c>
      <c r="P285" s="194">
        <f t="shared" si="14"/>
        <v>311038.9200000001</v>
      </c>
      <c r="Q285" s="195">
        <f t="shared" si="15"/>
        <v>0</v>
      </c>
      <c r="R285" s="194">
        <f t="shared" si="16"/>
        <v>197062.25000000006</v>
      </c>
      <c r="S285" s="194">
        <f t="shared" ref="S285:T285" si="22">SUMIF($G$9:$G$277,$F$285,T9:T277)</f>
        <v>118645.81000000001</v>
      </c>
      <c r="T285" s="194">
        <f t="shared" si="22"/>
        <v>78416.440000000017</v>
      </c>
      <c r="U285" s="194">
        <f t="shared" si="18"/>
        <v>119990.51000000001</v>
      </c>
      <c r="V285" s="196">
        <f t="shared" si="19"/>
        <v>251108.88000000012</v>
      </c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25</v>
      </c>
      <c r="G286" s="193">
        <f t="shared" ref="G286:I286" si="23">SUMIF($G$9:$G$277,$F$286,H9:H277)</f>
        <v>40</v>
      </c>
      <c r="H286" s="193">
        <f t="shared" si="23"/>
        <v>15</v>
      </c>
      <c r="I286" s="193">
        <f t="shared" si="23"/>
        <v>15</v>
      </c>
      <c r="J286" s="194">
        <f t="shared" si="10"/>
        <v>19767.09</v>
      </c>
      <c r="K286" s="195">
        <f t="shared" si="11"/>
        <v>0</v>
      </c>
      <c r="L286" s="194">
        <f t="shared" si="12"/>
        <v>13639.1</v>
      </c>
      <c r="M286" s="194">
        <f t="shared" ref="M286:O286" si="24">SUMIF($G$9:$G$277,$F$286,N9:N277)</f>
        <v>0</v>
      </c>
      <c r="N286" s="194">
        <f t="shared" si="24"/>
        <v>13639.1</v>
      </c>
      <c r="O286" s="193">
        <f t="shared" si="24"/>
        <v>36</v>
      </c>
      <c r="P286" s="194">
        <f t="shared" si="14"/>
        <v>111117.57000000002</v>
      </c>
      <c r="Q286" s="195">
        <f t="shared" si="15"/>
        <v>14</v>
      </c>
      <c r="R286" s="194">
        <f t="shared" si="16"/>
        <v>76317.990000000005</v>
      </c>
      <c r="S286" s="194">
        <f t="shared" ref="S286:T286" si="25">SUMIF($G$9:$G$277,$F$286,T9:T277)</f>
        <v>44823.030000000006</v>
      </c>
      <c r="T286" s="194">
        <f t="shared" si="25"/>
        <v>31494.959999999999</v>
      </c>
      <c r="U286" s="194">
        <f t="shared" si="18"/>
        <v>44823.030000000006</v>
      </c>
      <c r="V286" s="196">
        <f t="shared" si="19"/>
        <v>86061.63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197">
        <f t="shared" ref="G287:V287" si="26">G286+G285+G284</f>
        <v>723</v>
      </c>
      <c r="H287" s="197">
        <f t="shared" si="26"/>
        <v>300</v>
      </c>
      <c r="I287" s="197">
        <f t="shared" si="26"/>
        <v>343</v>
      </c>
      <c r="J287" s="198">
        <f t="shared" si="26"/>
        <v>500503.18999999983</v>
      </c>
      <c r="K287" s="199">
        <f t="shared" si="26"/>
        <v>3</v>
      </c>
      <c r="L287" s="198">
        <f t="shared" si="26"/>
        <v>86542.210000000021</v>
      </c>
      <c r="M287" s="198">
        <f t="shared" si="26"/>
        <v>3566.3100000000004</v>
      </c>
      <c r="N287" s="198">
        <f t="shared" si="26"/>
        <v>82975.900000000023</v>
      </c>
      <c r="O287" s="197">
        <f t="shared" si="26"/>
        <v>943</v>
      </c>
      <c r="P287" s="198">
        <f t="shared" si="26"/>
        <v>2874510.8199999994</v>
      </c>
      <c r="Q287" s="200">
        <f t="shared" si="26"/>
        <v>249</v>
      </c>
      <c r="R287" s="198">
        <f t="shared" si="26"/>
        <v>1506118.5700000005</v>
      </c>
      <c r="S287" s="198">
        <f t="shared" si="26"/>
        <v>915887.63000000012</v>
      </c>
      <c r="T287" s="198">
        <f t="shared" si="26"/>
        <v>590230.94000000006</v>
      </c>
      <c r="U287" s="198">
        <f t="shared" si="26"/>
        <v>919453.94000000018</v>
      </c>
      <c r="V287" s="198">
        <f t="shared" si="26"/>
        <v>2455560.0699999994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L440" s="2"/>
      <c r="R440" s="2"/>
    </row>
    <row r="441" spans="11:18" ht="15.75" customHeight="1">
      <c r="L441" s="2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</sheetData>
  <mergeCells count="671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D179:D180"/>
    <mergeCell ref="E179:E180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260:A261"/>
    <mergeCell ref="B260:B261"/>
    <mergeCell ref="C260:C261"/>
    <mergeCell ref="D260:D261"/>
    <mergeCell ref="E260:E261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B246:B247"/>
    <mergeCell ref="C246:C247"/>
    <mergeCell ref="A246:A247"/>
    <mergeCell ref="A248:A249"/>
    <mergeCell ref="B248:B249"/>
    <mergeCell ref="C248:C249"/>
    <mergeCell ref="D248:D249"/>
    <mergeCell ref="E248:E249"/>
    <mergeCell ref="A250:A25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A274:A275"/>
    <mergeCell ref="B274:B275"/>
    <mergeCell ref="C274:C275"/>
    <mergeCell ref="D274:D275"/>
    <mergeCell ref="E274:E275"/>
    <mergeCell ref="A276:A27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B276:B277"/>
    <mergeCell ref="C276:C277"/>
    <mergeCell ref="D276:D277"/>
    <mergeCell ref="E276:E277"/>
    <mergeCell ref="F282:F283"/>
    <mergeCell ref="G282:N282"/>
    <mergeCell ref="O282:T282"/>
    <mergeCell ref="U282:U283"/>
    <mergeCell ref="V282:V283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B258:B259"/>
    <mergeCell ref="C258:C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8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6</v>
      </c>
      <c r="I9" s="62">
        <v>2</v>
      </c>
      <c r="J9" s="62">
        <v>2</v>
      </c>
      <c r="K9" s="62">
        <v>4367.01</v>
      </c>
      <c r="L9" s="27"/>
      <c r="M9" s="26">
        <f t="shared" ref="M9:M279" si="0">N9+O9</f>
        <v>0</v>
      </c>
      <c r="N9" s="26"/>
      <c r="O9" s="28"/>
      <c r="P9" s="29">
        <v>25</v>
      </c>
      <c r="Q9" s="30">
        <v>38771.85</v>
      </c>
      <c r="R9" s="205">
        <v>4</v>
      </c>
      <c r="S9" s="26">
        <f t="shared" ref="S9:S31" si="1">T9+U9</f>
        <v>11294.810000000001</v>
      </c>
      <c r="T9" s="30">
        <v>7969.55</v>
      </c>
      <c r="U9" s="225">
        <v>3325.26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7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7</v>
      </c>
      <c r="I13" s="62">
        <v>6</v>
      </c>
      <c r="J13" s="62">
        <v>10</v>
      </c>
      <c r="K13" s="30">
        <v>24877.53</v>
      </c>
      <c r="L13" s="27"/>
      <c r="M13" s="26">
        <f t="shared" si="0"/>
        <v>8982.8700000000008</v>
      </c>
      <c r="N13" s="26"/>
      <c r="O13" s="299">
        <v>8982.8700000000008</v>
      </c>
      <c r="P13" s="64">
        <v>13</v>
      </c>
      <c r="Q13" s="65">
        <v>52910.82</v>
      </c>
      <c r="R13" s="224">
        <v>8</v>
      </c>
      <c r="S13" s="50">
        <f t="shared" si="1"/>
        <v>32231.019999999997</v>
      </c>
      <c r="T13" s="65">
        <v>24138.01</v>
      </c>
      <c r="U13" s="225">
        <v>8093.01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3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2</v>
      </c>
      <c r="J19" s="266">
        <v>2</v>
      </c>
      <c r="K19" s="79">
        <v>1978.63</v>
      </c>
      <c r="L19" s="80"/>
      <c r="M19" s="81">
        <f t="shared" si="0"/>
        <v>633.92999999999995</v>
      </c>
      <c r="N19" s="81"/>
      <c r="O19" s="269">
        <v>633.92999999999995</v>
      </c>
      <c r="P19" s="267">
        <v>9</v>
      </c>
      <c r="Q19" s="79">
        <v>16302.28</v>
      </c>
      <c r="R19" s="268">
        <v>1</v>
      </c>
      <c r="S19" s="81">
        <f t="shared" si="1"/>
        <v>7296.52</v>
      </c>
      <c r="T19" s="79">
        <v>1045.98</v>
      </c>
      <c r="U19" s="269">
        <v>6250.54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5</v>
      </c>
      <c r="J21" s="203">
        <v>6</v>
      </c>
      <c r="K21" s="65">
        <v>7839.62</v>
      </c>
      <c r="L21" s="51"/>
      <c r="M21" s="50">
        <f t="shared" si="0"/>
        <v>4057.17</v>
      </c>
      <c r="N21" s="50"/>
      <c r="O21" s="225">
        <v>4057.17</v>
      </c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6</v>
      </c>
      <c r="I23" s="62">
        <v>4</v>
      </c>
      <c r="J23" s="62">
        <v>4</v>
      </c>
      <c r="K23" s="62">
        <v>3686.21</v>
      </c>
      <c r="L23" s="27"/>
      <c r="M23" s="26">
        <f t="shared" si="0"/>
        <v>2554.9299999999998</v>
      </c>
      <c r="N23" s="26"/>
      <c r="O23" s="225">
        <v>2554.9299999999998</v>
      </c>
      <c r="P23" s="53">
        <v>3</v>
      </c>
      <c r="Q23" s="30">
        <v>4222.78</v>
      </c>
      <c r="R23" s="205">
        <v>1</v>
      </c>
      <c r="S23" s="26">
        <f t="shared" si="1"/>
        <v>4222.78</v>
      </c>
      <c r="T23" s="30">
        <v>1979.72</v>
      </c>
      <c r="U23" s="225">
        <v>2243.06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40"/>
      <c r="S24" s="39">
        <f t="shared" si="1"/>
        <v>1921</v>
      </c>
      <c r="T24" s="39">
        <f>1921</f>
        <v>1921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9</v>
      </c>
      <c r="I25" s="203">
        <v>9</v>
      </c>
      <c r="J25" s="203">
        <v>14</v>
      </c>
      <c r="K25" s="65">
        <v>24819.63</v>
      </c>
      <c r="L25" s="224">
        <v>5</v>
      </c>
      <c r="M25" s="50">
        <f t="shared" si="0"/>
        <v>6428.44</v>
      </c>
      <c r="N25" s="65">
        <v>6428.44</v>
      </c>
      <c r="O25" s="225"/>
      <c r="P25" s="53">
        <v>13</v>
      </c>
      <c r="Q25" s="30">
        <v>20738.62</v>
      </c>
      <c r="R25" s="205">
        <v>8</v>
      </c>
      <c r="S25" s="26">
        <f t="shared" si="1"/>
        <v>12316.99</v>
      </c>
      <c r="T25" s="30">
        <v>12316.99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7835.6</v>
      </c>
      <c r="T26" s="68">
        <f>4302+3533.6</f>
        <v>7835.6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05">
        <v>1</v>
      </c>
      <c r="S27" s="26">
        <f t="shared" si="1"/>
        <v>2497.3000000000002</v>
      </c>
      <c r="T27" s="30">
        <v>2497.3000000000002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5744.16</v>
      </c>
      <c r="T29" s="26"/>
      <c r="U29" s="241">
        <v>5744.16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5</v>
      </c>
      <c r="I31" s="203">
        <v>2</v>
      </c>
      <c r="J31" s="203">
        <v>2</v>
      </c>
      <c r="K31" s="65">
        <v>2091.96</v>
      </c>
      <c r="L31" s="51"/>
      <c r="M31" s="50">
        <f t="shared" si="0"/>
        <v>2091.96</v>
      </c>
      <c r="N31" s="50"/>
      <c r="O31" s="225">
        <v>2091.96</v>
      </c>
      <c r="P31" s="108">
        <v>9</v>
      </c>
      <c r="Q31" s="65">
        <v>26163.18</v>
      </c>
      <c r="R31" s="224">
        <v>7</v>
      </c>
      <c r="S31" s="50">
        <f t="shared" si="1"/>
        <v>26163.18</v>
      </c>
      <c r="T31" s="65">
        <v>19258.7</v>
      </c>
      <c r="U31" s="225">
        <v>6904.48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270">
        <v>1</v>
      </c>
      <c r="M32" s="43">
        <f t="shared" si="0"/>
        <v>2497.3000000000002</v>
      </c>
      <c r="N32" s="114">
        <v>2497.3000000000002</v>
      </c>
      <c r="O32" s="222"/>
      <c r="P32" s="113">
        <v>4</v>
      </c>
      <c r="Q32" s="114">
        <v>8548.4500000000007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2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2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2</v>
      </c>
      <c r="S35" s="50">
        <f t="shared" si="2"/>
        <v>8719.3799999999992</v>
      </c>
      <c r="T35" s="65">
        <v>3647.94</v>
      </c>
      <c r="U35" s="225">
        <v>5071.4399999999996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0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R36" s="210"/>
      <c r="S36" s="211">
        <f t="shared" si="2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0"/>
        <v>0</v>
      </c>
      <c r="N37" s="26"/>
      <c r="O37" s="28"/>
      <c r="P37" s="275"/>
      <c r="Q37" s="26"/>
      <c r="R37" s="27"/>
      <c r="S37" s="26">
        <f t="shared" si="2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0"/>
        <v>0</v>
      </c>
      <c r="N38" s="39"/>
      <c r="O38" s="41"/>
      <c r="P38" s="276"/>
      <c r="Q38" s="39"/>
      <c r="R38" s="40"/>
      <c r="S38" s="39">
        <f t="shared" si="2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0"/>
        <v>0</v>
      </c>
      <c r="N39" s="81"/>
      <c r="O39" s="219"/>
      <c r="P39" s="277"/>
      <c r="Q39" s="81"/>
      <c r="R39" s="80"/>
      <c r="S39" s="81">
        <f t="shared" si="2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0"/>
        <v>0</v>
      </c>
      <c r="N40" s="211"/>
      <c r="O40" s="212"/>
      <c r="P40" s="273"/>
      <c r="Q40" s="211"/>
      <c r="R40" s="210"/>
      <c r="S40" s="211">
        <f t="shared" si="2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0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2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0"/>
        <v>0</v>
      </c>
      <c r="N42" s="39"/>
      <c r="O42" s="41"/>
      <c r="P42" s="59"/>
      <c r="Q42" s="39"/>
      <c r="R42" s="40"/>
      <c r="S42" s="39">
        <f t="shared" si="2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8</v>
      </c>
      <c r="I43" s="266">
        <v>7</v>
      </c>
      <c r="J43" s="266">
        <v>7</v>
      </c>
      <c r="K43" s="79">
        <v>8433.7800000000007</v>
      </c>
      <c r="L43" s="80"/>
      <c r="M43" s="81">
        <f t="shared" si="0"/>
        <v>1537</v>
      </c>
      <c r="N43" s="81"/>
      <c r="O43" s="314">
        <v>1537</v>
      </c>
      <c r="P43" s="53">
        <v>20</v>
      </c>
      <c r="Q43" s="30">
        <v>79577.89</v>
      </c>
      <c r="R43" s="205">
        <v>8</v>
      </c>
      <c r="S43" s="26">
        <f t="shared" si="2"/>
        <v>79577.89</v>
      </c>
      <c r="T43" s="30">
        <v>44991.43</v>
      </c>
      <c r="U43" s="241">
        <v>34586.46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2</v>
      </c>
      <c r="I45" s="25"/>
      <c r="J45" s="25"/>
      <c r="K45" s="26"/>
      <c r="L45" s="27"/>
      <c r="M45" s="26">
        <f t="shared" si="0"/>
        <v>0</v>
      </c>
      <c r="N45" s="26"/>
      <c r="O45" s="28"/>
      <c r="P45" s="214"/>
      <c r="Q45" s="30"/>
      <c r="R45" s="27"/>
      <c r="S45" s="26">
        <f t="shared" si="2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3</v>
      </c>
      <c r="I46" s="261"/>
      <c r="J46" s="261"/>
      <c r="K46" s="211"/>
      <c r="L46" s="210"/>
      <c r="M46" s="211">
        <f t="shared" si="0"/>
        <v>0</v>
      </c>
      <c r="N46" s="211"/>
      <c r="O46" s="212"/>
      <c r="P46" s="280"/>
      <c r="Q46" s="209"/>
      <c r="R46" s="210"/>
      <c r="S46" s="211">
        <f t="shared" si="2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0"/>
        <v>0</v>
      </c>
      <c r="N47" s="26"/>
      <c r="O47" s="28"/>
      <c r="P47" s="275"/>
      <c r="Q47" s="26"/>
      <c r="R47" s="27"/>
      <c r="S47" s="26">
        <f t="shared" si="2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0"/>
        <v>0</v>
      </c>
      <c r="N48" s="39"/>
      <c r="O48" s="41"/>
      <c r="P48" s="276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0"/>
        <v>0</v>
      </c>
      <c r="N49" s="81"/>
      <c r="O49" s="82"/>
      <c r="P49" s="303"/>
      <c r="Q49" s="81"/>
      <c r="R49" s="80"/>
      <c r="S49" s="81">
        <f t="shared" si="2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0"/>
        <v>0</v>
      </c>
      <c r="N50" s="39"/>
      <c r="O50" s="41"/>
      <c r="P50" s="276"/>
      <c r="Q50" s="39"/>
      <c r="R50" s="40"/>
      <c r="S50" s="39">
        <f t="shared" si="2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0"/>
        <v>0</v>
      </c>
      <c r="N51" s="81"/>
      <c r="O51" s="97"/>
      <c r="P51" s="277"/>
      <c r="Q51" s="81"/>
      <c r="R51" s="80"/>
      <c r="S51" s="81">
        <f t="shared" si="2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0"/>
        <v>0</v>
      </c>
      <c r="N52" s="43"/>
      <c r="O52" s="58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1889.58</v>
      </c>
      <c r="L53" s="27"/>
      <c r="M53" s="26">
        <f t="shared" si="0"/>
        <v>0</v>
      </c>
      <c r="N53" s="26"/>
      <c r="O53" s="31"/>
      <c r="P53" s="108">
        <v>2</v>
      </c>
      <c r="Q53" s="65">
        <v>3734.91</v>
      </c>
      <c r="R53" s="224">
        <v>2</v>
      </c>
      <c r="S53" s="50">
        <f t="shared" si="2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0"/>
        <v>0</v>
      </c>
      <c r="N54" s="39"/>
      <c r="O54" s="41"/>
      <c r="P54" s="115">
        <v>6</v>
      </c>
      <c r="Q54" s="68">
        <v>11213.6</v>
      </c>
      <c r="R54" s="40"/>
      <c r="S54" s="39">
        <f t="shared" si="2"/>
        <v>2785.5</v>
      </c>
      <c r="T54" s="68">
        <f>2209.2+576.3</f>
        <v>2785.5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2</v>
      </c>
      <c r="J55" s="203">
        <v>2</v>
      </c>
      <c r="K55" s="65">
        <v>2607.1799999999998</v>
      </c>
      <c r="L55" s="51"/>
      <c r="M55" s="50">
        <f t="shared" si="0"/>
        <v>0</v>
      </c>
      <c r="N55" s="50"/>
      <c r="O55" s="31"/>
      <c r="P55" s="53">
        <v>2</v>
      </c>
      <c r="Q55" s="30">
        <v>5899.35</v>
      </c>
      <c r="R55" s="205">
        <v>1</v>
      </c>
      <c r="S55" s="26">
        <f t="shared" si="2"/>
        <v>5899.35</v>
      </c>
      <c r="T55" s="30">
        <v>1854.88</v>
      </c>
      <c r="U55" s="243">
        <v>4044.47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0"/>
        <v>0</v>
      </c>
      <c r="N56" s="43"/>
      <c r="O56" s="41"/>
      <c r="P56" s="59"/>
      <c r="Q56" s="39"/>
      <c r="R56" s="40"/>
      <c r="S56" s="39">
        <f t="shared" si="2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13641.6</v>
      </c>
      <c r="L57" s="27"/>
      <c r="M57" s="26">
        <f t="shared" si="0"/>
        <v>9831.69</v>
      </c>
      <c r="N57" s="26"/>
      <c r="O57" s="225">
        <v>9831.69</v>
      </c>
      <c r="P57" s="53">
        <v>6</v>
      </c>
      <c r="Q57" s="30">
        <v>45189.01</v>
      </c>
      <c r="R57" s="205">
        <v>1</v>
      </c>
      <c r="S57" s="26">
        <f t="shared" si="2"/>
        <v>23645.91</v>
      </c>
      <c r="T57" s="30">
        <v>1997.49</v>
      </c>
      <c r="U57" s="225">
        <v>21648.42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8"/>
      <c r="J58" s="38"/>
      <c r="K58" s="39"/>
      <c r="L58" s="40"/>
      <c r="M58" s="39">
        <f t="shared" si="0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2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11</v>
      </c>
      <c r="I59" s="203">
        <v>3</v>
      </c>
      <c r="J59" s="203">
        <v>4</v>
      </c>
      <c r="K59" s="65">
        <v>3534.63</v>
      </c>
      <c r="L59" s="51"/>
      <c r="M59" s="50">
        <f t="shared" si="0"/>
        <v>3534.63</v>
      </c>
      <c r="N59" s="50"/>
      <c r="O59" s="225">
        <v>3534.63</v>
      </c>
      <c r="P59" s="53">
        <v>31</v>
      </c>
      <c r="Q59" s="30">
        <v>70755.789999999994</v>
      </c>
      <c r="R59" s="205">
        <v>12</v>
      </c>
      <c r="S59" s="26">
        <f t="shared" si="2"/>
        <v>69874.790000000008</v>
      </c>
      <c r="T59" s="30">
        <v>26448.86</v>
      </c>
      <c r="U59" s="243">
        <v>43425.93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0"/>
        <v>0</v>
      </c>
      <c r="N60" s="211"/>
      <c r="O60" s="212"/>
      <c r="P60" s="273"/>
      <c r="Q60" s="211"/>
      <c r="R60" s="210"/>
      <c r="S60" s="211">
        <f t="shared" si="2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3</v>
      </c>
      <c r="I61" s="62"/>
      <c r="J61" s="62"/>
      <c r="K61" s="30"/>
      <c r="L61" s="27"/>
      <c r="M61" s="26">
        <f t="shared" si="0"/>
        <v>0</v>
      </c>
      <c r="N61" s="26"/>
      <c r="O61" s="28"/>
      <c r="P61" s="214"/>
      <c r="Q61" s="30"/>
      <c r="R61" s="27"/>
      <c r="S61" s="26">
        <f t="shared" si="2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0"/>
        <v>0</v>
      </c>
      <c r="N62" s="211"/>
      <c r="O62" s="212"/>
      <c r="P62" s="280"/>
      <c r="Q62" s="209"/>
      <c r="R62" s="210"/>
      <c r="S62" s="211">
        <f t="shared" si="2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3</v>
      </c>
      <c r="I63" s="62"/>
      <c r="J63" s="62"/>
      <c r="K63" s="30"/>
      <c r="L63" s="27"/>
      <c r="M63" s="26">
        <f t="shared" si="0"/>
        <v>0</v>
      </c>
      <c r="N63" s="26"/>
      <c r="O63" s="28"/>
      <c r="P63" s="214"/>
      <c r="Q63" s="30"/>
      <c r="R63" s="27"/>
      <c r="S63" s="26">
        <f t="shared" si="2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0"/>
        <v>0</v>
      </c>
      <c r="N64" s="39"/>
      <c r="O64" s="41"/>
      <c r="P64" s="217"/>
      <c r="Q64" s="68"/>
      <c r="R64" s="40"/>
      <c r="S64" s="39">
        <f t="shared" si="2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576.29999999999995</v>
      </c>
      <c r="L65" s="80"/>
      <c r="M65" s="81">
        <f t="shared" si="0"/>
        <v>0</v>
      </c>
      <c r="N65" s="81"/>
      <c r="O65" s="219"/>
      <c r="P65" s="267">
        <v>4</v>
      </c>
      <c r="Q65" s="79">
        <v>6405.31</v>
      </c>
      <c r="R65" s="268">
        <v>2</v>
      </c>
      <c r="S65" s="81">
        <f t="shared" si="2"/>
        <v>3104.71</v>
      </c>
      <c r="T65" s="79">
        <v>3104.71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0"/>
        <v>0</v>
      </c>
      <c r="N66" s="43"/>
      <c r="O66" s="45"/>
      <c r="P66" s="103"/>
      <c r="Q66" s="43"/>
      <c r="R66" s="128"/>
      <c r="S66" s="129">
        <f t="shared" si="2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3</v>
      </c>
      <c r="I67" s="62">
        <v>2</v>
      </c>
      <c r="J67" s="62">
        <v>2</v>
      </c>
      <c r="K67" s="30">
        <v>4562.99</v>
      </c>
      <c r="L67" s="27"/>
      <c r="M67" s="26">
        <f t="shared" si="0"/>
        <v>0</v>
      </c>
      <c r="N67" s="26"/>
      <c r="O67" s="28"/>
      <c r="P67" s="29">
        <v>8</v>
      </c>
      <c r="Q67" s="30">
        <v>15651.3</v>
      </c>
      <c r="R67" s="205">
        <v>7</v>
      </c>
      <c r="S67" s="26">
        <f t="shared" si="2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69"/>
      <c r="Q68" s="39"/>
      <c r="R68" s="40"/>
      <c r="S68" s="39">
        <f t="shared" si="2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15</v>
      </c>
      <c r="Q69" s="65">
        <v>49300.39</v>
      </c>
      <c r="R69" s="224">
        <v>5</v>
      </c>
      <c r="S69" s="50">
        <f t="shared" si="2"/>
        <v>19918.689999999999</v>
      </c>
      <c r="T69" s="65">
        <v>19918.689999999999</v>
      </c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1</v>
      </c>
      <c r="I70" s="130"/>
      <c r="J70" s="130"/>
      <c r="K70" s="43"/>
      <c r="L70" s="44"/>
      <c r="M70" s="43">
        <f t="shared" si="0"/>
        <v>0</v>
      </c>
      <c r="N70" s="43"/>
      <c r="O70" s="41"/>
      <c r="P70" s="113">
        <v>1</v>
      </c>
      <c r="Q70" s="114">
        <v>2881.5</v>
      </c>
      <c r="R70" s="44"/>
      <c r="S70" s="43">
        <f t="shared" si="2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6</v>
      </c>
      <c r="I71" s="62">
        <v>2</v>
      </c>
      <c r="J71" s="62">
        <v>3</v>
      </c>
      <c r="K71" s="30">
        <v>6129.52</v>
      </c>
      <c r="L71" s="27"/>
      <c r="M71" s="26">
        <f t="shared" si="0"/>
        <v>1344.7</v>
      </c>
      <c r="N71" s="26"/>
      <c r="O71" s="225">
        <v>1344.7</v>
      </c>
      <c r="P71" s="29">
        <v>4</v>
      </c>
      <c r="Q71" s="30">
        <v>2984.28</v>
      </c>
      <c r="R71" s="27"/>
      <c r="S71" s="26">
        <f t="shared" si="2"/>
        <v>2681.72</v>
      </c>
      <c r="T71" s="26"/>
      <c r="U71" s="225">
        <v>2681.72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2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0"/>
        <v>633.92999999999995</v>
      </c>
      <c r="N73" s="65">
        <v>633.92999999999995</v>
      </c>
      <c r="O73" s="225"/>
      <c r="P73" s="123"/>
      <c r="Q73" s="50"/>
      <c r="R73" s="51"/>
      <c r="S73" s="50">
        <f t="shared" si="2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2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25"/>
      <c r="J75" s="25"/>
      <c r="K75" s="26"/>
      <c r="L75" s="27"/>
      <c r="M75" s="26">
        <f t="shared" si="0"/>
        <v>0</v>
      </c>
      <c r="N75" s="26"/>
      <c r="O75" s="31"/>
      <c r="P75" s="53">
        <v>1</v>
      </c>
      <c r="Q75" s="30">
        <v>1505.87</v>
      </c>
      <c r="R75" s="27"/>
      <c r="S75" s="26">
        <f t="shared" si="2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2</v>
      </c>
      <c r="I76" s="37">
        <v>1</v>
      </c>
      <c r="J76" s="37">
        <v>1</v>
      </c>
      <c r="K76" s="68">
        <v>576.29999999999995</v>
      </c>
      <c r="L76" s="40"/>
      <c r="M76" s="39">
        <f t="shared" si="0"/>
        <v>0</v>
      </c>
      <c r="N76" s="39"/>
      <c r="O76" s="41"/>
      <c r="P76" s="59"/>
      <c r="Q76" s="39"/>
      <c r="R76" s="40"/>
      <c r="S76" s="39">
        <f t="shared" si="2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8</v>
      </c>
      <c r="I77" s="203">
        <v>4</v>
      </c>
      <c r="J77" s="203">
        <v>4</v>
      </c>
      <c r="K77" s="65">
        <v>3878.5</v>
      </c>
      <c r="L77" s="51"/>
      <c r="M77" s="50">
        <f t="shared" si="0"/>
        <v>0</v>
      </c>
      <c r="N77" s="50"/>
      <c r="O77" s="31"/>
      <c r="P77" s="108">
        <v>6</v>
      </c>
      <c r="Q77" s="65">
        <v>19829.79</v>
      </c>
      <c r="R77" s="224">
        <v>4</v>
      </c>
      <c r="S77" s="50">
        <f t="shared" si="2"/>
        <v>16789.810000000001</v>
      </c>
      <c r="T77" s="65">
        <v>16789.810000000001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2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22</v>
      </c>
      <c r="I79" s="62">
        <v>14</v>
      </c>
      <c r="J79" s="62">
        <v>21</v>
      </c>
      <c r="K79" s="30">
        <v>47136.57</v>
      </c>
      <c r="L79" s="27"/>
      <c r="M79" s="26">
        <f t="shared" si="0"/>
        <v>28236.43</v>
      </c>
      <c r="N79" s="26"/>
      <c r="O79" s="225">
        <v>28236.43</v>
      </c>
      <c r="P79" s="29">
        <v>22</v>
      </c>
      <c r="Q79" s="30">
        <v>65219.18</v>
      </c>
      <c r="R79" s="205">
        <v>10</v>
      </c>
      <c r="S79" s="26">
        <f t="shared" si="2"/>
        <v>62883.15</v>
      </c>
      <c r="T79" s="30">
        <v>23648.47</v>
      </c>
      <c r="U79" s="225">
        <v>39234.68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0"/>
        <v>0</v>
      </c>
      <c r="N80" s="211"/>
      <c r="O80" s="212"/>
      <c r="P80" s="284"/>
      <c r="Q80" s="211"/>
      <c r="R80" s="210"/>
      <c r="S80" s="211">
        <f t="shared" si="2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2</v>
      </c>
      <c r="I81" s="62"/>
      <c r="J81" s="62"/>
      <c r="K81" s="30"/>
      <c r="L81" s="27"/>
      <c r="M81" s="26">
        <f t="shared" si="0"/>
        <v>0</v>
      </c>
      <c r="N81" s="26"/>
      <c r="O81" s="28"/>
      <c r="P81" s="214"/>
      <c r="Q81" s="30"/>
      <c r="R81" s="27"/>
      <c r="S81" s="26">
        <f t="shared" si="2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2</v>
      </c>
      <c r="I82" s="208"/>
      <c r="J82" s="208"/>
      <c r="K82" s="209"/>
      <c r="L82" s="210"/>
      <c r="M82" s="211">
        <f t="shared" si="0"/>
        <v>0</v>
      </c>
      <c r="N82" s="211"/>
      <c r="O82" s="212"/>
      <c r="P82" s="280"/>
      <c r="Q82" s="209"/>
      <c r="R82" s="210"/>
      <c r="S82" s="211">
        <f t="shared" si="2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0"/>
        <v>0</v>
      </c>
      <c r="N83" s="26"/>
      <c r="O83" s="28"/>
      <c r="P83" s="214"/>
      <c r="Q83" s="30"/>
      <c r="R83" s="27"/>
      <c r="S83" s="26">
        <f t="shared" si="2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0"/>
        <v>0</v>
      </c>
      <c r="N84" s="39"/>
      <c r="O84" s="41"/>
      <c r="P84" s="217"/>
      <c r="Q84" s="68"/>
      <c r="R84" s="40"/>
      <c r="S84" s="39">
        <f t="shared" si="2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7</v>
      </c>
      <c r="I85" s="266">
        <v>3</v>
      </c>
      <c r="J85" s="266">
        <v>4</v>
      </c>
      <c r="K85" s="79">
        <v>5917.36</v>
      </c>
      <c r="L85" s="80"/>
      <c r="M85" s="81">
        <f t="shared" si="0"/>
        <v>5917.36</v>
      </c>
      <c r="N85" s="79">
        <v>5917.36</v>
      </c>
      <c r="O85" s="269"/>
      <c r="P85" s="267">
        <v>9</v>
      </c>
      <c r="Q85" s="79">
        <v>14307.26</v>
      </c>
      <c r="R85" s="268">
        <v>7</v>
      </c>
      <c r="S85" s="81">
        <f t="shared" si="2"/>
        <v>10924.74</v>
      </c>
      <c r="T85" s="79">
        <v>10924.74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0"/>
        <v>1344.7</v>
      </c>
      <c r="N86" s="114">
        <v>1344.7</v>
      </c>
      <c r="O86" s="234"/>
      <c r="P86" s="103"/>
      <c r="Q86" s="43"/>
      <c r="R86" s="44"/>
      <c r="S86" s="43">
        <f t="shared" si="2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0"/>
        <v>0</v>
      </c>
      <c r="N87" s="26"/>
      <c r="O87" s="31"/>
      <c r="P87" s="120"/>
      <c r="Q87" s="26"/>
      <c r="R87" s="27"/>
      <c r="S87" s="26">
        <f t="shared" si="2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0"/>
        <v>0</v>
      </c>
      <c r="N88" s="39"/>
      <c r="O88" s="41"/>
      <c r="P88" s="69"/>
      <c r="Q88" s="39"/>
      <c r="R88" s="40"/>
      <c r="S88" s="39">
        <f t="shared" si="2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0"/>
        <v>0</v>
      </c>
      <c r="N89" s="50"/>
      <c r="O89" s="31"/>
      <c r="P89" s="108">
        <v>1</v>
      </c>
      <c r="Q89" s="65">
        <v>405.02</v>
      </c>
      <c r="R89" s="51"/>
      <c r="S89" s="50">
        <f t="shared" si="2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2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8</v>
      </c>
      <c r="Q91" s="30">
        <v>12652.33</v>
      </c>
      <c r="R91" s="205">
        <v>2</v>
      </c>
      <c r="S91" s="26">
        <f t="shared" si="2"/>
        <v>7652.33</v>
      </c>
      <c r="T91" s="30">
        <v>5673.46</v>
      </c>
      <c r="U91" s="225">
        <v>1978.87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2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12</v>
      </c>
      <c r="I93" s="62">
        <v>7</v>
      </c>
      <c r="J93" s="62">
        <v>7</v>
      </c>
      <c r="K93" s="30">
        <v>12418.66</v>
      </c>
      <c r="L93" s="27"/>
      <c r="M93" s="26">
        <f t="shared" si="0"/>
        <v>0</v>
      </c>
      <c r="N93" s="26"/>
      <c r="O93" s="31"/>
      <c r="P93" s="53">
        <v>7</v>
      </c>
      <c r="Q93" s="30">
        <v>25411.62</v>
      </c>
      <c r="R93" s="205">
        <v>2</v>
      </c>
      <c r="S93" s="26">
        <f t="shared" si="2"/>
        <v>14914.91</v>
      </c>
      <c r="T93" s="30">
        <v>5094.8</v>
      </c>
      <c r="U93" s="225">
        <v>9820.11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5</v>
      </c>
      <c r="I94" s="37">
        <v>2</v>
      </c>
      <c r="J94" s="37">
        <v>2</v>
      </c>
      <c r="K94" s="68">
        <v>2958.34</v>
      </c>
      <c r="L94" s="285">
        <v>1</v>
      </c>
      <c r="M94" s="39">
        <f t="shared" si="0"/>
        <v>1056.55</v>
      </c>
      <c r="N94" s="68">
        <v>1056.55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1</v>
      </c>
      <c r="J95" s="203">
        <v>1</v>
      </c>
      <c r="K95" s="65">
        <v>697.32</v>
      </c>
      <c r="L95" s="51"/>
      <c r="M95" s="50">
        <f t="shared" si="0"/>
        <v>0</v>
      </c>
      <c r="N95" s="50"/>
      <c r="O95" s="31"/>
      <c r="P95" s="108">
        <v>5</v>
      </c>
      <c r="Q95" s="65">
        <v>42966.97</v>
      </c>
      <c r="R95" s="224">
        <v>1</v>
      </c>
      <c r="S95" s="50">
        <f t="shared" ref="S95:S183" si="3">T95+U95</f>
        <v>32117.38</v>
      </c>
      <c r="T95" s="65">
        <v>4050.2</v>
      </c>
      <c r="U95" s="225">
        <v>28067.18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0"/>
        <v>0</v>
      </c>
      <c r="N96" s="43"/>
      <c r="O96" s="41"/>
      <c r="P96" s="103"/>
      <c r="Q96" s="43"/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25"/>
      <c r="J97" s="25"/>
      <c r="K97" s="26"/>
      <c r="L97" s="27"/>
      <c r="M97" s="26">
        <f t="shared" si="0"/>
        <v>0</v>
      </c>
      <c r="N97" s="26"/>
      <c r="O97" s="31"/>
      <c r="P97" s="53">
        <v>6</v>
      </c>
      <c r="Q97" s="30">
        <v>31199.119999999999</v>
      </c>
      <c r="R97" s="205">
        <v>2</v>
      </c>
      <c r="S97" s="26">
        <f t="shared" si="3"/>
        <v>23473.01</v>
      </c>
      <c r="T97" s="30">
        <v>3751.96</v>
      </c>
      <c r="U97" s="225">
        <v>19721.05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0"/>
        <v>0</v>
      </c>
      <c r="N98" s="43"/>
      <c r="O98" s="41"/>
      <c r="P98" s="103"/>
      <c r="Q98" s="43"/>
      <c r="R98" s="44"/>
      <c r="S98" s="43">
        <f t="shared" si="3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1</v>
      </c>
      <c r="I99" s="62">
        <v>1</v>
      </c>
      <c r="J99" s="62">
        <v>2</v>
      </c>
      <c r="K99" s="30">
        <v>4354.43</v>
      </c>
      <c r="L99" s="27"/>
      <c r="M99" s="26">
        <f t="shared" si="0"/>
        <v>0</v>
      </c>
      <c r="N99" s="26"/>
      <c r="O99" s="31"/>
      <c r="P99" s="53">
        <v>3</v>
      </c>
      <c r="Q99" s="30">
        <v>15479.57</v>
      </c>
      <c r="R99" s="27"/>
      <c r="S99" s="26">
        <f t="shared" si="3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0"/>
        <v>0</v>
      </c>
      <c r="N100" s="43"/>
      <c r="O100" s="41"/>
      <c r="P100" s="103"/>
      <c r="Q100" s="43"/>
      <c r="R100" s="44"/>
      <c r="S100" s="43">
        <f t="shared" si="3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2</v>
      </c>
      <c r="J101" s="62">
        <v>2</v>
      </c>
      <c r="K101" s="30">
        <v>6578.57</v>
      </c>
      <c r="L101" s="27"/>
      <c r="M101" s="26">
        <f t="shared" si="0"/>
        <v>0</v>
      </c>
      <c r="N101" s="26"/>
      <c r="O101" s="31"/>
      <c r="P101" s="53">
        <v>19</v>
      </c>
      <c r="Q101" s="30">
        <v>41920.480000000003</v>
      </c>
      <c r="R101" s="205">
        <v>4</v>
      </c>
      <c r="S101" s="26">
        <f t="shared" si="3"/>
        <v>15992.85</v>
      </c>
      <c r="T101" s="30">
        <v>9997.9500000000007</v>
      </c>
      <c r="U101" s="225">
        <v>5994.9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5</v>
      </c>
      <c r="I102" s="130">
        <v>2</v>
      </c>
      <c r="J102" s="130">
        <v>2</v>
      </c>
      <c r="K102" s="114">
        <v>2305.1999999999998</v>
      </c>
      <c r="L102" s="270">
        <v>2</v>
      </c>
      <c r="M102" s="43">
        <f t="shared" si="0"/>
        <v>2305.1999999999998</v>
      </c>
      <c r="N102" s="114">
        <v>2305.1999999999998</v>
      </c>
      <c r="O102" s="234"/>
      <c r="P102" s="113">
        <v>4</v>
      </c>
      <c r="Q102" s="114">
        <v>11577.6</v>
      </c>
      <c r="R102" s="270">
        <v>3</v>
      </c>
      <c r="S102" s="43">
        <f t="shared" si="3"/>
        <v>7159.3</v>
      </c>
      <c r="T102" s="114">
        <v>7159.3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3</v>
      </c>
      <c r="I103" s="62">
        <v>3</v>
      </c>
      <c r="J103" s="62">
        <v>3</v>
      </c>
      <c r="K103" s="30">
        <v>1118.98</v>
      </c>
      <c r="L103" s="205">
        <v>1</v>
      </c>
      <c r="M103" s="26">
        <f t="shared" si="0"/>
        <v>614.72</v>
      </c>
      <c r="N103" s="30">
        <v>614.72</v>
      </c>
      <c r="O103" s="225"/>
      <c r="P103" s="53">
        <v>7</v>
      </c>
      <c r="Q103" s="30">
        <v>12035.94</v>
      </c>
      <c r="R103" s="205">
        <v>5</v>
      </c>
      <c r="S103" s="26">
        <f t="shared" si="3"/>
        <v>7679.11</v>
      </c>
      <c r="T103" s="30">
        <v>7679.11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10"/>
      <c r="M104" s="211">
        <f t="shared" si="0"/>
        <v>1344.7</v>
      </c>
      <c r="N104" s="209">
        <v>1344.7</v>
      </c>
      <c r="O104" s="212"/>
      <c r="P104" s="103"/>
      <c r="Q104" s="43"/>
      <c r="R104" s="44"/>
      <c r="S104" s="43">
        <f t="shared" si="3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8</v>
      </c>
      <c r="I105" s="62">
        <v>4</v>
      </c>
      <c r="J105" s="62">
        <v>4</v>
      </c>
      <c r="K105" s="30">
        <v>4316.49</v>
      </c>
      <c r="L105" s="205">
        <v>3</v>
      </c>
      <c r="M105" s="26">
        <f t="shared" si="0"/>
        <v>2852.69</v>
      </c>
      <c r="N105" s="30">
        <v>2852.69</v>
      </c>
      <c r="O105" s="241"/>
      <c r="P105" s="214">
        <v>11</v>
      </c>
      <c r="Q105" s="30">
        <v>49430.98</v>
      </c>
      <c r="R105" s="205">
        <v>6</v>
      </c>
      <c r="S105" s="26">
        <f t="shared" si="3"/>
        <v>42354.03</v>
      </c>
      <c r="T105" s="30">
        <v>6955.6</v>
      </c>
      <c r="U105" s="225">
        <v>35398.43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4</v>
      </c>
      <c r="I106" s="286">
        <v>1</v>
      </c>
      <c r="J106" s="286">
        <v>1</v>
      </c>
      <c r="K106" s="287">
        <v>1921</v>
      </c>
      <c r="L106" s="288"/>
      <c r="M106" s="39">
        <f t="shared" si="0"/>
        <v>0</v>
      </c>
      <c r="N106" s="39"/>
      <c r="O106" s="41"/>
      <c r="P106" s="217">
        <v>3</v>
      </c>
      <c r="Q106" s="37">
        <v>7587.95</v>
      </c>
      <c r="R106" s="40"/>
      <c r="S106" s="39">
        <f t="shared" si="3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0"/>
        <v>0</v>
      </c>
      <c r="N107" s="81"/>
      <c r="O107" s="219"/>
      <c r="P107" s="108">
        <v>2</v>
      </c>
      <c r="Q107" s="65">
        <v>22972.83</v>
      </c>
      <c r="R107" s="224">
        <v>1</v>
      </c>
      <c r="S107" s="50">
        <f t="shared" si="3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0"/>
        <v>0</v>
      </c>
      <c r="N108" s="39"/>
      <c r="O108" s="41"/>
      <c r="P108" s="59"/>
      <c r="Q108" s="39"/>
      <c r="R108" s="40"/>
      <c r="S108" s="39">
        <f t="shared" si="3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5</v>
      </c>
      <c r="I109" s="203">
        <v>4</v>
      </c>
      <c r="J109" s="203">
        <v>5</v>
      </c>
      <c r="K109" s="65">
        <v>8143.62</v>
      </c>
      <c r="L109" s="51"/>
      <c r="M109" s="50">
        <f t="shared" si="0"/>
        <v>1916.98</v>
      </c>
      <c r="N109" s="50"/>
      <c r="O109" s="225">
        <v>1916.98</v>
      </c>
      <c r="P109" s="108">
        <v>9</v>
      </c>
      <c r="Q109" s="65">
        <v>19656.830000000002</v>
      </c>
      <c r="R109" s="224">
        <v>2</v>
      </c>
      <c r="S109" s="50">
        <f t="shared" si="3"/>
        <v>17533.16</v>
      </c>
      <c r="T109" s="65">
        <v>2175.5100000000002</v>
      </c>
      <c r="U109" s="225">
        <v>15357.65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128"/>
      <c r="M110" s="50">
        <f t="shared" si="0"/>
        <v>0</v>
      </c>
      <c r="N110" s="43"/>
      <c r="O110" s="41"/>
      <c r="P110" s="113">
        <v>2</v>
      </c>
      <c r="Q110" s="114">
        <v>8007.8</v>
      </c>
      <c r="R110" s="44"/>
      <c r="S110" s="43">
        <f t="shared" si="3"/>
        <v>8008.1</v>
      </c>
      <c r="T110" s="114">
        <f>4358.2+3649.9</f>
        <v>8008.1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1</v>
      </c>
      <c r="M111" s="26">
        <f t="shared" si="0"/>
        <v>1133.98</v>
      </c>
      <c r="N111" s="30">
        <v>1133.98</v>
      </c>
      <c r="O111" s="225"/>
      <c r="P111" s="53">
        <v>5</v>
      </c>
      <c r="Q111" s="30">
        <v>7208.15</v>
      </c>
      <c r="R111" s="205">
        <v>5</v>
      </c>
      <c r="S111" s="26">
        <f t="shared" si="3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40"/>
      <c r="M112" s="39">
        <f t="shared" si="0"/>
        <v>0</v>
      </c>
      <c r="N112" s="39"/>
      <c r="O112" s="41"/>
      <c r="P112" s="115">
        <v>1</v>
      </c>
      <c r="Q112" s="68">
        <v>1377.7</v>
      </c>
      <c r="R112" s="40"/>
      <c r="S112" s="39">
        <f t="shared" si="3"/>
        <v>5378.8</v>
      </c>
      <c r="T112" s="39">
        <f>5378.8</f>
        <v>5378.8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9</v>
      </c>
      <c r="I113" s="203">
        <v>4</v>
      </c>
      <c r="J113" s="203">
        <v>4</v>
      </c>
      <c r="K113" s="65">
        <v>6396.36</v>
      </c>
      <c r="L113" s="51"/>
      <c r="M113" s="50">
        <f t="shared" si="0"/>
        <v>5531.12</v>
      </c>
      <c r="N113" s="50"/>
      <c r="O113" s="225">
        <v>5531.12</v>
      </c>
      <c r="P113" s="108">
        <v>16</v>
      </c>
      <c r="Q113" s="65">
        <v>46837.09</v>
      </c>
      <c r="R113" s="224">
        <v>3</v>
      </c>
      <c r="S113" s="50">
        <f t="shared" si="3"/>
        <v>23106.86</v>
      </c>
      <c r="T113" s="65">
        <v>6809.92</v>
      </c>
      <c r="U113" s="225">
        <v>16296.94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0"/>
        <v>0</v>
      </c>
      <c r="N114" s="43"/>
      <c r="O114" s="41"/>
      <c r="P114" s="103"/>
      <c r="Q114" s="43"/>
      <c r="R114" s="44"/>
      <c r="S114" s="43">
        <f t="shared" si="3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3</v>
      </c>
      <c r="I115" s="25"/>
      <c r="J115" s="25"/>
      <c r="K115" s="26"/>
      <c r="L115" s="27"/>
      <c r="M115" s="26">
        <f t="shared" si="0"/>
        <v>0</v>
      </c>
      <c r="N115" s="26"/>
      <c r="O115" s="31"/>
      <c r="P115" s="53">
        <v>9</v>
      </c>
      <c r="Q115" s="30">
        <v>62029.02</v>
      </c>
      <c r="R115" s="205">
        <v>5</v>
      </c>
      <c r="S115" s="26">
        <f t="shared" si="3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2</v>
      </c>
      <c r="I116" s="57"/>
      <c r="J116" s="57"/>
      <c r="K116" s="43"/>
      <c r="L116" s="44"/>
      <c r="M116" s="43">
        <f t="shared" si="0"/>
        <v>0</v>
      </c>
      <c r="N116" s="43"/>
      <c r="O116" s="41"/>
      <c r="P116" s="113">
        <v>2</v>
      </c>
      <c r="Q116" s="114">
        <v>2881.5</v>
      </c>
      <c r="R116" s="44"/>
      <c r="S116" s="43">
        <f t="shared" si="3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5</v>
      </c>
      <c r="I117" s="62">
        <v>4</v>
      </c>
      <c r="J117" s="62">
        <v>4</v>
      </c>
      <c r="K117" s="30">
        <v>3661.42</v>
      </c>
      <c r="L117" s="27"/>
      <c r="M117" s="26">
        <f t="shared" si="0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3"/>
        <v>13277.84</v>
      </c>
      <c r="T117" s="30">
        <v>13277.84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4</v>
      </c>
      <c r="I118" s="246">
        <v>2</v>
      </c>
      <c r="J118" s="246">
        <v>2</v>
      </c>
      <c r="K118" s="158">
        <v>1152.5999999999999</v>
      </c>
      <c r="L118" s="143"/>
      <c r="M118" s="142">
        <f t="shared" si="0"/>
        <v>0</v>
      </c>
      <c r="N118" s="142"/>
      <c r="O118" s="45"/>
      <c r="P118" s="157">
        <v>3</v>
      </c>
      <c r="Q118" s="158">
        <v>6513.21</v>
      </c>
      <c r="R118" s="143"/>
      <c r="S118" s="142">
        <f t="shared" si="3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8"/>
      <c r="J119" s="38"/>
      <c r="K119" s="39"/>
      <c r="L119" s="40"/>
      <c r="M119" s="39">
        <f t="shared" si="0"/>
        <v>0</v>
      </c>
      <c r="N119" s="39"/>
      <c r="O119" s="41"/>
      <c r="P119" s="59"/>
      <c r="Q119" s="39"/>
      <c r="R119" s="40"/>
      <c r="S119" s="39">
        <f t="shared" si="3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0"/>
        <v>0</v>
      </c>
      <c r="N120" s="50"/>
      <c r="O120" s="31"/>
      <c r="P120" s="108">
        <v>4</v>
      </c>
      <c r="Q120" s="65">
        <v>10383.700000000001</v>
      </c>
      <c r="R120" s="224">
        <v>1</v>
      </c>
      <c r="S120" s="50">
        <f t="shared" si="3"/>
        <v>7727.16</v>
      </c>
      <c r="T120" s="65">
        <v>3034.34</v>
      </c>
      <c r="U120" s="225">
        <v>4692.82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0"/>
        <v>0</v>
      </c>
      <c r="N121" s="43"/>
      <c r="O121" s="41"/>
      <c r="P121" s="103"/>
      <c r="Q121" s="43"/>
      <c r="R121" s="44"/>
      <c r="S121" s="43">
        <f t="shared" si="3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4</v>
      </c>
      <c r="I122" s="62">
        <v>3</v>
      </c>
      <c r="J122" s="62">
        <v>3</v>
      </c>
      <c r="K122" s="30">
        <v>2036.27</v>
      </c>
      <c r="L122" s="27"/>
      <c r="M122" s="26">
        <f t="shared" si="0"/>
        <v>0</v>
      </c>
      <c r="N122" s="26"/>
      <c r="O122" s="31"/>
      <c r="P122" s="53">
        <v>4</v>
      </c>
      <c r="Q122" s="30">
        <v>3732.5</v>
      </c>
      <c r="R122" s="205">
        <v>4</v>
      </c>
      <c r="S122" s="26">
        <f t="shared" si="3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3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10</v>
      </c>
      <c r="I124" s="62">
        <v>7</v>
      </c>
      <c r="J124" s="62">
        <v>11</v>
      </c>
      <c r="K124" s="30">
        <v>16008.12</v>
      </c>
      <c r="L124" s="27"/>
      <c r="M124" s="26">
        <f t="shared" si="0"/>
        <v>0</v>
      </c>
      <c r="N124" s="26"/>
      <c r="O124" s="31"/>
      <c r="P124" s="53">
        <v>10</v>
      </c>
      <c r="Q124" s="30">
        <v>26937.9</v>
      </c>
      <c r="R124" s="205">
        <v>2</v>
      </c>
      <c r="S124" s="26">
        <f t="shared" si="3"/>
        <v>14875.39</v>
      </c>
      <c r="T124" s="30">
        <v>7729.47</v>
      </c>
      <c r="U124" s="225">
        <v>7145.92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1</v>
      </c>
      <c r="J125" s="130">
        <v>1</v>
      </c>
      <c r="K125" s="114">
        <v>1152.5999999999999</v>
      </c>
      <c r="L125" s="44"/>
      <c r="M125" s="43">
        <f t="shared" si="0"/>
        <v>0</v>
      </c>
      <c r="N125" s="43"/>
      <c r="O125" s="45"/>
      <c r="P125" s="113">
        <v>2</v>
      </c>
      <c r="Q125" s="114">
        <v>5186.7</v>
      </c>
      <c r="R125" s="44"/>
      <c r="S125" s="43">
        <f t="shared" si="3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0"/>
        <v>0</v>
      </c>
      <c r="N126" s="26"/>
      <c r="O126" s="100"/>
      <c r="P126" s="120"/>
      <c r="Q126" s="26"/>
      <c r="R126" s="27"/>
      <c r="S126" s="26">
        <f t="shared" si="3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0"/>
        <v>0</v>
      </c>
      <c r="N127" s="39"/>
      <c r="O127" s="41"/>
      <c r="P127" s="6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5</v>
      </c>
      <c r="I128" s="62">
        <v>3</v>
      </c>
      <c r="J128" s="62">
        <v>4</v>
      </c>
      <c r="K128" s="30">
        <v>5120.59</v>
      </c>
      <c r="L128" s="27"/>
      <c r="M128" s="26">
        <f t="shared" si="0"/>
        <v>3189.98</v>
      </c>
      <c r="N128" s="26"/>
      <c r="O128" s="243">
        <v>3189.98</v>
      </c>
      <c r="P128" s="64">
        <v>3</v>
      </c>
      <c r="Q128" s="65">
        <v>7766.38</v>
      </c>
      <c r="R128" s="224">
        <v>1</v>
      </c>
      <c r="S128" s="50">
        <f t="shared" si="3"/>
        <v>3540.1800000000003</v>
      </c>
      <c r="T128" s="65">
        <v>2272.3200000000002</v>
      </c>
      <c r="U128" s="225">
        <v>1267.8599999999999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0"/>
        <v>0</v>
      </c>
      <c r="N129" s="39"/>
      <c r="O129" s="41"/>
      <c r="P129" s="69"/>
      <c r="Q129" s="39"/>
      <c r="R129" s="40"/>
      <c r="S129" s="39">
        <f t="shared" si="3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11</v>
      </c>
      <c r="I130" s="203">
        <v>6</v>
      </c>
      <c r="J130" s="203">
        <v>7</v>
      </c>
      <c r="K130" s="65">
        <v>17376.97</v>
      </c>
      <c r="L130" s="51"/>
      <c r="M130" s="50">
        <f t="shared" si="0"/>
        <v>0</v>
      </c>
      <c r="N130" s="50"/>
      <c r="O130" s="31"/>
      <c r="P130" s="108">
        <v>20</v>
      </c>
      <c r="Q130" s="65">
        <v>63705.13</v>
      </c>
      <c r="R130" s="224">
        <v>3</v>
      </c>
      <c r="S130" s="50">
        <f t="shared" si="3"/>
        <v>38442.76</v>
      </c>
      <c r="T130" s="65">
        <v>10009.61</v>
      </c>
      <c r="U130" s="225">
        <v>28433.15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0"/>
        <v>0</v>
      </c>
      <c r="N131" s="43"/>
      <c r="O131" s="41"/>
      <c r="P131" s="103"/>
      <c r="Q131" s="43"/>
      <c r="R131" s="44"/>
      <c r="S131" s="43">
        <f t="shared" si="3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8</v>
      </c>
      <c r="I132" s="25"/>
      <c r="J132" s="25"/>
      <c r="K132" s="26"/>
      <c r="L132" s="27"/>
      <c r="M132" s="26">
        <f t="shared" si="0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3"/>
        <v>21153.67</v>
      </c>
      <c r="T132" s="30">
        <v>21153.67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0"/>
        <v>0</v>
      </c>
      <c r="N133" s="39"/>
      <c r="O133" s="41"/>
      <c r="P133" s="59"/>
      <c r="Q133" s="39"/>
      <c r="R133" s="40"/>
      <c r="S133" s="39">
        <f t="shared" si="3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9</v>
      </c>
      <c r="I134" s="62">
        <v>3</v>
      </c>
      <c r="J134" s="62">
        <v>3</v>
      </c>
      <c r="K134" s="30">
        <v>2221.61</v>
      </c>
      <c r="L134" s="205">
        <v>3</v>
      </c>
      <c r="M134" s="26">
        <f t="shared" si="0"/>
        <v>2221.61</v>
      </c>
      <c r="N134" s="30">
        <v>2221.61</v>
      </c>
      <c r="O134" s="31"/>
      <c r="P134" s="53">
        <v>24</v>
      </c>
      <c r="Q134" s="30">
        <v>38955.06</v>
      </c>
      <c r="R134" s="205">
        <v>19</v>
      </c>
      <c r="S134" s="26">
        <f t="shared" si="3"/>
        <v>32606.92</v>
      </c>
      <c r="T134" s="30">
        <v>30301.71</v>
      </c>
      <c r="U134" s="225">
        <v>2305.21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0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1</v>
      </c>
      <c r="S135" s="209">
        <f t="shared" si="3"/>
        <v>4034.1</v>
      </c>
      <c r="T135" s="209">
        <v>4034.1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0"/>
        <v>0</v>
      </c>
      <c r="N136" s="26"/>
      <c r="O136" s="28"/>
      <c r="P136" s="214"/>
      <c r="Q136" s="30"/>
      <c r="R136" s="205"/>
      <c r="S136" s="26">
        <f t="shared" si="3"/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0"/>
        <v>0</v>
      </c>
      <c r="N137" s="39"/>
      <c r="O137" s="41"/>
      <c r="P137" s="217"/>
      <c r="Q137" s="68"/>
      <c r="R137" s="285"/>
      <c r="S137" s="39">
        <f t="shared" si="3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14</v>
      </c>
      <c r="I138" s="266">
        <v>6</v>
      </c>
      <c r="J138" s="266">
        <v>7</v>
      </c>
      <c r="K138" s="79">
        <v>9796.43</v>
      </c>
      <c r="L138" s="80"/>
      <c r="M138" s="81">
        <f t="shared" si="0"/>
        <v>3016.65</v>
      </c>
      <c r="N138" s="81"/>
      <c r="O138" s="269">
        <v>3016.65</v>
      </c>
      <c r="P138" s="267">
        <v>14</v>
      </c>
      <c r="Q138" s="79">
        <v>68482.759999999995</v>
      </c>
      <c r="R138" s="268">
        <v>7</v>
      </c>
      <c r="S138" s="81">
        <f t="shared" si="3"/>
        <v>41694.229999999996</v>
      </c>
      <c r="T138" s="79">
        <v>29991.43</v>
      </c>
      <c r="U138" s="269">
        <v>11702.8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0"/>
        <v>0</v>
      </c>
      <c r="N139" s="39"/>
      <c r="O139" s="41"/>
      <c r="P139" s="59"/>
      <c r="Q139" s="39"/>
      <c r="R139" s="40"/>
      <c r="S139" s="39">
        <f t="shared" si="3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10</v>
      </c>
      <c r="I140" s="203">
        <v>5</v>
      </c>
      <c r="J140" s="203">
        <v>7</v>
      </c>
      <c r="K140" s="65">
        <v>11288.37</v>
      </c>
      <c r="L140" s="51"/>
      <c r="M140" s="50">
        <f t="shared" si="0"/>
        <v>0</v>
      </c>
      <c r="N140" s="50"/>
      <c r="O140" s="31"/>
      <c r="P140" s="108">
        <v>43</v>
      </c>
      <c r="Q140" s="65">
        <v>252960.64000000001</v>
      </c>
      <c r="R140" s="224">
        <v>12</v>
      </c>
      <c r="S140" s="50">
        <f t="shared" si="3"/>
        <v>107444.04999999999</v>
      </c>
      <c r="T140" s="65">
        <v>74062.509999999995</v>
      </c>
      <c r="U140" s="225">
        <v>33381.54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0"/>
        <v>0</v>
      </c>
      <c r="N141" s="129"/>
      <c r="O141" s="45"/>
      <c r="P141" s="156"/>
      <c r="Q141" s="129"/>
      <c r="R141" s="128"/>
      <c r="S141" s="129">
        <f t="shared" si="3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0"/>
        <v>0</v>
      </c>
      <c r="N142" s="43"/>
      <c r="O142" s="41"/>
      <c r="P142" s="113">
        <v>1</v>
      </c>
      <c r="Q142" s="43"/>
      <c r="R142" s="44"/>
      <c r="S142" s="43">
        <f t="shared" si="3"/>
        <v>2305.1999999999998</v>
      </c>
      <c r="T142" s="114">
        <v>2305.1999999999998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150"/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0"/>
        <v>0</v>
      </c>
      <c r="N143" s="26"/>
      <c r="O143" s="31"/>
      <c r="P143" s="53">
        <v>15</v>
      </c>
      <c r="Q143" s="30">
        <v>11948.95</v>
      </c>
      <c r="R143" s="27"/>
      <c r="S143" s="26">
        <f t="shared" si="3"/>
        <v>0</v>
      </c>
      <c r="T143" s="26"/>
      <c r="U143" s="3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0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3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6</v>
      </c>
      <c r="I145" s="203">
        <v>4</v>
      </c>
      <c r="J145" s="203">
        <v>4</v>
      </c>
      <c r="K145" s="65">
        <v>4666.47</v>
      </c>
      <c r="L145" s="51"/>
      <c r="M145" s="50">
        <f t="shared" si="0"/>
        <v>3609.92</v>
      </c>
      <c r="N145" s="50"/>
      <c r="O145" s="225">
        <v>3609.92</v>
      </c>
      <c r="P145" s="108">
        <v>8</v>
      </c>
      <c r="Q145" s="65">
        <v>29582.03</v>
      </c>
      <c r="R145" s="224">
        <v>2</v>
      </c>
      <c r="S145" s="50">
        <f t="shared" si="3"/>
        <v>29582.03</v>
      </c>
      <c r="T145" s="65">
        <v>8462.64</v>
      </c>
      <c r="U145" s="225">
        <v>21119.39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0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3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3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03"/>
      <c r="Q148" s="43"/>
      <c r="R148" s="44"/>
      <c r="S148" s="43">
        <f t="shared" si="3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4</v>
      </c>
      <c r="Q149" s="30">
        <v>22885.21</v>
      </c>
      <c r="R149" s="205">
        <v>2</v>
      </c>
      <c r="S149" s="26">
        <f t="shared" si="3"/>
        <v>4085.52</v>
      </c>
      <c r="T149" s="30">
        <v>4085.52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0"/>
        <v>1728.9</v>
      </c>
      <c r="N150" s="114">
        <v>1728.9</v>
      </c>
      <c r="O150" s="234"/>
      <c r="P150" s="113">
        <v>1</v>
      </c>
      <c r="Q150" s="114">
        <v>3457.8</v>
      </c>
      <c r="R150" s="44"/>
      <c r="S150" s="43">
        <f t="shared" si="3"/>
        <v>0</v>
      </c>
      <c r="T150" s="43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8</v>
      </c>
      <c r="I151" s="62">
        <v>5</v>
      </c>
      <c r="J151" s="62">
        <v>6</v>
      </c>
      <c r="K151" s="30">
        <v>6195.91</v>
      </c>
      <c r="L151" s="27"/>
      <c r="M151" s="26">
        <f t="shared" si="0"/>
        <v>0</v>
      </c>
      <c r="N151" s="26"/>
      <c r="O151" s="31"/>
      <c r="P151" s="53">
        <v>11</v>
      </c>
      <c r="Q151" s="30">
        <v>31846.83</v>
      </c>
      <c r="R151" s="205">
        <v>3</v>
      </c>
      <c r="S151" s="26">
        <f t="shared" si="3"/>
        <v>17204.46</v>
      </c>
      <c r="T151" s="30">
        <v>8445.0499999999993</v>
      </c>
      <c r="U151" s="225">
        <v>8759.41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0"/>
        <v>0</v>
      </c>
      <c r="N152" s="129"/>
      <c r="O152" s="45"/>
      <c r="P152" s="238">
        <v>7</v>
      </c>
      <c r="Q152" s="239">
        <v>11775.73</v>
      </c>
      <c r="R152" s="128"/>
      <c r="S152" s="129">
        <f t="shared" si="3"/>
        <v>10296.56</v>
      </c>
      <c r="T152" s="239">
        <f>288.15+6934.81</f>
        <v>7222.96</v>
      </c>
      <c r="U152" s="45">
        <f>3073.6</f>
        <v>3073.6</v>
      </c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0"/>
        <v>0</v>
      </c>
      <c r="N153" s="43"/>
      <c r="O153" s="41"/>
      <c r="P153" s="103"/>
      <c r="Q153" s="43"/>
      <c r="R153" s="44"/>
      <c r="S153" s="43">
        <f t="shared" si="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6</v>
      </c>
      <c r="I154" s="25"/>
      <c r="J154" s="25"/>
      <c r="K154" s="26"/>
      <c r="L154" s="27"/>
      <c r="M154" s="26">
        <f t="shared" si="0"/>
        <v>0</v>
      </c>
      <c r="N154" s="26"/>
      <c r="O154" s="31"/>
      <c r="P154" s="99"/>
      <c r="Q154" s="26"/>
      <c r="R154" s="27"/>
      <c r="S154" s="26">
        <f t="shared" si="3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0"/>
        <v>0</v>
      </c>
      <c r="N155" s="39"/>
      <c r="O155" s="41"/>
      <c r="P155" s="59"/>
      <c r="Q155" s="39"/>
      <c r="R155" s="40"/>
      <c r="S155" s="39">
        <f t="shared" si="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6</v>
      </c>
      <c r="I156" s="203">
        <v>5</v>
      </c>
      <c r="J156" s="203">
        <v>5</v>
      </c>
      <c r="K156" s="65">
        <v>7140.36</v>
      </c>
      <c r="L156" s="51"/>
      <c r="M156" s="50">
        <f t="shared" si="0"/>
        <v>3519.27</v>
      </c>
      <c r="N156" s="50"/>
      <c r="O156" s="225">
        <v>3519.27</v>
      </c>
      <c r="P156" s="108">
        <v>5</v>
      </c>
      <c r="Q156" s="65">
        <v>27150.720000000001</v>
      </c>
      <c r="R156" s="224">
        <v>2</v>
      </c>
      <c r="S156" s="50">
        <f t="shared" si="3"/>
        <v>22015.89</v>
      </c>
      <c r="T156" s="65">
        <v>3694.33</v>
      </c>
      <c r="U156" s="225">
        <v>18321.560000000001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6</v>
      </c>
      <c r="I157" s="246">
        <v>2</v>
      </c>
      <c r="J157" s="246">
        <v>2</v>
      </c>
      <c r="K157" s="158">
        <v>4226.2</v>
      </c>
      <c r="L157" s="143"/>
      <c r="M157" s="142">
        <f t="shared" si="0"/>
        <v>0</v>
      </c>
      <c r="N157" s="142"/>
      <c r="O157" s="45"/>
      <c r="P157" s="157">
        <v>4</v>
      </c>
      <c r="Q157" s="158">
        <v>8625.2900000000009</v>
      </c>
      <c r="R157" s="51"/>
      <c r="S157" s="50">
        <f t="shared" si="3"/>
        <v>9681.84</v>
      </c>
      <c r="T157" s="158">
        <v>6224.04</v>
      </c>
      <c r="U157" s="45">
        <f>3457.8</f>
        <v>3457.8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0"/>
        <v>0</v>
      </c>
      <c r="N158" s="43"/>
      <c r="O158" s="41"/>
      <c r="P158" s="103"/>
      <c r="Q158" s="43"/>
      <c r="R158" s="44"/>
      <c r="S158" s="43">
        <f t="shared" si="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8</v>
      </c>
      <c r="I159" s="62">
        <v>2</v>
      </c>
      <c r="J159" s="62">
        <v>2</v>
      </c>
      <c r="K159" s="30">
        <v>1993.03</v>
      </c>
      <c r="L159" s="27"/>
      <c r="M159" s="26">
        <f t="shared" si="0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3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0"/>
        <v>0</v>
      </c>
      <c r="N160" s="39"/>
      <c r="O160" s="41"/>
      <c r="P160" s="115">
        <v>2</v>
      </c>
      <c r="Q160" s="68">
        <v>3265.7</v>
      </c>
      <c r="R160" s="40"/>
      <c r="S160" s="39">
        <f t="shared" si="3"/>
        <v>3265.7</v>
      </c>
      <c r="T160" s="39">
        <f>1921</f>
        <v>1921</v>
      </c>
      <c r="U160" s="41">
        <f>1344.7</f>
        <v>1344.7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3</v>
      </c>
      <c r="J161" s="203">
        <v>3</v>
      </c>
      <c r="K161" s="65">
        <v>7338.22</v>
      </c>
      <c r="L161" s="51"/>
      <c r="M161" s="50">
        <f t="shared" si="0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3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44"/>
      <c r="M162" s="43">
        <f t="shared" si="0"/>
        <v>0</v>
      </c>
      <c r="N162" s="43"/>
      <c r="O162" s="41"/>
      <c r="P162" s="113">
        <v>3</v>
      </c>
      <c r="Q162" s="114">
        <v>7203.75</v>
      </c>
      <c r="R162" s="44"/>
      <c r="S162" s="43">
        <f t="shared" si="3"/>
        <v>7203.75</v>
      </c>
      <c r="T162" s="114">
        <v>4802.5</v>
      </c>
      <c r="U162" s="41">
        <f>2401.25</f>
        <v>2401.25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4</v>
      </c>
      <c r="I163" s="62">
        <v>3</v>
      </c>
      <c r="J163" s="62">
        <v>4</v>
      </c>
      <c r="K163" s="30">
        <v>11839.32</v>
      </c>
      <c r="L163" s="27"/>
      <c r="M163" s="26">
        <f t="shared" si="0"/>
        <v>6365.22</v>
      </c>
      <c r="N163" s="26"/>
      <c r="O163" s="225">
        <v>6365.22</v>
      </c>
      <c r="P163" s="53">
        <v>10</v>
      </c>
      <c r="Q163" s="30">
        <v>30369.15</v>
      </c>
      <c r="R163" s="205">
        <v>2</v>
      </c>
      <c r="S163" s="26">
        <f t="shared" si="3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0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3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4</v>
      </c>
      <c r="I165" s="62">
        <v>4</v>
      </c>
      <c r="J165" s="62">
        <v>4</v>
      </c>
      <c r="K165" s="30">
        <v>8539.0300000000007</v>
      </c>
      <c r="L165" s="27"/>
      <c r="M165" s="26">
        <f t="shared" si="0"/>
        <v>0</v>
      </c>
      <c r="N165" s="26"/>
      <c r="O165" s="159"/>
      <c r="P165" s="53">
        <v>3</v>
      </c>
      <c r="Q165" s="30">
        <v>20168.78</v>
      </c>
      <c r="R165" s="205">
        <v>3</v>
      </c>
      <c r="S165" s="26">
        <f t="shared" si="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0"/>
        <v>1728.9</v>
      </c>
      <c r="N166" s="211">
        <f>1728.9</f>
        <v>1728.9</v>
      </c>
      <c r="O166" s="274"/>
      <c r="P166" s="262">
        <v>2</v>
      </c>
      <c r="Q166" s="209">
        <v>2420.46</v>
      </c>
      <c r="R166" s="210"/>
      <c r="S166" s="211">
        <f t="shared" si="3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0"/>
        <v>0</v>
      </c>
      <c r="N167" s="26"/>
      <c r="O167" s="28"/>
      <c r="P167" s="214"/>
      <c r="Q167" s="30"/>
      <c r="R167" s="205"/>
      <c r="S167" s="26">
        <f t="shared" si="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0"/>
        <v>0</v>
      </c>
      <c r="N168" s="39"/>
      <c r="O168" s="41"/>
      <c r="P168" s="217"/>
      <c r="Q168" s="68"/>
      <c r="R168" s="285"/>
      <c r="S168" s="39">
        <f t="shared" si="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4</v>
      </c>
      <c r="I169" s="266">
        <v>1</v>
      </c>
      <c r="J169" s="266">
        <v>1</v>
      </c>
      <c r="K169" s="79">
        <v>1267.8599999999999</v>
      </c>
      <c r="L169" s="80"/>
      <c r="M169" s="81">
        <f t="shared" si="0"/>
        <v>0</v>
      </c>
      <c r="N169" s="81"/>
      <c r="O169" s="219"/>
      <c r="P169" s="267">
        <v>2</v>
      </c>
      <c r="Q169" s="79">
        <v>4427.91</v>
      </c>
      <c r="R169" s="268">
        <v>1</v>
      </c>
      <c r="S169" s="81">
        <f t="shared" si="3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5"/>
      <c r="P170" s="103"/>
      <c r="Q170" s="43"/>
      <c r="R170" s="44"/>
      <c r="S170" s="43">
        <f t="shared" si="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7"/>
      <c r="M171" s="26">
        <f t="shared" si="0"/>
        <v>524.91</v>
      </c>
      <c r="N171" s="26"/>
      <c r="O171" s="241">
        <v>524.91</v>
      </c>
      <c r="P171" s="53">
        <v>1</v>
      </c>
      <c r="Q171" s="30">
        <v>412.05</v>
      </c>
      <c r="R171" s="27"/>
      <c r="S171" s="26">
        <f t="shared" si="3"/>
        <v>412.05</v>
      </c>
      <c r="T171" s="26"/>
      <c r="U171" s="241">
        <v>412.05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0"/>
        <v>0</v>
      </c>
      <c r="N172" s="211"/>
      <c r="O172" s="212"/>
      <c r="P172" s="273"/>
      <c r="Q172" s="211"/>
      <c r="R172" s="210"/>
      <c r="S172" s="211">
        <f t="shared" si="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0"/>
        <v>0</v>
      </c>
      <c r="N173" s="26"/>
      <c r="O173" s="28"/>
      <c r="P173" s="214"/>
      <c r="Q173" s="30"/>
      <c r="R173" s="205"/>
      <c r="S173" s="26">
        <f t="shared" si="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0"/>
        <v>0</v>
      </c>
      <c r="N174" s="39"/>
      <c r="O174" s="41"/>
      <c r="P174" s="217"/>
      <c r="Q174" s="68"/>
      <c r="R174" s="285"/>
      <c r="S174" s="39">
        <f t="shared" si="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266">
        <v>2</v>
      </c>
      <c r="J175" s="266">
        <v>2</v>
      </c>
      <c r="K175" s="79">
        <v>2253.34</v>
      </c>
      <c r="L175" s="80"/>
      <c r="M175" s="81">
        <f t="shared" si="0"/>
        <v>0</v>
      </c>
      <c r="N175" s="81"/>
      <c r="O175" s="219"/>
      <c r="P175" s="267">
        <v>11</v>
      </c>
      <c r="Q175" s="79">
        <v>38325.81</v>
      </c>
      <c r="R175" s="268">
        <v>5</v>
      </c>
      <c r="S175" s="81">
        <f t="shared" si="3"/>
        <v>34311.440000000002</v>
      </c>
      <c r="T175" s="79">
        <v>16502.04</v>
      </c>
      <c r="U175" s="269">
        <v>17809.400000000001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6</v>
      </c>
      <c r="I176" s="130">
        <v>1</v>
      </c>
      <c r="J176" s="130">
        <v>1</v>
      </c>
      <c r="K176" s="114">
        <v>2497.3000000000002</v>
      </c>
      <c r="L176" s="128"/>
      <c r="M176" s="50">
        <f t="shared" si="0"/>
        <v>0</v>
      </c>
      <c r="N176" s="43"/>
      <c r="O176" s="41"/>
      <c r="P176" s="113">
        <v>2</v>
      </c>
      <c r="Q176" s="114">
        <v>7924</v>
      </c>
      <c r="R176" s="44"/>
      <c r="S176" s="43">
        <f t="shared" si="3"/>
        <v>576.29999999999995</v>
      </c>
      <c r="T176" s="114">
        <v>576.29999999999995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5</v>
      </c>
      <c r="I177" s="62">
        <v>3</v>
      </c>
      <c r="J177" s="62">
        <v>3</v>
      </c>
      <c r="K177" s="30">
        <v>5755.32</v>
      </c>
      <c r="L177" s="27"/>
      <c r="M177" s="26">
        <f t="shared" si="0"/>
        <v>1477.25</v>
      </c>
      <c r="N177" s="26"/>
      <c r="O177" s="225">
        <v>1477.25</v>
      </c>
      <c r="P177" s="53">
        <v>10</v>
      </c>
      <c r="Q177" s="30">
        <v>31881.81</v>
      </c>
      <c r="R177" s="205">
        <v>1</v>
      </c>
      <c r="S177" s="26">
        <f t="shared" si="3"/>
        <v>14675.67</v>
      </c>
      <c r="T177" s="30">
        <v>1267.8599999999999</v>
      </c>
      <c r="U177" s="225">
        <v>13407.81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2</v>
      </c>
      <c r="I178" s="57"/>
      <c r="J178" s="57"/>
      <c r="K178" s="43"/>
      <c r="L178" s="44"/>
      <c r="M178" s="43">
        <f t="shared" si="0"/>
        <v>0</v>
      </c>
      <c r="N178" s="43"/>
      <c r="O178" s="41"/>
      <c r="P178" s="115">
        <v>4</v>
      </c>
      <c r="Q178" s="68">
        <v>17865.3</v>
      </c>
      <c r="R178" s="40"/>
      <c r="S178" s="39">
        <f t="shared" si="3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12</v>
      </c>
      <c r="I179" s="62">
        <v>10</v>
      </c>
      <c r="J179" s="204">
        <v>11</v>
      </c>
      <c r="K179" s="30">
        <v>18139.990000000002</v>
      </c>
      <c r="L179" s="27"/>
      <c r="M179" s="26">
        <f t="shared" si="0"/>
        <v>5615.47</v>
      </c>
      <c r="N179" s="26"/>
      <c r="O179" s="225">
        <v>5615.47</v>
      </c>
      <c r="P179" s="108">
        <v>20</v>
      </c>
      <c r="Q179" s="65">
        <v>57624.09</v>
      </c>
      <c r="R179" s="224">
        <v>5</v>
      </c>
      <c r="S179" s="50">
        <f t="shared" si="3"/>
        <v>45597.55</v>
      </c>
      <c r="T179" s="65">
        <v>17249.09</v>
      </c>
      <c r="U179" s="225">
        <v>28348.46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0"/>
        <v>0</v>
      </c>
      <c r="N180" s="211"/>
      <c r="O180" s="212"/>
      <c r="P180" s="262">
        <v>1</v>
      </c>
      <c r="Q180" s="209">
        <v>576.29999999999995</v>
      </c>
      <c r="R180" s="210"/>
      <c r="S180" s="211">
        <f t="shared" si="3"/>
        <v>2497.3000000000002</v>
      </c>
      <c r="T180" s="209">
        <v>1921</v>
      </c>
      <c r="U180" s="212">
        <f>576.3</f>
        <v>576.29999999999995</v>
      </c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104"/>
      <c r="I181" s="25"/>
      <c r="J181" s="25"/>
      <c r="K181" s="162"/>
      <c r="L181" s="163"/>
      <c r="M181" s="162">
        <f t="shared" si="0"/>
        <v>0</v>
      </c>
      <c r="N181" s="162"/>
      <c r="O181" s="28"/>
      <c r="P181" s="275"/>
      <c r="Q181" s="26"/>
      <c r="R181" s="27"/>
      <c r="S181" s="26">
        <f t="shared" si="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2</v>
      </c>
      <c r="I182" s="38"/>
      <c r="J182" s="38"/>
      <c r="K182" s="164"/>
      <c r="L182" s="165"/>
      <c r="M182" s="164">
        <f t="shared" si="0"/>
        <v>0</v>
      </c>
      <c r="N182" s="164"/>
      <c r="O182" s="41"/>
      <c r="P182" s="276"/>
      <c r="Q182" s="39"/>
      <c r="R182" s="40"/>
      <c r="S182" s="39">
        <f t="shared" si="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0"/>
        <v>0</v>
      </c>
      <c r="N183" s="293"/>
      <c r="O183" s="82"/>
      <c r="P183" s="295"/>
      <c r="Q183" s="81"/>
      <c r="R183" s="80"/>
      <c r="S183" s="81">
        <f t="shared" si="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0"/>
        <v>0</v>
      </c>
      <c r="N184" s="164"/>
      <c r="O184" s="41"/>
      <c r="P184" s="67">
        <v>3</v>
      </c>
      <c r="Q184" s="68">
        <v>10841.33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8</v>
      </c>
      <c r="I185" s="203">
        <v>6</v>
      </c>
      <c r="J185" s="203">
        <v>8</v>
      </c>
      <c r="K185" s="242">
        <v>18700.09</v>
      </c>
      <c r="L185" s="167"/>
      <c r="M185" s="166">
        <f t="shared" si="0"/>
        <v>0</v>
      </c>
      <c r="N185" s="166"/>
      <c r="O185" s="31"/>
      <c r="P185" s="108">
        <v>6</v>
      </c>
      <c r="Q185" s="65">
        <v>34185.78</v>
      </c>
      <c r="R185" s="224">
        <v>4</v>
      </c>
      <c r="S185" s="50">
        <f t="shared" ref="S185:S204" si="4">T185+U185</f>
        <v>15452.64</v>
      </c>
      <c r="T185" s="65">
        <v>15452.64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0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4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2</v>
      </c>
      <c r="J187" s="62">
        <v>2</v>
      </c>
      <c r="K187" s="30">
        <v>3799.78</v>
      </c>
      <c r="L187" s="27"/>
      <c r="M187" s="26">
        <f t="shared" si="0"/>
        <v>0</v>
      </c>
      <c r="N187" s="26"/>
      <c r="O187" s="31"/>
      <c r="P187" s="53">
        <v>6</v>
      </c>
      <c r="Q187" s="30">
        <v>15490.83</v>
      </c>
      <c r="R187" s="205">
        <v>1</v>
      </c>
      <c r="S187" s="26">
        <f t="shared" si="4"/>
        <v>10125.48</v>
      </c>
      <c r="T187" s="30">
        <v>3759.09</v>
      </c>
      <c r="U187" s="225">
        <v>6366.39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0"/>
        <v>0</v>
      </c>
      <c r="N188" s="39"/>
      <c r="O188" s="41"/>
      <c r="P188" s="59"/>
      <c r="Q188" s="39"/>
      <c r="R188" s="40"/>
      <c r="S188" s="39">
        <f t="shared" si="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0"/>
        <v>0</v>
      </c>
      <c r="N189" s="50"/>
      <c r="O189" s="31"/>
      <c r="P189" s="108">
        <v>2</v>
      </c>
      <c r="Q189" s="65">
        <v>14241.9</v>
      </c>
      <c r="R189" s="224">
        <v>1</v>
      </c>
      <c r="S189" s="50">
        <f t="shared" si="4"/>
        <v>11832.5</v>
      </c>
      <c r="T189" s="65">
        <v>11832.5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0"/>
        <v>0</v>
      </c>
      <c r="N190" s="43"/>
      <c r="O190" s="41"/>
      <c r="P190" s="103"/>
      <c r="Q190" s="43"/>
      <c r="R190" s="44"/>
      <c r="S190" s="43">
        <f t="shared" si="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0"/>
        <v>0</v>
      </c>
      <c r="N191" s="26"/>
      <c r="O191" s="31"/>
      <c r="P191" s="120"/>
      <c r="Q191" s="26"/>
      <c r="R191" s="27"/>
      <c r="S191" s="26">
        <f t="shared" si="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0"/>
        <v>0</v>
      </c>
      <c r="N192" s="39"/>
      <c r="O192" s="41"/>
      <c r="P192" s="69"/>
      <c r="Q192" s="39"/>
      <c r="R192" s="40"/>
      <c r="S192" s="39">
        <f t="shared" si="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7</v>
      </c>
      <c r="I193" s="203">
        <v>6</v>
      </c>
      <c r="J193" s="203">
        <v>6</v>
      </c>
      <c r="K193" s="65">
        <v>11123.36</v>
      </c>
      <c r="L193" s="51"/>
      <c r="M193" s="50">
        <f t="shared" si="0"/>
        <v>7557.22</v>
      </c>
      <c r="N193" s="50"/>
      <c r="O193" s="225">
        <v>7557.22</v>
      </c>
      <c r="P193" s="108">
        <v>8</v>
      </c>
      <c r="Q193" s="65">
        <v>20431.349999999999</v>
      </c>
      <c r="R193" s="224">
        <v>1</v>
      </c>
      <c r="S193" s="50">
        <f t="shared" si="4"/>
        <v>8066.2899999999991</v>
      </c>
      <c r="T193" s="65">
        <v>2627.93</v>
      </c>
      <c r="U193" s="225">
        <v>5438.36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8"/>
      <c r="J194" s="38"/>
      <c r="K194" s="39"/>
      <c r="L194" s="40"/>
      <c r="M194" s="39">
        <f t="shared" si="0"/>
        <v>0</v>
      </c>
      <c r="N194" s="39"/>
      <c r="O194" s="41"/>
      <c r="P194" s="59"/>
      <c r="Q194" s="39"/>
      <c r="R194" s="40"/>
      <c r="S194" s="39">
        <f t="shared" si="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10</v>
      </c>
      <c r="I195" s="203">
        <v>7</v>
      </c>
      <c r="J195" s="203">
        <v>9</v>
      </c>
      <c r="K195" s="65">
        <v>13552.93</v>
      </c>
      <c r="L195" s="51"/>
      <c r="M195" s="50">
        <f t="shared" si="0"/>
        <v>0</v>
      </c>
      <c r="N195" s="50"/>
      <c r="O195" s="31"/>
      <c r="P195" s="108">
        <v>24</v>
      </c>
      <c r="Q195" s="65">
        <v>38241.53</v>
      </c>
      <c r="R195" s="224">
        <v>14</v>
      </c>
      <c r="S195" s="50">
        <f t="shared" si="4"/>
        <v>27671.879999999997</v>
      </c>
      <c r="T195" s="65">
        <v>19941.759999999998</v>
      </c>
      <c r="U195" s="225">
        <v>7730.12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3</v>
      </c>
      <c r="I196" s="130">
        <v>1</v>
      </c>
      <c r="J196" s="130">
        <v>1</v>
      </c>
      <c r="K196" s="114">
        <v>1056.55</v>
      </c>
      <c r="L196" s="128"/>
      <c r="M196" s="50">
        <f t="shared" si="0"/>
        <v>0</v>
      </c>
      <c r="N196" s="43"/>
      <c r="O196" s="41"/>
      <c r="P196" s="113">
        <v>3</v>
      </c>
      <c r="Q196" s="114">
        <v>5551.69</v>
      </c>
      <c r="R196" s="44"/>
      <c r="S196" s="43">
        <f t="shared" si="4"/>
        <v>5551.69</v>
      </c>
      <c r="T196" s="43"/>
      <c r="U196" s="41">
        <f>5551.69</f>
        <v>5551.69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5</v>
      </c>
      <c r="I197" s="25"/>
      <c r="J197" s="25"/>
      <c r="K197" s="26"/>
      <c r="L197" s="27"/>
      <c r="M197" s="26">
        <f t="shared" si="0"/>
        <v>0</v>
      </c>
      <c r="N197" s="26"/>
      <c r="O197" s="31"/>
      <c r="P197" s="53">
        <v>3</v>
      </c>
      <c r="Q197" s="30">
        <v>8280.19</v>
      </c>
      <c r="R197" s="27"/>
      <c r="S197" s="26">
        <f t="shared" si="4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0"/>
        <v>0</v>
      </c>
      <c r="N198" s="39"/>
      <c r="O198" s="41"/>
      <c r="P198" s="59"/>
      <c r="Q198" s="39"/>
      <c r="R198" s="40"/>
      <c r="S198" s="39">
        <f t="shared" si="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0"/>
        <v>0</v>
      </c>
      <c r="N199" s="50"/>
      <c r="O199" s="31"/>
      <c r="P199" s="123"/>
      <c r="Q199" s="50"/>
      <c r="R199" s="51"/>
      <c r="S199" s="50">
        <f t="shared" si="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0"/>
        <v>0</v>
      </c>
      <c r="N200" s="50"/>
      <c r="O200" s="45"/>
      <c r="P200" s="123"/>
      <c r="Q200" s="50"/>
      <c r="R200" s="51"/>
      <c r="S200" s="50">
        <f t="shared" si="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0"/>
        <v>0</v>
      </c>
      <c r="N202" s="26"/>
      <c r="O202" s="31"/>
      <c r="P202" s="99"/>
      <c r="Q202" s="26"/>
      <c r="R202" s="27"/>
      <c r="S202" s="26">
        <f t="shared" si="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0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4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0"/>
        <v>0</v>
      </c>
      <c r="N204" s="26"/>
      <c r="O204" s="31"/>
      <c r="P204" s="99"/>
      <c r="Q204" s="26"/>
      <c r="R204" s="27"/>
      <c r="S204" s="26">
        <f t="shared" si="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0"/>
        <v>0</v>
      </c>
      <c r="N206" s="50"/>
      <c r="O206" s="31"/>
      <c r="P206" s="108">
        <v>3</v>
      </c>
      <c r="Q206" s="65">
        <v>12689.15</v>
      </c>
      <c r="R206" s="224">
        <v>2</v>
      </c>
      <c r="S206" s="50">
        <f t="shared" ref="S206:S220" si="5">T206+U206</f>
        <v>2541.1999999999998</v>
      </c>
      <c r="T206" s="65">
        <v>2541.1999999999998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0"/>
        <v>0</v>
      </c>
      <c r="N207" s="43"/>
      <c r="O207" s="45"/>
      <c r="P207" s="273"/>
      <c r="Q207" s="211"/>
      <c r="R207" s="210"/>
      <c r="S207" s="211">
        <f t="shared" si="5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7"/>
      <c r="M208" s="26">
        <f t="shared" si="0"/>
        <v>576.29999999999995</v>
      </c>
      <c r="N208" s="26"/>
      <c r="O208" s="308">
        <v>576.29999999999995</v>
      </c>
      <c r="P208" s="99"/>
      <c r="Q208" s="26"/>
      <c r="R208" s="27"/>
      <c r="S208" s="26">
        <f t="shared" si="5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3</v>
      </c>
      <c r="I209" s="37"/>
      <c r="J209" s="37"/>
      <c r="K209" s="39"/>
      <c r="L209" s="40"/>
      <c r="M209" s="39">
        <f t="shared" si="0"/>
        <v>0</v>
      </c>
      <c r="N209" s="39"/>
      <c r="O209" s="309"/>
      <c r="P209" s="310">
        <v>4</v>
      </c>
      <c r="Q209" s="245">
        <v>17154.53</v>
      </c>
      <c r="R209" s="40"/>
      <c r="S209" s="39">
        <f t="shared" si="5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0"/>
        <v>0</v>
      </c>
      <c r="N210" s="50"/>
      <c r="O210" s="31"/>
      <c r="P210" s="277"/>
      <c r="Q210" s="81"/>
      <c r="R210" s="80"/>
      <c r="S210" s="81">
        <f t="shared" si="5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0"/>
        <v>0</v>
      </c>
      <c r="N211" s="43"/>
      <c r="O211" s="41"/>
      <c r="P211" s="113">
        <v>1</v>
      </c>
      <c r="Q211" s="114">
        <v>3842</v>
      </c>
      <c r="R211" s="128"/>
      <c r="S211" s="50">
        <f t="shared" si="5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7</v>
      </c>
      <c r="I212" s="62">
        <v>6</v>
      </c>
      <c r="J212" s="62">
        <v>10</v>
      </c>
      <c r="K212" s="30">
        <v>22151.4</v>
      </c>
      <c r="L212" s="27"/>
      <c r="M212" s="26">
        <f t="shared" si="0"/>
        <v>0</v>
      </c>
      <c r="N212" s="26"/>
      <c r="O212" s="31"/>
      <c r="P212" s="53">
        <v>17</v>
      </c>
      <c r="Q212" s="30">
        <v>46159.82</v>
      </c>
      <c r="R212" s="205">
        <v>8</v>
      </c>
      <c r="S212" s="26">
        <f t="shared" si="5"/>
        <v>22498.43</v>
      </c>
      <c r="T212" s="30">
        <v>20996.46</v>
      </c>
      <c r="U212" s="225">
        <v>1501.97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0"/>
        <v>0</v>
      </c>
      <c r="N213" s="39"/>
      <c r="O213" s="41"/>
      <c r="P213" s="59"/>
      <c r="Q213" s="39"/>
      <c r="R213" s="40"/>
      <c r="S213" s="39">
        <f t="shared" si="5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0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5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0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5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10</v>
      </c>
      <c r="I216" s="62">
        <v>6</v>
      </c>
      <c r="J216" s="62">
        <v>6</v>
      </c>
      <c r="K216" s="30">
        <v>2766.26</v>
      </c>
      <c r="L216" s="27"/>
      <c r="M216" s="26">
        <f t="shared" si="0"/>
        <v>0</v>
      </c>
      <c r="N216" s="26"/>
      <c r="O216" s="31"/>
      <c r="P216" s="53">
        <v>26</v>
      </c>
      <c r="Q216" s="30">
        <v>35477.370000000003</v>
      </c>
      <c r="R216" s="205">
        <v>4</v>
      </c>
      <c r="S216" s="26">
        <f t="shared" si="5"/>
        <v>27100.080000000002</v>
      </c>
      <c r="T216" s="30">
        <v>6109.65</v>
      </c>
      <c r="U216" s="30">
        <v>20990.43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5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18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5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5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0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5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9</v>
      </c>
      <c r="I220" s="203">
        <v>5</v>
      </c>
      <c r="J220" s="203">
        <v>6</v>
      </c>
      <c r="K220" s="65">
        <v>10006.57</v>
      </c>
      <c r="L220" s="51"/>
      <c r="M220" s="50">
        <f t="shared" si="0"/>
        <v>2579.9</v>
      </c>
      <c r="N220" s="50"/>
      <c r="O220" s="225">
        <v>2579.9</v>
      </c>
      <c r="P220" s="108">
        <v>16</v>
      </c>
      <c r="Q220" s="65">
        <v>50670.65</v>
      </c>
      <c r="R220" s="224">
        <v>5</v>
      </c>
      <c r="S220" s="50">
        <f t="shared" si="5"/>
        <v>36453.31</v>
      </c>
      <c r="T220" s="65">
        <v>24141.61</v>
      </c>
      <c r="U220" s="225">
        <v>12311.7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5</v>
      </c>
      <c r="Q221" s="114">
        <v>24781.439999999999</v>
      </c>
      <c r="R221" s="270">
        <v>3</v>
      </c>
      <c r="S221" s="114">
        <v>19142.64</v>
      </c>
      <c r="T221" s="114">
        <v>19142.64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7"/>
      <c r="M222" s="26">
        <f t="shared" si="0"/>
        <v>0</v>
      </c>
      <c r="N222" s="26"/>
      <c r="O222" s="31"/>
      <c r="P222" s="53">
        <v>14</v>
      </c>
      <c r="Q222" s="30">
        <v>45509.18</v>
      </c>
      <c r="R222" s="205">
        <v>3</v>
      </c>
      <c r="S222" s="26">
        <f t="shared" ref="S222:S272" si="6">T222+U222</f>
        <v>19390.669999999998</v>
      </c>
      <c r="T222" s="30">
        <v>7081.87</v>
      </c>
      <c r="U222" s="225">
        <v>12308.8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1"/>
      <c r="P223" s="103"/>
      <c r="Q223" s="43"/>
      <c r="R223" s="44"/>
      <c r="S223" s="43">
        <f t="shared" si="6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1</v>
      </c>
      <c r="I224" s="25"/>
      <c r="J224" s="25"/>
      <c r="K224" s="26"/>
      <c r="L224" s="27"/>
      <c r="M224" s="26">
        <f t="shared" si="0"/>
        <v>0</v>
      </c>
      <c r="N224" s="26"/>
      <c r="O224" s="31"/>
      <c r="P224" s="120"/>
      <c r="Q224" s="26"/>
      <c r="R224" s="27"/>
      <c r="S224" s="26">
        <f t="shared" si="6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0"/>
        <v>0</v>
      </c>
      <c r="N225" s="43"/>
      <c r="O225" s="45"/>
      <c r="P225" s="42"/>
      <c r="Q225" s="43"/>
      <c r="R225" s="44"/>
      <c r="S225" s="43">
        <f t="shared" si="6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0"/>
        <v>0</v>
      </c>
      <c r="N226" s="26"/>
      <c r="O226" s="28"/>
      <c r="P226" s="120"/>
      <c r="Q226" s="26"/>
      <c r="R226" s="27"/>
      <c r="S226" s="26">
        <f t="shared" si="6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0"/>
        <v>0</v>
      </c>
      <c r="N227" s="211"/>
      <c r="O227" s="212"/>
      <c r="P227" s="284"/>
      <c r="Q227" s="211"/>
      <c r="R227" s="210"/>
      <c r="S227" s="211">
        <f t="shared" si="6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2</v>
      </c>
      <c r="I228" s="62"/>
      <c r="J228" s="62"/>
      <c r="K228" s="30"/>
      <c r="L228" s="27"/>
      <c r="M228" s="26">
        <f t="shared" si="0"/>
        <v>0</v>
      </c>
      <c r="N228" s="26"/>
      <c r="O228" s="28"/>
      <c r="P228" s="214"/>
      <c r="Q228" s="30"/>
      <c r="R228" s="205"/>
      <c r="S228" s="26">
        <f t="shared" si="6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3</v>
      </c>
      <c r="I229" s="37"/>
      <c r="J229" s="37"/>
      <c r="K229" s="68"/>
      <c r="L229" s="40"/>
      <c r="M229" s="39">
        <f t="shared" si="0"/>
        <v>0</v>
      </c>
      <c r="N229" s="39"/>
      <c r="O229" s="41"/>
      <c r="P229" s="217"/>
      <c r="Q229" s="68"/>
      <c r="R229" s="285"/>
      <c r="S229" s="39">
        <f t="shared" si="6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7</v>
      </c>
      <c r="K230" s="79">
        <v>5186.71</v>
      </c>
      <c r="L230" s="80"/>
      <c r="M230" s="81">
        <f t="shared" si="0"/>
        <v>0</v>
      </c>
      <c r="N230" s="81"/>
      <c r="O230" s="219"/>
      <c r="P230" s="267">
        <v>13</v>
      </c>
      <c r="Q230" s="79">
        <v>42826.720000000001</v>
      </c>
      <c r="R230" s="268">
        <v>9</v>
      </c>
      <c r="S230" s="81">
        <f t="shared" si="6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0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6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15</v>
      </c>
      <c r="I232" s="62">
        <v>13</v>
      </c>
      <c r="J232" s="62">
        <v>15</v>
      </c>
      <c r="K232" s="30">
        <v>19551.57</v>
      </c>
      <c r="L232" s="27"/>
      <c r="M232" s="26">
        <f t="shared" si="0"/>
        <v>0</v>
      </c>
      <c r="N232" s="26"/>
      <c r="O232" s="31"/>
      <c r="P232" s="53">
        <v>9</v>
      </c>
      <c r="Q232" s="30">
        <v>61174.91</v>
      </c>
      <c r="R232" s="205">
        <v>2</v>
      </c>
      <c r="S232" s="26">
        <f t="shared" si="6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0"/>
        <v>0</v>
      </c>
      <c r="N233" s="39"/>
      <c r="O233" s="41"/>
      <c r="P233" s="115">
        <v>1</v>
      </c>
      <c r="Q233" s="68">
        <v>3073.6</v>
      </c>
      <c r="R233" s="40"/>
      <c r="S233" s="39">
        <f t="shared" si="6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2</v>
      </c>
      <c r="I234" s="49"/>
      <c r="J234" s="49"/>
      <c r="K234" s="50"/>
      <c r="L234" s="51"/>
      <c r="M234" s="50">
        <f t="shared" si="0"/>
        <v>0</v>
      </c>
      <c r="N234" s="50"/>
      <c r="O234" s="31"/>
      <c r="P234" s="108">
        <v>10</v>
      </c>
      <c r="Q234" s="65">
        <v>15519.54</v>
      </c>
      <c r="R234" s="224">
        <v>1</v>
      </c>
      <c r="S234" s="50">
        <f t="shared" si="6"/>
        <v>8094.01</v>
      </c>
      <c r="T234" s="65">
        <v>1319.81</v>
      </c>
      <c r="U234" s="225">
        <v>6774.2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0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6"/>
        <v>4034.1</v>
      </c>
      <c r="T235" s="211">
        <f>4034.1</f>
        <v>4034.1</v>
      </c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61">
        <v>1</v>
      </c>
      <c r="I236" s="25"/>
      <c r="J236" s="25"/>
      <c r="K236" s="26"/>
      <c r="L236" s="27"/>
      <c r="M236" s="26">
        <f t="shared" si="0"/>
        <v>0</v>
      </c>
      <c r="N236" s="26"/>
      <c r="O236" s="28"/>
      <c r="P236" s="275"/>
      <c r="Q236" s="26"/>
      <c r="R236" s="27"/>
      <c r="S236" s="26">
        <f t="shared" si="6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0"/>
        <v>0</v>
      </c>
      <c r="N237" s="39"/>
      <c r="O237" s="41"/>
      <c r="P237" s="276"/>
      <c r="Q237" s="39"/>
      <c r="R237" s="40"/>
      <c r="S237" s="39">
        <f t="shared" si="6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0"/>
        <v>0</v>
      </c>
      <c r="N238" s="81"/>
      <c r="O238" s="219"/>
      <c r="P238" s="277"/>
      <c r="Q238" s="81"/>
      <c r="R238" s="80"/>
      <c r="S238" s="81">
        <f t="shared" si="6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1</v>
      </c>
      <c r="J239" s="130">
        <v>1</v>
      </c>
      <c r="K239" s="114">
        <v>1921</v>
      </c>
      <c r="L239" s="44"/>
      <c r="M239" s="43">
        <f t="shared" si="0"/>
        <v>0</v>
      </c>
      <c r="N239" s="43"/>
      <c r="O239" s="41"/>
      <c r="P239" s="113">
        <v>3</v>
      </c>
      <c r="Q239" s="114">
        <v>5839.84</v>
      </c>
      <c r="R239" s="44"/>
      <c r="S239" s="43">
        <f t="shared" si="6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0"/>
        <v>0</v>
      </c>
      <c r="N240" s="26"/>
      <c r="O240" s="31"/>
      <c r="P240" s="53">
        <v>2</v>
      </c>
      <c r="Q240" s="30">
        <v>2633.4</v>
      </c>
      <c r="R240" s="205">
        <v>1</v>
      </c>
      <c r="S240" s="26">
        <f t="shared" si="6"/>
        <v>2633.4</v>
      </c>
      <c r="T240" s="30">
        <v>1288.7</v>
      </c>
      <c r="U240" s="225">
        <v>1344.7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2</v>
      </c>
      <c r="I241" s="57"/>
      <c r="J241" s="57"/>
      <c r="K241" s="43"/>
      <c r="L241" s="44"/>
      <c r="M241" s="43">
        <f t="shared" si="0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6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5</v>
      </c>
      <c r="I242" s="62">
        <v>2</v>
      </c>
      <c r="J242" s="62">
        <v>2</v>
      </c>
      <c r="K242" s="30">
        <v>3562.05</v>
      </c>
      <c r="L242" s="27"/>
      <c r="M242" s="26">
        <f t="shared" si="0"/>
        <v>0</v>
      </c>
      <c r="N242" s="26"/>
      <c r="O242" s="31"/>
      <c r="P242" s="53">
        <v>12</v>
      </c>
      <c r="Q242" s="30">
        <v>25040</v>
      </c>
      <c r="R242" s="205">
        <v>3</v>
      </c>
      <c r="S242" s="26">
        <f t="shared" si="6"/>
        <v>18348.190000000002</v>
      </c>
      <c r="T242" s="30">
        <v>6447.76</v>
      </c>
      <c r="U242" s="225">
        <v>11900.43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6</v>
      </c>
      <c r="I243" s="38"/>
      <c r="J243" s="38"/>
      <c r="K243" s="39"/>
      <c r="L243" s="40"/>
      <c r="M243" s="39">
        <f t="shared" si="0"/>
        <v>0</v>
      </c>
      <c r="N243" s="39"/>
      <c r="O243" s="41"/>
      <c r="P243" s="59"/>
      <c r="Q243" s="39"/>
      <c r="R243" s="40"/>
      <c r="S243" s="39">
        <f t="shared" si="6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11</v>
      </c>
      <c r="I244" s="203">
        <v>8</v>
      </c>
      <c r="J244" s="203">
        <v>10</v>
      </c>
      <c r="K244" s="65">
        <v>11647.22</v>
      </c>
      <c r="L244" s="51"/>
      <c r="M244" s="50">
        <f t="shared" si="0"/>
        <v>2218.7600000000002</v>
      </c>
      <c r="N244" s="50"/>
      <c r="O244" s="225">
        <v>2218.7600000000002</v>
      </c>
      <c r="P244" s="108">
        <v>17</v>
      </c>
      <c r="Q244" s="65">
        <v>44479.839999999997</v>
      </c>
      <c r="R244" s="224">
        <v>4</v>
      </c>
      <c r="S244" s="50">
        <f t="shared" si="6"/>
        <v>25044.9</v>
      </c>
      <c r="T244" s="65">
        <v>11573.35</v>
      </c>
      <c r="U244" s="225">
        <v>13471.55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0"/>
        <v>0</v>
      </c>
      <c r="N245" s="43"/>
      <c r="O245" s="41"/>
      <c r="P245" s="113">
        <v>2</v>
      </c>
      <c r="Q245" s="114">
        <v>15252.74</v>
      </c>
      <c r="R245" s="270">
        <v>1</v>
      </c>
      <c r="S245" s="43">
        <f t="shared" si="6"/>
        <v>2996.76</v>
      </c>
      <c r="T245" s="114">
        <v>2996.76</v>
      </c>
      <c r="U245" s="23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429</v>
      </c>
      <c r="C246" s="374" t="s">
        <v>22</v>
      </c>
      <c r="D246" s="374"/>
      <c r="E246" s="374" t="s">
        <v>27</v>
      </c>
      <c r="F246" s="22"/>
      <c r="G246" s="176" t="s">
        <v>24</v>
      </c>
      <c r="H246" s="151"/>
      <c r="I246" s="25"/>
      <c r="J246" s="25"/>
      <c r="K246" s="26"/>
      <c r="L246" s="27"/>
      <c r="M246" s="26">
        <f t="shared" si="0"/>
        <v>0</v>
      </c>
      <c r="N246" s="26"/>
      <c r="O246" s="31"/>
      <c r="P246" s="53">
        <v>1</v>
      </c>
      <c r="Q246" s="30">
        <v>36784.050000000003</v>
      </c>
      <c r="R246" s="27"/>
      <c r="S246" s="26">
        <f t="shared" si="6"/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/>
      <c r="G247" s="229" t="s">
        <v>28</v>
      </c>
      <c r="H247" s="56"/>
      <c r="I247" s="57"/>
      <c r="J247" s="57"/>
      <c r="K247" s="43"/>
      <c r="L247" s="44"/>
      <c r="M247" s="43">
        <f t="shared" si="0"/>
        <v>0</v>
      </c>
      <c r="N247" s="43"/>
      <c r="O247" s="45"/>
      <c r="P247" s="113"/>
      <c r="Q247" s="114"/>
      <c r="R247" s="44"/>
      <c r="S247" s="43">
        <f t="shared" si="6"/>
        <v>0</v>
      </c>
      <c r="T247" s="114"/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188</v>
      </c>
      <c r="C248" s="374" t="s">
        <v>39</v>
      </c>
      <c r="D248" s="374"/>
      <c r="E248" s="374" t="s">
        <v>27</v>
      </c>
      <c r="F248" s="22"/>
      <c r="G248" s="176" t="s">
        <v>24</v>
      </c>
      <c r="H248" s="151">
        <v>1</v>
      </c>
      <c r="I248" s="25"/>
      <c r="J248" s="25"/>
      <c r="K248" s="26"/>
      <c r="L248" s="27"/>
      <c r="M248" s="26">
        <f t="shared" si="0"/>
        <v>0</v>
      </c>
      <c r="N248" s="26"/>
      <c r="O248" s="31"/>
      <c r="P248" s="99"/>
      <c r="Q248" s="26"/>
      <c r="R248" s="27"/>
      <c r="S248" s="26">
        <f t="shared" si="6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20.25" customHeight="1">
      <c r="A249" s="373"/>
      <c r="B249" s="375"/>
      <c r="C249" s="375"/>
      <c r="D249" s="375"/>
      <c r="E249" s="375"/>
      <c r="F249" s="220" t="s">
        <v>344</v>
      </c>
      <c r="G249" s="229" t="s">
        <v>28</v>
      </c>
      <c r="H249" s="56">
        <v>3</v>
      </c>
      <c r="I249" s="57"/>
      <c r="J249" s="57"/>
      <c r="K249" s="43"/>
      <c r="L249" s="44"/>
      <c r="M249" s="43">
        <f t="shared" si="0"/>
        <v>0</v>
      </c>
      <c r="N249" s="43"/>
      <c r="O249" s="45"/>
      <c r="P249" s="113">
        <v>11</v>
      </c>
      <c r="Q249" s="114">
        <v>13054.9</v>
      </c>
      <c r="R249" s="44"/>
      <c r="S249" s="43">
        <f t="shared" si="6"/>
        <v>4050.2</v>
      </c>
      <c r="T249" s="114">
        <v>4050.2</v>
      </c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189</v>
      </c>
      <c r="C250" s="374" t="s">
        <v>39</v>
      </c>
      <c r="D250" s="374" t="s">
        <v>427</v>
      </c>
      <c r="E250" s="374" t="s">
        <v>27</v>
      </c>
      <c r="F250" s="232" t="s">
        <v>428</v>
      </c>
      <c r="G250" s="23" t="s">
        <v>24</v>
      </c>
      <c r="H250" s="24">
        <v>10</v>
      </c>
      <c r="I250" s="62">
        <v>3</v>
      </c>
      <c r="J250" s="62">
        <v>5</v>
      </c>
      <c r="K250" s="30">
        <v>6835.88</v>
      </c>
      <c r="L250" s="27"/>
      <c r="M250" s="26">
        <f t="shared" si="0"/>
        <v>2828.68</v>
      </c>
      <c r="N250" s="26"/>
      <c r="O250" s="241">
        <v>2828.68</v>
      </c>
      <c r="P250" s="29">
        <v>2</v>
      </c>
      <c r="Q250" s="30">
        <v>1870.81</v>
      </c>
      <c r="R250" s="27"/>
      <c r="S250" s="26">
        <f t="shared" si="6"/>
        <v>1870.81</v>
      </c>
      <c r="T250" s="26"/>
      <c r="U250" s="241">
        <v>1870.81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256</v>
      </c>
      <c r="G251" s="35" t="s">
        <v>28</v>
      </c>
      <c r="H251" s="66">
        <v>3</v>
      </c>
      <c r="I251" s="38"/>
      <c r="J251" s="38"/>
      <c r="K251" s="39"/>
      <c r="L251" s="40"/>
      <c r="M251" s="39">
        <f t="shared" si="0"/>
        <v>0</v>
      </c>
      <c r="N251" s="39"/>
      <c r="O251" s="41"/>
      <c r="P251" s="69"/>
      <c r="Q251" s="39"/>
      <c r="R251" s="40"/>
      <c r="S251" s="39">
        <f t="shared" si="6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190</v>
      </c>
      <c r="C252" s="381" t="s">
        <v>39</v>
      </c>
      <c r="D252" s="381" t="s">
        <v>191</v>
      </c>
      <c r="E252" s="381" t="s">
        <v>27</v>
      </c>
      <c r="F252" s="46"/>
      <c r="G252" s="47" t="s">
        <v>24</v>
      </c>
      <c r="H252" s="98"/>
      <c r="I252" s="49"/>
      <c r="J252" s="49"/>
      <c r="K252" s="50"/>
      <c r="L252" s="51"/>
      <c r="M252" s="50">
        <f t="shared" si="0"/>
        <v>0</v>
      </c>
      <c r="N252" s="50"/>
      <c r="O252" s="31"/>
      <c r="P252" s="123"/>
      <c r="Q252" s="50"/>
      <c r="R252" s="51"/>
      <c r="S252" s="50">
        <f t="shared" si="6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345</v>
      </c>
      <c r="G253" s="35" t="s">
        <v>28</v>
      </c>
      <c r="H253" s="112">
        <v>2</v>
      </c>
      <c r="I253" s="57"/>
      <c r="J253" s="57"/>
      <c r="K253" s="43"/>
      <c r="L253" s="44"/>
      <c r="M253" s="43">
        <f t="shared" si="0"/>
        <v>0</v>
      </c>
      <c r="N253" s="43"/>
      <c r="O253" s="45"/>
      <c r="P253" s="115">
        <v>4</v>
      </c>
      <c r="Q253" s="68">
        <v>5106.7</v>
      </c>
      <c r="R253" s="40"/>
      <c r="S253" s="39">
        <f t="shared" si="6"/>
        <v>6739.58</v>
      </c>
      <c r="T253" s="68">
        <f>3818+2921.58</f>
        <v>6739.58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192</v>
      </c>
      <c r="C254" s="374" t="s">
        <v>22</v>
      </c>
      <c r="D254" s="374"/>
      <c r="E254" s="374" t="s">
        <v>193</v>
      </c>
      <c r="F254" s="204" t="s">
        <v>318</v>
      </c>
      <c r="G254" s="176" t="s">
        <v>24</v>
      </c>
      <c r="H254" s="61">
        <v>5</v>
      </c>
      <c r="I254" s="62">
        <v>5</v>
      </c>
      <c r="J254" s="62">
        <v>5</v>
      </c>
      <c r="K254" s="30">
        <v>6361.1</v>
      </c>
      <c r="L254" s="27"/>
      <c r="M254" s="26">
        <f t="shared" si="0"/>
        <v>0</v>
      </c>
      <c r="N254" s="26"/>
      <c r="O254" s="100"/>
      <c r="P254" s="64">
        <v>19</v>
      </c>
      <c r="Q254" s="65">
        <v>50291.24</v>
      </c>
      <c r="R254" s="224">
        <v>11</v>
      </c>
      <c r="S254" s="50">
        <f t="shared" si="6"/>
        <v>32753.78</v>
      </c>
      <c r="T254" s="65">
        <v>26877.439999999999</v>
      </c>
      <c r="U254" s="225">
        <v>5876.34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346</v>
      </c>
      <c r="G255" s="229" t="s">
        <v>28</v>
      </c>
      <c r="H255" s="133">
        <v>1</v>
      </c>
      <c r="I255" s="37">
        <v>1</v>
      </c>
      <c r="J255" s="37">
        <v>1</v>
      </c>
      <c r="K255" s="68">
        <v>1728.9</v>
      </c>
      <c r="L255" s="40"/>
      <c r="M255" s="39">
        <f t="shared" si="0"/>
        <v>0</v>
      </c>
      <c r="N255" s="39"/>
      <c r="O255" s="41"/>
      <c r="P255" s="42"/>
      <c r="Q255" s="43"/>
      <c r="R255" s="44"/>
      <c r="S255" s="43">
        <f t="shared" si="6"/>
        <v>0</v>
      </c>
      <c r="T255" s="43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194</v>
      </c>
      <c r="C256" s="377" t="s">
        <v>39</v>
      </c>
      <c r="D256" s="377" t="s">
        <v>319</v>
      </c>
      <c r="E256" s="374" t="s">
        <v>160</v>
      </c>
      <c r="F256" s="232" t="s">
        <v>320</v>
      </c>
      <c r="G256" s="23" t="s">
        <v>24</v>
      </c>
      <c r="H256" s="48">
        <v>5</v>
      </c>
      <c r="I256" s="203">
        <v>3</v>
      </c>
      <c r="J256" s="203">
        <v>3</v>
      </c>
      <c r="K256" s="65">
        <v>2090.2399999999998</v>
      </c>
      <c r="L256" s="128"/>
      <c r="M256" s="129">
        <f t="shared" si="0"/>
        <v>288.14999999999998</v>
      </c>
      <c r="N256" s="50"/>
      <c r="O256" s="225">
        <v>288.14999999999998</v>
      </c>
      <c r="P256" s="29">
        <v>3</v>
      </c>
      <c r="Q256" s="30">
        <v>6107.21</v>
      </c>
      <c r="R256" s="205">
        <v>2</v>
      </c>
      <c r="S256" s="26">
        <f t="shared" si="6"/>
        <v>6107.21</v>
      </c>
      <c r="T256" s="30">
        <v>2951.62</v>
      </c>
      <c r="U256" s="225">
        <v>3155.59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347</v>
      </c>
      <c r="G257" s="35" t="s">
        <v>28</v>
      </c>
      <c r="H257" s="117">
        <v>1</v>
      </c>
      <c r="I257" s="37"/>
      <c r="J257" s="37"/>
      <c r="K257" s="39"/>
      <c r="L257" s="44"/>
      <c r="M257" s="43">
        <f t="shared" si="0"/>
        <v>0</v>
      </c>
      <c r="N257" s="39"/>
      <c r="O257" s="41"/>
      <c r="P257" s="37">
        <v>5</v>
      </c>
      <c r="Q257" s="37">
        <v>12038.63</v>
      </c>
      <c r="R257" s="40"/>
      <c r="S257" s="39">
        <f t="shared" si="6"/>
        <v>4621.6400000000003</v>
      </c>
      <c r="T257" s="68">
        <f>576.3+4045.34</f>
        <v>4621.6400000000003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195</v>
      </c>
      <c r="C258" s="377" t="s">
        <v>39</v>
      </c>
      <c r="D258" s="377" t="s">
        <v>231</v>
      </c>
      <c r="E258" s="381" t="s">
        <v>27</v>
      </c>
      <c r="F258" s="204" t="s">
        <v>232</v>
      </c>
      <c r="G258" s="47" t="s">
        <v>24</v>
      </c>
      <c r="H258" s="61">
        <v>1</v>
      </c>
      <c r="I258" s="25"/>
      <c r="J258" s="25"/>
      <c r="K258" s="26"/>
      <c r="L258" s="27"/>
      <c r="M258" s="26">
        <f t="shared" si="0"/>
        <v>0</v>
      </c>
      <c r="N258" s="26"/>
      <c r="O258" s="31"/>
      <c r="P258" s="64">
        <v>7</v>
      </c>
      <c r="Q258" s="65">
        <v>46859.35</v>
      </c>
      <c r="R258" s="224">
        <v>4</v>
      </c>
      <c r="S258" s="50">
        <f t="shared" si="6"/>
        <v>38298.17</v>
      </c>
      <c r="T258" s="65">
        <v>38298.17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260</v>
      </c>
      <c r="G259" s="55" t="s">
        <v>28</v>
      </c>
      <c r="H259" s="178">
        <v>3</v>
      </c>
      <c r="I259" s="130">
        <v>1</v>
      </c>
      <c r="J259" s="130">
        <v>1</v>
      </c>
      <c r="K259" s="114">
        <v>1152.5999999999999</v>
      </c>
      <c r="L259" s="44"/>
      <c r="M259" s="43">
        <f t="shared" si="0"/>
        <v>1152.5999999999999</v>
      </c>
      <c r="N259" s="43">
        <f>1152.6</f>
        <v>1152.5999999999999</v>
      </c>
      <c r="O259" s="222"/>
      <c r="P259" s="130">
        <v>4</v>
      </c>
      <c r="Q259" s="130">
        <v>15104.45</v>
      </c>
      <c r="R259" s="44"/>
      <c r="S259" s="43">
        <f t="shared" si="6"/>
        <v>18249.5</v>
      </c>
      <c r="T259" s="114">
        <f>4994.6+12678.6</f>
        <v>17673.2</v>
      </c>
      <c r="U259" s="222">
        <f>576.3</f>
        <v>576.29999999999995</v>
      </c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196</v>
      </c>
      <c r="C260" s="381" t="s">
        <v>22</v>
      </c>
      <c r="D260" s="374"/>
      <c r="E260" s="381" t="s">
        <v>27</v>
      </c>
      <c r="F260" s="22"/>
      <c r="G260" s="23" t="s">
        <v>24</v>
      </c>
      <c r="H260" s="119"/>
      <c r="I260" s="25"/>
      <c r="J260" s="25"/>
      <c r="K260" s="26"/>
      <c r="L260" s="27"/>
      <c r="M260" s="26">
        <f t="shared" si="0"/>
        <v>0</v>
      </c>
      <c r="N260" s="26"/>
      <c r="O260" s="28"/>
      <c r="P260" s="120"/>
      <c r="Q260" s="26"/>
      <c r="R260" s="27"/>
      <c r="S260" s="26">
        <f t="shared" si="6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348</v>
      </c>
      <c r="G261" s="35" t="s">
        <v>28</v>
      </c>
      <c r="H261" s="66">
        <v>4</v>
      </c>
      <c r="I261" s="38"/>
      <c r="J261" s="38"/>
      <c r="K261" s="39"/>
      <c r="L261" s="40"/>
      <c r="M261" s="39">
        <f t="shared" si="0"/>
        <v>0</v>
      </c>
      <c r="N261" s="39"/>
      <c r="O261" s="41"/>
      <c r="P261" s="67">
        <v>3</v>
      </c>
      <c r="Q261" s="68">
        <v>9605</v>
      </c>
      <c r="R261" s="40"/>
      <c r="S261" s="39">
        <f t="shared" si="6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197</v>
      </c>
      <c r="C262" s="381" t="s">
        <v>39</v>
      </c>
      <c r="D262" s="381" t="s">
        <v>381</v>
      </c>
      <c r="E262" s="381" t="s">
        <v>27</v>
      </c>
      <c r="F262" s="204" t="s">
        <v>382</v>
      </c>
      <c r="G262" s="47" t="s">
        <v>24</v>
      </c>
      <c r="H262" s="98"/>
      <c r="I262" s="49"/>
      <c r="J262" s="49"/>
      <c r="K262" s="50"/>
      <c r="L262" s="51"/>
      <c r="M262" s="50">
        <f t="shared" si="0"/>
        <v>0</v>
      </c>
      <c r="N262" s="50"/>
      <c r="O262" s="31"/>
      <c r="P262" s="108">
        <v>1</v>
      </c>
      <c r="Q262" s="65">
        <v>748.24</v>
      </c>
      <c r="R262" s="224">
        <v>1</v>
      </c>
      <c r="S262" s="50">
        <f t="shared" si="6"/>
        <v>748.24</v>
      </c>
      <c r="T262" s="65">
        <v>748.24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9"/>
      <c r="B263" s="380"/>
      <c r="C263" s="380"/>
      <c r="D263" s="380"/>
      <c r="E263" s="380"/>
      <c r="F263" s="221" t="s">
        <v>349</v>
      </c>
      <c r="G263" s="55" t="s">
        <v>28</v>
      </c>
      <c r="H263" s="153">
        <v>3</v>
      </c>
      <c r="I263" s="130">
        <v>2</v>
      </c>
      <c r="J263" s="130">
        <v>2</v>
      </c>
      <c r="K263" s="114">
        <v>3265.7</v>
      </c>
      <c r="L263" s="44"/>
      <c r="M263" s="43">
        <f t="shared" si="0"/>
        <v>1056.55</v>
      </c>
      <c r="N263" s="43"/>
      <c r="O263" s="234">
        <v>1056.55</v>
      </c>
      <c r="P263" s="103"/>
      <c r="Q263" s="43"/>
      <c r="R263" s="44"/>
      <c r="S263" s="43">
        <f t="shared" si="6"/>
        <v>3765.16</v>
      </c>
      <c r="T263" s="114">
        <f>1440.75+2324.41</f>
        <v>3765.16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198</v>
      </c>
      <c r="C264" s="374" t="s">
        <v>22</v>
      </c>
      <c r="D264" s="374"/>
      <c r="E264" s="374" t="s">
        <v>112</v>
      </c>
      <c r="F264" s="204" t="s">
        <v>383</v>
      </c>
      <c r="G264" s="23" t="s">
        <v>24</v>
      </c>
      <c r="H264" s="48">
        <v>5</v>
      </c>
      <c r="I264" s="62">
        <v>3</v>
      </c>
      <c r="J264" s="62">
        <v>3</v>
      </c>
      <c r="K264" s="30">
        <v>4187.78</v>
      </c>
      <c r="L264" s="27"/>
      <c r="M264" s="26">
        <f t="shared" si="0"/>
        <v>0</v>
      </c>
      <c r="N264" s="26"/>
      <c r="O264" s="31"/>
      <c r="P264" s="53">
        <v>9</v>
      </c>
      <c r="Q264" s="30">
        <v>35504.269999999997</v>
      </c>
      <c r="R264" s="205">
        <v>3</v>
      </c>
      <c r="S264" s="26">
        <f t="shared" si="6"/>
        <v>10703.11</v>
      </c>
      <c r="T264" s="30">
        <v>10703.11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350</v>
      </c>
      <c r="G265" s="35" t="s">
        <v>28</v>
      </c>
      <c r="H265" s="153">
        <v>1</v>
      </c>
      <c r="I265" s="38"/>
      <c r="J265" s="38"/>
      <c r="K265" s="39"/>
      <c r="L265" s="40"/>
      <c r="M265" s="39">
        <f t="shared" si="0"/>
        <v>0</v>
      </c>
      <c r="N265" s="39"/>
      <c r="O265" s="41"/>
      <c r="P265" s="59"/>
      <c r="Q265" s="39"/>
      <c r="R265" s="40"/>
      <c r="S265" s="39">
        <f t="shared" si="6"/>
        <v>0</v>
      </c>
      <c r="T265" s="39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199</v>
      </c>
      <c r="C266" s="381" t="s">
        <v>22</v>
      </c>
      <c r="D266" s="381"/>
      <c r="E266" s="381" t="s">
        <v>131</v>
      </c>
      <c r="F266" s="46"/>
      <c r="G266" s="23" t="s">
        <v>24</v>
      </c>
      <c r="H266" s="98"/>
      <c r="I266" s="49"/>
      <c r="J266" s="49"/>
      <c r="K266" s="50"/>
      <c r="L266" s="51"/>
      <c r="M266" s="50">
        <f t="shared" si="0"/>
        <v>0</v>
      </c>
      <c r="N266" s="50"/>
      <c r="O266" s="31"/>
      <c r="P266" s="123"/>
      <c r="Q266" s="50"/>
      <c r="R266" s="51"/>
      <c r="S266" s="50">
        <f t="shared" si="6"/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126"/>
      <c r="G267" s="55" t="s">
        <v>25</v>
      </c>
      <c r="H267" s="118"/>
      <c r="I267" s="57"/>
      <c r="J267" s="57"/>
      <c r="K267" s="43"/>
      <c r="L267" s="44"/>
      <c r="M267" s="43">
        <f t="shared" si="0"/>
        <v>0</v>
      </c>
      <c r="N267" s="43"/>
      <c r="O267" s="41"/>
      <c r="P267" s="103"/>
      <c r="Q267" s="43"/>
      <c r="R267" s="44"/>
      <c r="S267" s="43">
        <f t="shared" si="6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200</v>
      </c>
      <c r="C268" s="374" t="s">
        <v>22</v>
      </c>
      <c r="D268" s="374"/>
      <c r="E268" s="374" t="s">
        <v>27</v>
      </c>
      <c r="F268" s="204" t="s">
        <v>384</v>
      </c>
      <c r="G268" s="23" t="s">
        <v>24</v>
      </c>
      <c r="H268" s="61">
        <v>1</v>
      </c>
      <c r="I268" s="25"/>
      <c r="J268" s="25"/>
      <c r="K268" s="26"/>
      <c r="L268" s="27"/>
      <c r="M268" s="26">
        <f t="shared" si="0"/>
        <v>0</v>
      </c>
      <c r="N268" s="26"/>
      <c r="O268" s="31"/>
      <c r="P268" s="29">
        <v>5</v>
      </c>
      <c r="Q268" s="30">
        <v>20287.48</v>
      </c>
      <c r="R268" s="205">
        <v>1</v>
      </c>
      <c r="S268" s="26">
        <f t="shared" si="6"/>
        <v>12991.56</v>
      </c>
      <c r="T268" s="30">
        <v>1911.09</v>
      </c>
      <c r="U268" s="225">
        <v>11080.47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33" t="s">
        <v>351</v>
      </c>
      <c r="G269" s="227" t="s">
        <v>28</v>
      </c>
      <c r="H269" s="207">
        <v>1</v>
      </c>
      <c r="I269" s="208">
        <v>1</v>
      </c>
      <c r="J269" s="208">
        <v>1</v>
      </c>
      <c r="K269" s="209">
        <v>1056.55</v>
      </c>
      <c r="L269" s="210"/>
      <c r="M269" s="211">
        <f t="shared" si="0"/>
        <v>0</v>
      </c>
      <c r="N269" s="211"/>
      <c r="O269" s="212"/>
      <c r="P269" s="284"/>
      <c r="Q269" s="211"/>
      <c r="R269" s="210"/>
      <c r="S269" s="211">
        <f t="shared" si="6"/>
        <v>1921</v>
      </c>
      <c r="T269" s="209">
        <v>1921</v>
      </c>
      <c r="U269" s="212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430</v>
      </c>
      <c r="C270" s="374" t="s">
        <v>39</v>
      </c>
      <c r="D270" s="374" t="s">
        <v>439</v>
      </c>
      <c r="E270" s="374" t="s">
        <v>27</v>
      </c>
      <c r="F270" s="204" t="s">
        <v>440</v>
      </c>
      <c r="G270" s="213" t="s">
        <v>24</v>
      </c>
      <c r="H270" s="61"/>
      <c r="I270" s="62"/>
      <c r="J270" s="62"/>
      <c r="K270" s="30"/>
      <c r="L270" s="27"/>
      <c r="M270" s="26">
        <f t="shared" si="0"/>
        <v>0</v>
      </c>
      <c r="N270" s="26"/>
      <c r="O270" s="241"/>
      <c r="P270" s="214"/>
      <c r="Q270" s="30"/>
      <c r="R270" s="205"/>
      <c r="S270" s="26">
        <f t="shared" si="6"/>
        <v>0</v>
      </c>
      <c r="T270" s="30"/>
      <c r="U270" s="28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0"/>
      <c r="G271" s="215" t="s">
        <v>28</v>
      </c>
      <c r="H271" s="117"/>
      <c r="I271" s="37"/>
      <c r="J271" s="37"/>
      <c r="K271" s="68"/>
      <c r="L271" s="40"/>
      <c r="M271" s="39">
        <f t="shared" si="0"/>
        <v>0</v>
      </c>
      <c r="N271" s="39"/>
      <c r="O271" s="234"/>
      <c r="P271" s="217"/>
      <c r="Q271" s="68"/>
      <c r="R271" s="285"/>
      <c r="S271" s="39">
        <f t="shared" si="6"/>
        <v>0</v>
      </c>
      <c r="T271" s="68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6"/>
      <c r="B272" s="377" t="s">
        <v>201</v>
      </c>
      <c r="C272" s="377" t="s">
        <v>39</v>
      </c>
      <c r="D272" s="377" t="s">
        <v>385</v>
      </c>
      <c r="E272" s="377" t="s">
        <v>386</v>
      </c>
      <c r="F272" s="232" t="s">
        <v>387</v>
      </c>
      <c r="G272" s="95" t="s">
        <v>24</v>
      </c>
      <c r="H272" s="265">
        <v>9</v>
      </c>
      <c r="I272" s="266">
        <v>7</v>
      </c>
      <c r="J272" s="266">
        <v>10</v>
      </c>
      <c r="K272" s="79">
        <v>14008.12</v>
      </c>
      <c r="L272" s="80"/>
      <c r="M272" s="81">
        <f t="shared" si="0"/>
        <v>4589.6499999999996</v>
      </c>
      <c r="N272" s="81"/>
      <c r="O272" s="313">
        <v>4589.6499999999996</v>
      </c>
      <c r="P272" s="267">
        <v>2</v>
      </c>
      <c r="Q272" s="79">
        <v>4356.83</v>
      </c>
      <c r="R272" s="268">
        <v>2</v>
      </c>
      <c r="S272" s="81">
        <f t="shared" si="6"/>
        <v>4356.83</v>
      </c>
      <c r="T272" s="79">
        <v>4356.83</v>
      </c>
      <c r="U272" s="8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105"/>
      <c r="G273" s="35" t="s">
        <v>25</v>
      </c>
      <c r="H273" s="106"/>
      <c r="I273" s="38"/>
      <c r="J273" s="38"/>
      <c r="K273" s="39"/>
      <c r="L273" s="40"/>
      <c r="M273" s="39">
        <f t="shared" si="0"/>
        <v>0</v>
      </c>
      <c r="N273" s="39"/>
      <c r="O273" s="58"/>
      <c r="P273" s="115">
        <v>2</v>
      </c>
      <c r="Q273" s="68">
        <v>4418.3</v>
      </c>
      <c r="R273" s="285">
        <v>1</v>
      </c>
      <c r="S273" s="68">
        <v>3073.6</v>
      </c>
      <c r="T273" s="68">
        <v>3073.6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202</v>
      </c>
      <c r="C274" s="381" t="s">
        <v>39</v>
      </c>
      <c r="D274" s="377" t="s">
        <v>441</v>
      </c>
      <c r="E274" s="381" t="s">
        <v>27</v>
      </c>
      <c r="F274" s="204" t="s">
        <v>442</v>
      </c>
      <c r="G274" s="47" t="s">
        <v>24</v>
      </c>
      <c r="H274" s="48">
        <v>1</v>
      </c>
      <c r="I274" s="49"/>
      <c r="J274" s="49"/>
      <c r="K274" s="50"/>
      <c r="L274" s="51"/>
      <c r="M274" s="50">
        <f t="shared" si="0"/>
        <v>0</v>
      </c>
      <c r="N274" s="50"/>
      <c r="O274" s="31"/>
      <c r="P274" s="108">
        <v>1</v>
      </c>
      <c r="Q274" s="65">
        <v>1124.17</v>
      </c>
      <c r="R274" s="51"/>
      <c r="S274" s="50">
        <f t="shared" ref="S274:S279" si="7">T274+U274</f>
        <v>1124.17</v>
      </c>
      <c r="T274" s="50"/>
      <c r="U274" s="225">
        <v>1124.17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1" t="s">
        <v>262</v>
      </c>
      <c r="G275" s="55" t="s">
        <v>28</v>
      </c>
      <c r="H275" s="112">
        <v>2</v>
      </c>
      <c r="I275" s="57"/>
      <c r="J275" s="57"/>
      <c r="K275" s="43"/>
      <c r="L275" s="128"/>
      <c r="M275" s="129">
        <f t="shared" si="0"/>
        <v>0</v>
      </c>
      <c r="N275" s="43"/>
      <c r="O275" s="45"/>
      <c r="P275" s="113">
        <v>1</v>
      </c>
      <c r="Q275" s="114">
        <v>1344.7</v>
      </c>
      <c r="R275" s="128"/>
      <c r="S275" s="129">
        <f t="shared" si="7"/>
        <v>4994.6000000000004</v>
      </c>
      <c r="T275" s="114">
        <f>3649.9+1344.7</f>
        <v>4994.6000000000004</v>
      </c>
      <c r="U275" s="4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203</v>
      </c>
      <c r="C276" s="374"/>
      <c r="D276" s="374"/>
      <c r="E276" s="374" t="s">
        <v>27</v>
      </c>
      <c r="F276" s="60"/>
      <c r="G276" s="23" t="s">
        <v>24</v>
      </c>
      <c r="H276" s="104"/>
      <c r="I276" s="25"/>
      <c r="J276" s="25"/>
      <c r="K276" s="26"/>
      <c r="L276" s="27"/>
      <c r="M276" s="26">
        <f t="shared" si="0"/>
        <v>0</v>
      </c>
      <c r="N276" s="26"/>
      <c r="O276" s="28"/>
      <c r="P276" s="120"/>
      <c r="Q276" s="26"/>
      <c r="R276" s="27"/>
      <c r="S276" s="26">
        <f t="shared" si="7"/>
        <v>0</v>
      </c>
      <c r="T276" s="26"/>
      <c r="U276" s="28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28</v>
      </c>
      <c r="H277" s="117"/>
      <c r="I277" s="38"/>
      <c r="J277" s="38"/>
      <c r="K277" s="39"/>
      <c r="L277" s="40"/>
      <c r="M277" s="39">
        <f t="shared" si="0"/>
        <v>0</v>
      </c>
      <c r="N277" s="39"/>
      <c r="O277" s="41"/>
      <c r="P277" s="69"/>
      <c r="Q277" s="39"/>
      <c r="R277" s="40"/>
      <c r="S277" s="39">
        <f t="shared" si="7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204</v>
      </c>
      <c r="C278" s="381" t="s">
        <v>22</v>
      </c>
      <c r="D278" s="381"/>
      <c r="E278" s="381" t="s">
        <v>23</v>
      </c>
      <c r="F278" s="204" t="s">
        <v>431</v>
      </c>
      <c r="G278" s="47" t="s">
        <v>24</v>
      </c>
      <c r="H278" s="48">
        <v>6</v>
      </c>
      <c r="I278" s="203">
        <v>5</v>
      </c>
      <c r="J278" s="203">
        <v>6</v>
      </c>
      <c r="K278" s="65">
        <v>7650.47</v>
      </c>
      <c r="L278" s="51"/>
      <c r="M278" s="50">
        <f t="shared" si="0"/>
        <v>384.2</v>
      </c>
      <c r="N278" s="50"/>
      <c r="O278" s="225">
        <v>384.2</v>
      </c>
      <c r="P278" s="108">
        <v>4</v>
      </c>
      <c r="Q278" s="65">
        <v>3363.11</v>
      </c>
      <c r="R278" s="51"/>
      <c r="S278" s="50">
        <f t="shared" si="7"/>
        <v>3363.11</v>
      </c>
      <c r="T278" s="50"/>
      <c r="U278" s="225">
        <v>3363.11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25</v>
      </c>
      <c r="H279" s="111"/>
      <c r="I279" s="38"/>
      <c r="J279" s="38"/>
      <c r="K279" s="39"/>
      <c r="L279" s="40"/>
      <c r="M279" s="39">
        <f t="shared" si="0"/>
        <v>0</v>
      </c>
      <c r="N279" s="39"/>
      <c r="O279" s="41"/>
      <c r="P279" s="115">
        <v>1</v>
      </c>
      <c r="Q279" s="68">
        <v>2305.1999999999998</v>
      </c>
      <c r="R279" s="40"/>
      <c r="S279" s="39">
        <f t="shared" si="7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179"/>
      <c r="B280" s="180" t="s">
        <v>205</v>
      </c>
      <c r="C280" s="180"/>
      <c r="D280" s="180"/>
      <c r="E280" s="180"/>
      <c r="F280" s="180"/>
      <c r="G280" s="181"/>
      <c r="H280" s="182">
        <f t="shared" ref="H280:U280" si="8">SUM(H9:H279)</f>
        <v>797</v>
      </c>
      <c r="I280" s="183">
        <f t="shared" si="8"/>
        <v>350</v>
      </c>
      <c r="J280" s="183">
        <f t="shared" si="8"/>
        <v>407</v>
      </c>
      <c r="K280" s="184">
        <f t="shared" si="8"/>
        <v>620559.87999999966</v>
      </c>
      <c r="L280" s="185">
        <f t="shared" si="8"/>
        <v>25</v>
      </c>
      <c r="M280" s="184">
        <f t="shared" si="8"/>
        <v>162356.11999999997</v>
      </c>
      <c r="N280" s="184">
        <f t="shared" si="8"/>
        <v>42704.630000000005</v>
      </c>
      <c r="O280" s="186">
        <f t="shared" si="8"/>
        <v>119651.48999999998</v>
      </c>
      <c r="P280" s="187">
        <f t="shared" si="8"/>
        <v>1021</v>
      </c>
      <c r="Q280" s="188">
        <f t="shared" si="8"/>
        <v>3169070.4499999997</v>
      </c>
      <c r="R280" s="185">
        <f t="shared" si="8"/>
        <v>364</v>
      </c>
      <c r="S280" s="188">
        <f t="shared" si="8"/>
        <v>1945307.9300000002</v>
      </c>
      <c r="T280" s="188">
        <f t="shared" si="8"/>
        <v>1275475.8100000005</v>
      </c>
      <c r="U280" s="189">
        <f t="shared" si="8"/>
        <v>669832.12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I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 t="s">
        <v>206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27.75" customHeight="1">
      <c r="A284" s="4"/>
      <c r="B284" s="4"/>
      <c r="C284" s="4"/>
      <c r="D284" s="4"/>
      <c r="E284" s="4"/>
      <c r="F284" s="394"/>
      <c r="G284" s="395" t="s">
        <v>5</v>
      </c>
      <c r="H284" s="396"/>
      <c r="I284" s="396"/>
      <c r="J284" s="396"/>
      <c r="K284" s="396"/>
      <c r="L284" s="396"/>
      <c r="M284" s="396"/>
      <c r="N284" s="397"/>
      <c r="O284" s="395" t="s">
        <v>6</v>
      </c>
      <c r="P284" s="396"/>
      <c r="Q284" s="396"/>
      <c r="R284" s="396"/>
      <c r="S284" s="396"/>
      <c r="T284" s="397"/>
      <c r="U284" s="393" t="s">
        <v>207</v>
      </c>
      <c r="V284" s="393" t="s">
        <v>208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386"/>
      <c r="G285" s="190" t="s">
        <v>13</v>
      </c>
      <c r="H285" s="190" t="s">
        <v>14</v>
      </c>
      <c r="I285" s="190" t="s">
        <v>15</v>
      </c>
      <c r="J285" s="190" t="s">
        <v>16</v>
      </c>
      <c r="K285" s="191" t="s">
        <v>17</v>
      </c>
      <c r="L285" s="190" t="s">
        <v>18</v>
      </c>
      <c r="M285" s="190" t="s">
        <v>19</v>
      </c>
      <c r="N285" s="190" t="s">
        <v>20</v>
      </c>
      <c r="O285" s="190" t="s">
        <v>15</v>
      </c>
      <c r="P285" s="190" t="s">
        <v>16</v>
      </c>
      <c r="Q285" s="191" t="s">
        <v>17</v>
      </c>
      <c r="R285" s="190" t="s">
        <v>18</v>
      </c>
      <c r="S285" s="190" t="s">
        <v>19</v>
      </c>
      <c r="T285" s="190" t="s">
        <v>20</v>
      </c>
      <c r="U285" s="392"/>
      <c r="V285" s="392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24</v>
      </c>
      <c r="G286" s="193">
        <f t="shared" ref="G286:I286" si="9">SUMIF($G$9:$G$279,$F$286,H9:H279)</f>
        <v>547</v>
      </c>
      <c r="H286" s="193">
        <f t="shared" si="9"/>
        <v>288</v>
      </c>
      <c r="I286" s="193">
        <f t="shared" si="9"/>
        <v>345</v>
      </c>
      <c r="J286" s="194">
        <f t="shared" ref="J286:J288" si="10">SUMIF($G$9:$G$279,F286,$K$9:$K$279)</f>
        <v>530349.34</v>
      </c>
      <c r="K286" s="195">
        <f t="shared" ref="K286:K288" si="11">SUMIF($G$9:$G$279,F286,$L$9:$L$279)</f>
        <v>14</v>
      </c>
      <c r="L286" s="194">
        <f t="shared" ref="L286:L288" si="12">SUMIF($G$9:$G$279,F286,$M$9:$M$279)</f>
        <v>138397.66999999998</v>
      </c>
      <c r="M286" s="194">
        <f t="shared" ref="M286:O286" si="13">SUMIF($G$9:$G$279,$F$286,N9:N279)</f>
        <v>19802.73</v>
      </c>
      <c r="N286" s="194">
        <f t="shared" si="13"/>
        <v>118594.93999999997</v>
      </c>
      <c r="O286" s="193">
        <f t="shared" si="13"/>
        <v>860</v>
      </c>
      <c r="P286" s="194">
        <f t="shared" ref="P286:P288" si="14">SUMIF($G$9:$G$279,F286,$Q$9:$Q$279)</f>
        <v>2707341.36</v>
      </c>
      <c r="Q286" s="195">
        <f t="shared" ref="Q286:Q288" si="15">SUMIF($G$9:$G$279,F286,$R$9:$R$279)</f>
        <v>339</v>
      </c>
      <c r="R286" s="194">
        <f t="shared" ref="R286:R288" si="16">SUMIF($G$9:$G$279,F286,$S$9:$S$279)</f>
        <v>1622058.5499999998</v>
      </c>
      <c r="S286" s="194">
        <f t="shared" ref="S286:T286" si="17">SUMIF($G$9:$G$279,$F$286,T9:T279)</f>
        <v>969208.07</v>
      </c>
      <c r="T286" s="194">
        <f t="shared" si="17"/>
        <v>652850.48</v>
      </c>
      <c r="U286" s="194">
        <f t="shared" ref="U286:U288" si="18">S286+M286</f>
        <v>989010.79999999993</v>
      </c>
      <c r="V286" s="196">
        <f t="shared" ref="V286:V288" si="19">J286-M286+P286-S286</f>
        <v>2248679.9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192" t="s">
        <v>28</v>
      </c>
      <c r="G287" s="236">
        <f t="shared" ref="G287:I287" si="20">SUMIF($G$9:$G$279,$F$287,H9:H279)</f>
        <v>209</v>
      </c>
      <c r="H287" s="193">
        <f t="shared" si="20"/>
        <v>47</v>
      </c>
      <c r="I287" s="193">
        <f t="shared" si="20"/>
        <v>47</v>
      </c>
      <c r="J287" s="194">
        <f t="shared" si="10"/>
        <v>70443.450000000012</v>
      </c>
      <c r="K287" s="195">
        <f t="shared" si="11"/>
        <v>0</v>
      </c>
      <c r="L287" s="194">
        <f t="shared" si="12"/>
        <v>10319.35</v>
      </c>
      <c r="M287" s="194">
        <f t="shared" ref="M287:O287" si="21">SUMIF($G$9:$G$279,$F$287,N9:N279)</f>
        <v>9262.8000000000011</v>
      </c>
      <c r="N287" s="194">
        <f t="shared" si="21"/>
        <v>1056.55</v>
      </c>
      <c r="O287" s="193">
        <f t="shared" si="21"/>
        <v>124</v>
      </c>
      <c r="P287" s="194">
        <f t="shared" si="14"/>
        <v>346769.52</v>
      </c>
      <c r="Q287" s="195">
        <f t="shared" si="15"/>
        <v>0</v>
      </c>
      <c r="R287" s="194">
        <f t="shared" si="16"/>
        <v>246931.39000000007</v>
      </c>
      <c r="S287" s="194">
        <f t="shared" ref="S287:T287" si="22">SUMIF($G$9:$G$279,$F$287,T9:T279)</f>
        <v>229949.75000000009</v>
      </c>
      <c r="T287" s="194">
        <f t="shared" si="22"/>
        <v>16981.639999999996</v>
      </c>
      <c r="U287" s="194">
        <f t="shared" si="18"/>
        <v>239212.55000000008</v>
      </c>
      <c r="V287" s="196">
        <f t="shared" si="19"/>
        <v>178000.41999999995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25</v>
      </c>
      <c r="G288" s="193">
        <f t="shared" ref="G288:I288" si="23">SUMIF($G$9:$G$279,$F$288,H9:H279)</f>
        <v>41</v>
      </c>
      <c r="H288" s="193">
        <f t="shared" si="23"/>
        <v>15</v>
      </c>
      <c r="I288" s="193">
        <f t="shared" si="23"/>
        <v>15</v>
      </c>
      <c r="J288" s="194">
        <f t="shared" si="10"/>
        <v>19767.09</v>
      </c>
      <c r="K288" s="195">
        <f t="shared" si="11"/>
        <v>11</v>
      </c>
      <c r="L288" s="194">
        <f t="shared" si="12"/>
        <v>13639.1</v>
      </c>
      <c r="M288" s="194">
        <f t="shared" ref="M288:O288" si="24">SUMIF($G$9:$G$279,$F$288,N9:N279)</f>
        <v>13639.1</v>
      </c>
      <c r="N288" s="194">
        <f t="shared" si="24"/>
        <v>0</v>
      </c>
      <c r="O288" s="193">
        <f t="shared" si="24"/>
        <v>37</v>
      </c>
      <c r="P288" s="194">
        <f t="shared" si="14"/>
        <v>114959.57000000002</v>
      </c>
      <c r="Q288" s="195">
        <f t="shared" si="15"/>
        <v>25</v>
      </c>
      <c r="R288" s="194">
        <f t="shared" si="16"/>
        <v>76317.990000000005</v>
      </c>
      <c r="S288" s="194">
        <f t="shared" ref="S288:T288" si="25">SUMIF($G$9:$G$279,$F$288,T9:T279)</f>
        <v>76317.990000000005</v>
      </c>
      <c r="T288" s="194">
        <f t="shared" si="25"/>
        <v>0</v>
      </c>
      <c r="U288" s="194">
        <f t="shared" si="18"/>
        <v>89957.090000000011</v>
      </c>
      <c r="V288" s="196">
        <f t="shared" si="19"/>
        <v>44769.570000000022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197">
        <f t="shared" ref="G289:V289" si="26">G288+G287+G286</f>
        <v>797</v>
      </c>
      <c r="H289" s="197">
        <f t="shared" si="26"/>
        <v>350</v>
      </c>
      <c r="I289" s="197">
        <f t="shared" si="26"/>
        <v>407</v>
      </c>
      <c r="J289" s="198">
        <f t="shared" si="26"/>
        <v>620559.88</v>
      </c>
      <c r="K289" s="199">
        <f t="shared" si="26"/>
        <v>25</v>
      </c>
      <c r="L289" s="198">
        <f t="shared" si="26"/>
        <v>162356.12</v>
      </c>
      <c r="M289" s="198">
        <f t="shared" si="26"/>
        <v>42704.630000000005</v>
      </c>
      <c r="N289" s="198">
        <f t="shared" si="26"/>
        <v>119651.48999999998</v>
      </c>
      <c r="O289" s="197">
        <f t="shared" si="26"/>
        <v>1021</v>
      </c>
      <c r="P289" s="198">
        <f t="shared" si="26"/>
        <v>3169070.4499999997</v>
      </c>
      <c r="Q289" s="200">
        <f t="shared" si="26"/>
        <v>364</v>
      </c>
      <c r="R289" s="198">
        <f t="shared" si="26"/>
        <v>1945307.93</v>
      </c>
      <c r="S289" s="198">
        <f t="shared" si="26"/>
        <v>1275475.81</v>
      </c>
      <c r="T289" s="198">
        <f t="shared" si="26"/>
        <v>669832.12</v>
      </c>
      <c r="U289" s="198">
        <f t="shared" si="26"/>
        <v>1318180.44</v>
      </c>
      <c r="V289" s="198">
        <f t="shared" si="26"/>
        <v>2471449.8899999997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K290" s="201"/>
      <c r="L290" s="201"/>
      <c r="R290" s="2"/>
    </row>
    <row r="291" spans="1:32" ht="15.75" customHeight="1">
      <c r="K291" s="201"/>
      <c r="L291" s="201"/>
      <c r="R291" s="2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</sheetData>
  <mergeCells count="67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C165:C166"/>
    <mergeCell ref="A167:A168"/>
    <mergeCell ref="B167:B168"/>
    <mergeCell ref="C167:C168"/>
    <mergeCell ref="B169:B170"/>
    <mergeCell ref="C169:C170"/>
    <mergeCell ref="A169:A170"/>
    <mergeCell ref="A171:A172"/>
    <mergeCell ref="B171:B172"/>
    <mergeCell ref="C171:C172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D274:D275"/>
    <mergeCell ref="E274:E275"/>
    <mergeCell ref="A276:A277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B276:B277"/>
    <mergeCell ref="C276:C277"/>
    <mergeCell ref="A278:A279"/>
    <mergeCell ref="B278:B279"/>
    <mergeCell ref="C278:C279"/>
    <mergeCell ref="A272:A273"/>
    <mergeCell ref="A274:A275"/>
    <mergeCell ref="B274:B275"/>
    <mergeCell ref="C274:C275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4:U285"/>
    <mergeCell ref="V284:V285"/>
    <mergeCell ref="D276:D277"/>
    <mergeCell ref="E276:E277"/>
    <mergeCell ref="D278:D279"/>
    <mergeCell ref="E278:E279"/>
    <mergeCell ref="F284:F285"/>
    <mergeCell ref="G284:N284"/>
    <mergeCell ref="O284:T284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8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6</v>
      </c>
      <c r="I9" s="62">
        <v>2</v>
      </c>
      <c r="J9" s="62">
        <v>2</v>
      </c>
      <c r="K9" s="62">
        <v>4367.01</v>
      </c>
      <c r="L9" s="27"/>
      <c r="M9" s="26">
        <f t="shared" ref="M9:M279" si="0">N9+O9</f>
        <v>0</v>
      </c>
      <c r="N9" s="26"/>
      <c r="O9" s="28"/>
      <c r="P9" s="29">
        <v>14</v>
      </c>
      <c r="Q9" s="30">
        <v>38771.85</v>
      </c>
      <c r="R9" s="205">
        <v>4</v>
      </c>
      <c r="S9" s="26">
        <f t="shared" ref="S9:S31" si="1">T9+U9</f>
        <v>11294.810000000001</v>
      </c>
      <c r="T9" s="30">
        <v>7969.55</v>
      </c>
      <c r="U9" s="225">
        <v>3325.26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7</v>
      </c>
      <c r="I11" s="203">
        <v>5</v>
      </c>
      <c r="J11" s="203">
        <v>5</v>
      </c>
      <c r="K11" s="65">
        <v>9099.7999999999993</v>
      </c>
      <c r="L11" s="51"/>
      <c r="M11" s="50">
        <f t="shared" si="0"/>
        <v>0</v>
      </c>
      <c r="N11" s="50"/>
      <c r="O11" s="52"/>
      <c r="P11" s="53">
        <v>9</v>
      </c>
      <c r="Q11" s="30">
        <v>67281.350000000006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7</v>
      </c>
      <c r="I13" s="62">
        <v>6</v>
      </c>
      <c r="J13" s="62">
        <v>10</v>
      </c>
      <c r="K13" s="30">
        <v>24877.53</v>
      </c>
      <c r="L13" s="27"/>
      <c r="M13" s="26">
        <f t="shared" si="0"/>
        <v>8982.8700000000008</v>
      </c>
      <c r="N13" s="26"/>
      <c r="O13" s="299">
        <v>8982.8700000000008</v>
      </c>
      <c r="P13" s="64">
        <v>13</v>
      </c>
      <c r="Q13" s="65">
        <v>52910.82</v>
      </c>
      <c r="R13" s="224">
        <v>8</v>
      </c>
      <c r="S13" s="50">
        <f t="shared" si="1"/>
        <v>32231.019999999997</v>
      </c>
      <c r="T13" s="65">
        <v>24138.01</v>
      </c>
      <c r="U13" s="225">
        <v>8093.01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15752.2</v>
      </c>
      <c r="T14" s="68">
        <v>15752.2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2</v>
      </c>
      <c r="J19" s="266">
        <v>2</v>
      </c>
      <c r="K19" s="79">
        <v>1978.63</v>
      </c>
      <c r="L19" s="80"/>
      <c r="M19" s="81">
        <f t="shared" si="0"/>
        <v>633.92999999999995</v>
      </c>
      <c r="N19" s="81"/>
      <c r="O19" s="269">
        <v>633.92999999999995</v>
      </c>
      <c r="P19" s="267">
        <v>9</v>
      </c>
      <c r="Q19" s="79">
        <v>16302.28</v>
      </c>
      <c r="R19" s="268">
        <v>1</v>
      </c>
      <c r="S19" s="81">
        <f t="shared" si="1"/>
        <v>7296.52</v>
      </c>
      <c r="T19" s="79">
        <v>1045.98</v>
      </c>
      <c r="U19" s="269">
        <v>6250.54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2497.3000000000002</v>
      </c>
      <c r="T20" s="39">
        <f>2497.3</f>
        <v>2497.3000000000002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5</v>
      </c>
      <c r="J21" s="203">
        <v>6</v>
      </c>
      <c r="K21" s="65">
        <v>7839.62</v>
      </c>
      <c r="L21" s="51"/>
      <c r="M21" s="50">
        <f t="shared" si="0"/>
        <v>4057.17</v>
      </c>
      <c r="N21" s="50"/>
      <c r="O21" s="225">
        <v>4057.17</v>
      </c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6</v>
      </c>
      <c r="I23" s="62">
        <v>4</v>
      </c>
      <c r="J23" s="62">
        <v>4</v>
      </c>
      <c r="K23" s="62">
        <v>3686.21</v>
      </c>
      <c r="L23" s="27"/>
      <c r="M23" s="26">
        <f t="shared" si="0"/>
        <v>2554.9299999999998</v>
      </c>
      <c r="N23" s="26"/>
      <c r="O23" s="225">
        <v>2554.9299999999998</v>
      </c>
      <c r="P23" s="53">
        <v>3</v>
      </c>
      <c r="Q23" s="30">
        <v>4222.78</v>
      </c>
      <c r="R23" s="205">
        <v>1</v>
      </c>
      <c r="S23" s="26">
        <f t="shared" si="1"/>
        <v>4222.78</v>
      </c>
      <c r="T23" s="30">
        <v>1979.72</v>
      </c>
      <c r="U23" s="225">
        <v>2243.06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40"/>
      <c r="S24" s="39">
        <f t="shared" si="1"/>
        <v>0</v>
      </c>
      <c r="T24" s="39"/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9</v>
      </c>
      <c r="I25" s="203">
        <v>9</v>
      </c>
      <c r="J25" s="203">
        <v>14</v>
      </c>
      <c r="K25" s="65">
        <v>24819.63</v>
      </c>
      <c r="L25" s="224">
        <v>5</v>
      </c>
      <c r="M25" s="50">
        <f t="shared" si="0"/>
        <v>6428.44</v>
      </c>
      <c r="N25" s="65">
        <v>6428.44</v>
      </c>
      <c r="O25" s="225"/>
      <c r="P25" s="53">
        <v>13</v>
      </c>
      <c r="Q25" s="30">
        <v>20738.62</v>
      </c>
      <c r="R25" s="205">
        <v>8</v>
      </c>
      <c r="S25" s="26">
        <f t="shared" si="1"/>
        <v>12316.99</v>
      </c>
      <c r="T25" s="30">
        <v>12316.99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4302</v>
      </c>
      <c r="T26" s="68">
        <v>4302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05">
        <v>1</v>
      </c>
      <c r="S27" s="26">
        <f t="shared" si="1"/>
        <v>2497.3000000000002</v>
      </c>
      <c r="T27" s="30">
        <v>2497.3000000000002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4</v>
      </c>
      <c r="I28" s="130">
        <v>2</v>
      </c>
      <c r="J28" s="130">
        <v>2</v>
      </c>
      <c r="K28" s="114">
        <v>3649.9</v>
      </c>
      <c r="L28" s="44"/>
      <c r="M28" s="43">
        <f t="shared" si="0"/>
        <v>0</v>
      </c>
      <c r="N28" s="43"/>
      <c r="O28" s="45"/>
      <c r="P28" s="113">
        <v>3</v>
      </c>
      <c r="Q28" s="114">
        <v>8452.4</v>
      </c>
      <c r="R28" s="44"/>
      <c r="S28" s="43">
        <f t="shared" si="1"/>
        <v>14247.38</v>
      </c>
      <c r="T28" s="114">
        <v>14247.38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5744.16</v>
      </c>
      <c r="T29" s="26"/>
      <c r="U29" s="241">
        <v>5744.16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5</v>
      </c>
      <c r="I31" s="203">
        <v>2</v>
      </c>
      <c r="J31" s="203">
        <v>2</v>
      </c>
      <c r="K31" s="65">
        <v>2091.96</v>
      </c>
      <c r="L31" s="51"/>
      <c r="M31" s="50">
        <f t="shared" si="0"/>
        <v>2091.96</v>
      </c>
      <c r="N31" s="50"/>
      <c r="O31" s="225">
        <v>2091.96</v>
      </c>
      <c r="P31" s="108">
        <v>9</v>
      </c>
      <c r="Q31" s="65">
        <v>26163.18</v>
      </c>
      <c r="R31" s="224">
        <v>7</v>
      </c>
      <c r="S31" s="50">
        <f t="shared" si="1"/>
        <v>26163.18</v>
      </c>
      <c r="T31" s="65">
        <v>19258.7</v>
      </c>
      <c r="U31" s="225">
        <v>6904.48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270">
        <v>1</v>
      </c>
      <c r="M32" s="43">
        <f t="shared" si="0"/>
        <v>2497.3000000000002</v>
      </c>
      <c r="N32" s="114">
        <v>2497.3000000000002</v>
      </c>
      <c r="O32" s="222"/>
      <c r="P32" s="113">
        <v>4</v>
      </c>
      <c r="Q32" s="114">
        <v>8548.4500000000007</v>
      </c>
      <c r="R32" s="270">
        <v>2</v>
      </c>
      <c r="S32" s="114">
        <v>2593.35</v>
      </c>
      <c r="T32" s="114">
        <v>2593.35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si="0"/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2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0"/>
        <v>0</v>
      </c>
      <c r="N34" s="39"/>
      <c r="O34" s="41"/>
      <c r="P34" s="69"/>
      <c r="Q34" s="39"/>
      <c r="R34" s="40"/>
      <c r="S34" s="39">
        <f t="shared" si="2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3</v>
      </c>
      <c r="I35" s="203">
        <v>1</v>
      </c>
      <c r="J35" s="203">
        <v>1</v>
      </c>
      <c r="K35" s="65">
        <v>768.4</v>
      </c>
      <c r="L35" s="51"/>
      <c r="M35" s="50">
        <f t="shared" si="0"/>
        <v>0</v>
      </c>
      <c r="N35" s="50"/>
      <c r="O35" s="31"/>
      <c r="P35" s="64">
        <v>4</v>
      </c>
      <c r="Q35" s="65">
        <v>15058.68</v>
      </c>
      <c r="R35" s="224">
        <v>2</v>
      </c>
      <c r="S35" s="50">
        <f t="shared" si="2"/>
        <v>8719.3799999999992</v>
      </c>
      <c r="T35" s="65">
        <v>3647.94</v>
      </c>
      <c r="U35" s="225">
        <v>5071.4399999999996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0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R36" s="210"/>
      <c r="S36" s="211">
        <f t="shared" si="2"/>
        <v>1428.75</v>
      </c>
      <c r="T36" s="209">
        <f>276.15+1152.6</f>
        <v>1428.75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0"/>
        <v>0</v>
      </c>
      <c r="N37" s="26"/>
      <c r="O37" s="28"/>
      <c r="P37" s="275"/>
      <c r="Q37" s="26"/>
      <c r="R37" s="27"/>
      <c r="S37" s="26">
        <f t="shared" si="2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0"/>
        <v>0</v>
      </c>
      <c r="N38" s="39"/>
      <c r="O38" s="41"/>
      <c r="P38" s="276"/>
      <c r="Q38" s="39"/>
      <c r="R38" s="40"/>
      <c r="S38" s="39">
        <f t="shared" si="2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0"/>
        <v>0</v>
      </c>
      <c r="N39" s="81"/>
      <c r="O39" s="219"/>
      <c r="P39" s="277"/>
      <c r="Q39" s="81"/>
      <c r="R39" s="80"/>
      <c r="S39" s="81">
        <f t="shared" si="2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0"/>
        <v>0</v>
      </c>
      <c r="N40" s="211"/>
      <c r="O40" s="212"/>
      <c r="P40" s="273"/>
      <c r="Q40" s="211"/>
      <c r="R40" s="210"/>
      <c r="S40" s="211">
        <f t="shared" si="2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0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2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0"/>
        <v>0</v>
      </c>
      <c r="N42" s="39"/>
      <c r="O42" s="41"/>
      <c r="P42" s="59"/>
      <c r="Q42" s="39"/>
      <c r="R42" s="40"/>
      <c r="S42" s="39">
        <f t="shared" si="2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8</v>
      </c>
      <c r="I43" s="266">
        <v>7</v>
      </c>
      <c r="J43" s="266">
        <v>7</v>
      </c>
      <c r="K43" s="79">
        <v>8433.7800000000007</v>
      </c>
      <c r="L43" s="80"/>
      <c r="M43" s="81">
        <f t="shared" si="0"/>
        <v>1537</v>
      </c>
      <c r="N43" s="81"/>
      <c r="O43" s="314">
        <v>1537</v>
      </c>
      <c r="P43" s="53">
        <v>20</v>
      </c>
      <c r="Q43" s="30">
        <v>79577.89</v>
      </c>
      <c r="R43" s="205">
        <v>8</v>
      </c>
      <c r="S43" s="26">
        <f t="shared" si="2"/>
        <v>79577.89</v>
      </c>
      <c r="T43" s="30">
        <v>44991.43</v>
      </c>
      <c r="U43" s="241">
        <v>34586.46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0"/>
        <v>0</v>
      </c>
      <c r="N44" s="211"/>
      <c r="O44" s="274"/>
      <c r="P44" s="273"/>
      <c r="Q44" s="211"/>
      <c r="R44" s="210"/>
      <c r="S44" s="211">
        <f t="shared" si="2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2</v>
      </c>
      <c r="I45" s="25"/>
      <c r="J45" s="25"/>
      <c r="K45" s="26"/>
      <c r="L45" s="27"/>
      <c r="M45" s="26">
        <f t="shared" si="0"/>
        <v>0</v>
      </c>
      <c r="N45" s="26"/>
      <c r="O45" s="28"/>
      <c r="P45" s="214"/>
      <c r="Q45" s="30"/>
      <c r="R45" s="27"/>
      <c r="S45" s="26">
        <f t="shared" si="2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3</v>
      </c>
      <c r="I46" s="261"/>
      <c r="J46" s="261"/>
      <c r="K46" s="211"/>
      <c r="L46" s="210"/>
      <c r="M46" s="211">
        <f t="shared" si="0"/>
        <v>0</v>
      </c>
      <c r="N46" s="211"/>
      <c r="O46" s="212"/>
      <c r="P46" s="280"/>
      <c r="Q46" s="209"/>
      <c r="R46" s="210"/>
      <c r="S46" s="211">
        <f t="shared" si="2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0"/>
        <v>0</v>
      </c>
      <c r="N47" s="26"/>
      <c r="O47" s="28"/>
      <c r="P47" s="275"/>
      <c r="Q47" s="26"/>
      <c r="R47" s="27"/>
      <c r="S47" s="26">
        <f t="shared" si="2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0"/>
        <v>0</v>
      </c>
      <c r="N48" s="39"/>
      <c r="O48" s="41"/>
      <c r="P48" s="276"/>
      <c r="Q48" s="39"/>
      <c r="R48" s="40"/>
      <c r="S48" s="39">
        <f t="shared" si="2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0"/>
        <v>0</v>
      </c>
      <c r="N49" s="81"/>
      <c r="O49" s="82"/>
      <c r="P49" s="303"/>
      <c r="Q49" s="81"/>
      <c r="R49" s="80"/>
      <c r="S49" s="81">
        <f t="shared" si="2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0"/>
        <v>0</v>
      </c>
      <c r="N50" s="39"/>
      <c r="O50" s="41"/>
      <c r="P50" s="276"/>
      <c r="Q50" s="39"/>
      <c r="R50" s="40"/>
      <c r="S50" s="39">
        <f t="shared" si="2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0"/>
        <v>0</v>
      </c>
      <c r="N51" s="81"/>
      <c r="O51" s="97"/>
      <c r="P51" s="277"/>
      <c r="Q51" s="81"/>
      <c r="R51" s="80"/>
      <c r="S51" s="81">
        <f t="shared" si="2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0"/>
        <v>0</v>
      </c>
      <c r="N52" s="43"/>
      <c r="O52" s="58"/>
      <c r="P52" s="59"/>
      <c r="Q52" s="39"/>
      <c r="R52" s="40"/>
      <c r="S52" s="39">
        <f t="shared" si="2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1889.58</v>
      </c>
      <c r="L53" s="27"/>
      <c r="M53" s="26">
        <f t="shared" si="0"/>
        <v>0</v>
      </c>
      <c r="N53" s="26"/>
      <c r="O53" s="31"/>
      <c r="P53" s="108">
        <v>2</v>
      </c>
      <c r="Q53" s="65">
        <v>3734.91</v>
      </c>
      <c r="R53" s="224">
        <v>2</v>
      </c>
      <c r="S53" s="50">
        <f t="shared" si="2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0"/>
        <v>0</v>
      </c>
      <c r="N54" s="39"/>
      <c r="O54" s="41"/>
      <c r="P54" s="115">
        <v>7</v>
      </c>
      <c r="Q54" s="68">
        <v>14652.43</v>
      </c>
      <c r="R54" s="40"/>
      <c r="S54" s="39">
        <f t="shared" si="2"/>
        <v>2785.5</v>
      </c>
      <c r="T54" s="68">
        <f>2209.2+576.3</f>
        <v>2785.5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2</v>
      </c>
      <c r="J55" s="203">
        <v>2</v>
      </c>
      <c r="K55" s="65">
        <v>2607.1799999999998</v>
      </c>
      <c r="L55" s="51"/>
      <c r="M55" s="50">
        <f t="shared" si="0"/>
        <v>0</v>
      </c>
      <c r="N55" s="50"/>
      <c r="O55" s="31"/>
      <c r="P55" s="53">
        <v>2</v>
      </c>
      <c r="Q55" s="30">
        <v>5899.35</v>
      </c>
      <c r="R55" s="205">
        <v>1</v>
      </c>
      <c r="S55" s="26">
        <f t="shared" si="2"/>
        <v>5899.35</v>
      </c>
      <c r="T55" s="30">
        <v>1854.88</v>
      </c>
      <c r="U55" s="243">
        <v>4044.47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0"/>
        <v>0</v>
      </c>
      <c r="N56" s="43"/>
      <c r="O56" s="41"/>
      <c r="P56" s="59"/>
      <c r="Q56" s="39"/>
      <c r="R56" s="40"/>
      <c r="S56" s="39">
        <f t="shared" si="2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13641.6</v>
      </c>
      <c r="L57" s="27"/>
      <c r="M57" s="26">
        <f t="shared" si="0"/>
        <v>9831.69</v>
      </c>
      <c r="N57" s="26"/>
      <c r="O57" s="225">
        <v>9831.69</v>
      </c>
      <c r="P57" s="53">
        <v>6</v>
      </c>
      <c r="Q57" s="30">
        <v>45189.01</v>
      </c>
      <c r="R57" s="205">
        <v>1</v>
      </c>
      <c r="S57" s="26">
        <f t="shared" si="2"/>
        <v>23645.91</v>
      </c>
      <c r="T57" s="30">
        <v>1997.49</v>
      </c>
      <c r="U57" s="225">
        <v>21648.42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0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2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11</v>
      </c>
      <c r="I59" s="203">
        <v>3</v>
      </c>
      <c r="J59" s="203">
        <v>4</v>
      </c>
      <c r="K59" s="65">
        <v>3534.63</v>
      </c>
      <c r="L59" s="51"/>
      <c r="M59" s="50">
        <f t="shared" si="0"/>
        <v>3534.63</v>
      </c>
      <c r="N59" s="50"/>
      <c r="O59" s="225">
        <v>3534.63</v>
      </c>
      <c r="P59" s="53">
        <v>31</v>
      </c>
      <c r="Q59" s="30">
        <v>70755.789999999994</v>
      </c>
      <c r="R59" s="205">
        <v>12</v>
      </c>
      <c r="S59" s="26">
        <f t="shared" si="2"/>
        <v>69874.790000000008</v>
      </c>
      <c r="T59" s="30">
        <v>26448.86</v>
      </c>
      <c r="U59" s="243">
        <v>43425.93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0"/>
        <v>0</v>
      </c>
      <c r="N60" s="211"/>
      <c r="O60" s="212"/>
      <c r="P60" s="273"/>
      <c r="Q60" s="211"/>
      <c r="R60" s="210"/>
      <c r="S60" s="211">
        <f t="shared" si="2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3</v>
      </c>
      <c r="I61" s="62"/>
      <c r="J61" s="62"/>
      <c r="K61" s="30"/>
      <c r="L61" s="27"/>
      <c r="M61" s="26">
        <f t="shared" si="0"/>
        <v>0</v>
      </c>
      <c r="N61" s="26"/>
      <c r="O61" s="28"/>
      <c r="P61" s="214"/>
      <c r="Q61" s="30"/>
      <c r="R61" s="27"/>
      <c r="S61" s="26">
        <f t="shared" si="2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0"/>
        <v>0</v>
      </c>
      <c r="N62" s="211"/>
      <c r="O62" s="212"/>
      <c r="P62" s="280"/>
      <c r="Q62" s="209"/>
      <c r="R62" s="210"/>
      <c r="S62" s="211">
        <f t="shared" si="2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3</v>
      </c>
      <c r="I63" s="62"/>
      <c r="J63" s="62"/>
      <c r="K63" s="30"/>
      <c r="L63" s="27"/>
      <c r="M63" s="26">
        <f t="shared" si="0"/>
        <v>0</v>
      </c>
      <c r="N63" s="26"/>
      <c r="O63" s="28"/>
      <c r="P63" s="214"/>
      <c r="Q63" s="30"/>
      <c r="R63" s="27"/>
      <c r="S63" s="26">
        <f t="shared" si="2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0"/>
        <v>0</v>
      </c>
      <c r="N64" s="39"/>
      <c r="O64" s="41"/>
      <c r="P64" s="217"/>
      <c r="Q64" s="68"/>
      <c r="R64" s="40"/>
      <c r="S64" s="39">
        <f t="shared" si="2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576.29999999999995</v>
      </c>
      <c r="L65" s="80"/>
      <c r="M65" s="81">
        <f t="shared" si="0"/>
        <v>0</v>
      </c>
      <c r="N65" s="81"/>
      <c r="O65" s="219"/>
      <c r="P65" s="267">
        <v>4</v>
      </c>
      <c r="Q65" s="79">
        <v>6405.31</v>
      </c>
      <c r="R65" s="268">
        <v>2</v>
      </c>
      <c r="S65" s="81">
        <f t="shared" si="2"/>
        <v>3104.71</v>
      </c>
      <c r="T65" s="79">
        <v>3104.71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0"/>
        <v>0</v>
      </c>
      <c r="N66" s="43"/>
      <c r="O66" s="45"/>
      <c r="P66" s="103"/>
      <c r="Q66" s="43"/>
      <c r="R66" s="128"/>
      <c r="S66" s="129">
        <f t="shared" si="2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3</v>
      </c>
      <c r="I67" s="62">
        <v>2</v>
      </c>
      <c r="J67" s="62">
        <v>2</v>
      </c>
      <c r="K67" s="30">
        <v>4562.99</v>
      </c>
      <c r="L67" s="27"/>
      <c r="M67" s="26">
        <f t="shared" si="0"/>
        <v>0</v>
      </c>
      <c r="N67" s="26"/>
      <c r="O67" s="28"/>
      <c r="P67" s="29">
        <v>8</v>
      </c>
      <c r="Q67" s="30">
        <v>15651.3</v>
      </c>
      <c r="R67" s="205">
        <v>7</v>
      </c>
      <c r="S67" s="26">
        <f t="shared" si="2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69"/>
      <c r="Q68" s="39"/>
      <c r="R68" s="40"/>
      <c r="S68" s="39">
        <f t="shared" si="2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16</v>
      </c>
      <c r="Q69" s="65">
        <v>50568.25</v>
      </c>
      <c r="R69" s="224">
        <v>5</v>
      </c>
      <c r="S69" s="50">
        <f t="shared" si="2"/>
        <v>19918.689999999999</v>
      </c>
      <c r="T69" s="65">
        <v>19918.689999999999</v>
      </c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1</v>
      </c>
      <c r="I70" s="130"/>
      <c r="J70" s="130"/>
      <c r="K70" s="43"/>
      <c r="L70" s="44"/>
      <c r="M70" s="43">
        <f t="shared" si="0"/>
        <v>0</v>
      </c>
      <c r="N70" s="43"/>
      <c r="O70" s="41"/>
      <c r="P70" s="113">
        <v>1</v>
      </c>
      <c r="Q70" s="114">
        <v>2881.5</v>
      </c>
      <c r="R70" s="44"/>
      <c r="S70" s="43">
        <f t="shared" si="2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6</v>
      </c>
      <c r="I71" s="62">
        <v>2</v>
      </c>
      <c r="J71" s="62">
        <v>3</v>
      </c>
      <c r="K71" s="30">
        <v>6129.52</v>
      </c>
      <c r="L71" s="27"/>
      <c r="M71" s="26">
        <f t="shared" si="0"/>
        <v>1344.7</v>
      </c>
      <c r="N71" s="26"/>
      <c r="O71" s="225">
        <v>1344.7</v>
      </c>
      <c r="P71" s="29">
        <v>4</v>
      </c>
      <c r="Q71" s="30">
        <v>2984.28</v>
      </c>
      <c r="R71" s="27"/>
      <c r="S71" s="26">
        <f t="shared" si="2"/>
        <v>2681.72</v>
      </c>
      <c r="T71" s="26"/>
      <c r="U71" s="225">
        <v>2681.72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2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0"/>
        <v>633.92999999999995</v>
      </c>
      <c r="N73" s="65">
        <v>633.92999999999995</v>
      </c>
      <c r="O73" s="225"/>
      <c r="P73" s="123"/>
      <c r="Q73" s="50"/>
      <c r="R73" s="51"/>
      <c r="S73" s="50">
        <f t="shared" si="2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2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25"/>
      <c r="J75" s="25"/>
      <c r="K75" s="26"/>
      <c r="L75" s="27"/>
      <c r="M75" s="26">
        <f t="shared" si="0"/>
        <v>0</v>
      </c>
      <c r="N75" s="26"/>
      <c r="O75" s="31"/>
      <c r="P75" s="53">
        <v>1</v>
      </c>
      <c r="Q75" s="30">
        <v>1505.87</v>
      </c>
      <c r="R75" s="27"/>
      <c r="S75" s="26">
        <f t="shared" si="2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2</v>
      </c>
      <c r="I76" s="37">
        <v>1</v>
      </c>
      <c r="J76" s="37">
        <v>1</v>
      </c>
      <c r="K76" s="68">
        <v>576.29999999999995</v>
      </c>
      <c r="L76" s="40"/>
      <c r="M76" s="39">
        <f t="shared" si="0"/>
        <v>0</v>
      </c>
      <c r="N76" s="39"/>
      <c r="O76" s="41"/>
      <c r="P76" s="59"/>
      <c r="Q76" s="39"/>
      <c r="R76" s="40"/>
      <c r="S76" s="39">
        <f t="shared" si="2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8</v>
      </c>
      <c r="I77" s="203">
        <v>4</v>
      </c>
      <c r="J77" s="203">
        <v>4</v>
      </c>
      <c r="K77" s="65">
        <v>3878.5</v>
      </c>
      <c r="L77" s="51"/>
      <c r="M77" s="50">
        <f t="shared" si="0"/>
        <v>0</v>
      </c>
      <c r="N77" s="50"/>
      <c r="O77" s="31"/>
      <c r="P77" s="108">
        <v>6</v>
      </c>
      <c r="Q77" s="65">
        <v>19829.79</v>
      </c>
      <c r="R77" s="224">
        <v>4</v>
      </c>
      <c r="S77" s="50">
        <f t="shared" si="2"/>
        <v>16789.810000000001</v>
      </c>
      <c r="T77" s="65">
        <v>16789.810000000001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2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23</v>
      </c>
      <c r="I79" s="62">
        <v>14</v>
      </c>
      <c r="J79" s="62">
        <v>21</v>
      </c>
      <c r="K79" s="30">
        <v>47136.57</v>
      </c>
      <c r="L79" s="27"/>
      <c r="M79" s="26">
        <f t="shared" si="0"/>
        <v>28236.43</v>
      </c>
      <c r="N79" s="26"/>
      <c r="O79" s="225">
        <v>28236.43</v>
      </c>
      <c r="P79" s="29">
        <v>22</v>
      </c>
      <c r="Q79" s="30">
        <v>65219.18</v>
      </c>
      <c r="R79" s="205">
        <v>10</v>
      </c>
      <c r="S79" s="26">
        <f t="shared" si="2"/>
        <v>62883.15</v>
      </c>
      <c r="T79" s="30">
        <v>23648.47</v>
      </c>
      <c r="U79" s="225">
        <v>39234.68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0"/>
        <v>0</v>
      </c>
      <c r="N80" s="211"/>
      <c r="O80" s="212"/>
      <c r="P80" s="284"/>
      <c r="Q80" s="211"/>
      <c r="R80" s="210"/>
      <c r="S80" s="211">
        <f t="shared" si="2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2</v>
      </c>
      <c r="I81" s="62"/>
      <c r="J81" s="62"/>
      <c r="K81" s="30"/>
      <c r="L81" s="27"/>
      <c r="M81" s="26">
        <f t="shared" si="0"/>
        <v>0</v>
      </c>
      <c r="N81" s="26"/>
      <c r="O81" s="28"/>
      <c r="P81" s="214"/>
      <c r="Q81" s="30"/>
      <c r="R81" s="27"/>
      <c r="S81" s="26">
        <f t="shared" si="2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0"/>
        <v>0</v>
      </c>
      <c r="N82" s="211"/>
      <c r="O82" s="212"/>
      <c r="P82" s="280"/>
      <c r="Q82" s="209"/>
      <c r="R82" s="210"/>
      <c r="S82" s="211">
        <f t="shared" si="2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0"/>
        <v>0</v>
      </c>
      <c r="N83" s="26"/>
      <c r="O83" s="28"/>
      <c r="P83" s="214"/>
      <c r="Q83" s="30"/>
      <c r="R83" s="27"/>
      <c r="S83" s="26">
        <f t="shared" si="2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0"/>
        <v>0</v>
      </c>
      <c r="N84" s="39"/>
      <c r="O84" s="41"/>
      <c r="P84" s="217"/>
      <c r="Q84" s="68"/>
      <c r="R84" s="40"/>
      <c r="S84" s="39">
        <f t="shared" si="2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7</v>
      </c>
      <c r="I85" s="266">
        <v>3</v>
      </c>
      <c r="J85" s="266">
        <v>4</v>
      </c>
      <c r="K85" s="79">
        <v>5917.36</v>
      </c>
      <c r="L85" s="268">
        <v>4</v>
      </c>
      <c r="M85" s="81">
        <f t="shared" si="0"/>
        <v>5917.36</v>
      </c>
      <c r="N85" s="79">
        <v>5917.36</v>
      </c>
      <c r="O85" s="269"/>
      <c r="P85" s="267">
        <v>9</v>
      </c>
      <c r="Q85" s="79">
        <v>14307.26</v>
      </c>
      <c r="R85" s="268">
        <v>7</v>
      </c>
      <c r="S85" s="81">
        <f t="shared" si="2"/>
        <v>10924.74</v>
      </c>
      <c r="T85" s="79">
        <v>10924.74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0"/>
        <v>1344.7</v>
      </c>
      <c r="N86" s="114">
        <v>1344.7</v>
      </c>
      <c r="O86" s="234"/>
      <c r="P86" s="103"/>
      <c r="Q86" s="43"/>
      <c r="R86" s="44"/>
      <c r="S86" s="43">
        <f t="shared" si="2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0"/>
        <v>0</v>
      </c>
      <c r="N87" s="26"/>
      <c r="O87" s="31"/>
      <c r="P87" s="120"/>
      <c r="Q87" s="26"/>
      <c r="R87" s="27"/>
      <c r="S87" s="26">
        <f t="shared" si="2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0"/>
        <v>0</v>
      </c>
      <c r="N88" s="39"/>
      <c r="O88" s="41"/>
      <c r="P88" s="69"/>
      <c r="Q88" s="39"/>
      <c r="R88" s="40"/>
      <c r="S88" s="39">
        <f t="shared" si="2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0"/>
        <v>0</v>
      </c>
      <c r="N89" s="50"/>
      <c r="O89" s="31"/>
      <c r="P89" s="108">
        <v>1</v>
      </c>
      <c r="Q89" s="65">
        <v>405.02</v>
      </c>
      <c r="R89" s="51"/>
      <c r="S89" s="50">
        <f t="shared" si="2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2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8</v>
      </c>
      <c r="Q91" s="30">
        <v>12652.33</v>
      </c>
      <c r="R91" s="205">
        <v>2</v>
      </c>
      <c r="S91" s="26">
        <f t="shared" si="2"/>
        <v>7652.33</v>
      </c>
      <c r="T91" s="30">
        <v>5673.46</v>
      </c>
      <c r="U91" s="225">
        <v>1978.87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2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12</v>
      </c>
      <c r="I93" s="62">
        <v>7</v>
      </c>
      <c r="J93" s="62">
        <v>7</v>
      </c>
      <c r="K93" s="30">
        <v>12418.66</v>
      </c>
      <c r="L93" s="27"/>
      <c r="M93" s="26">
        <f t="shared" si="0"/>
        <v>0</v>
      </c>
      <c r="N93" s="26"/>
      <c r="O93" s="31"/>
      <c r="P93" s="53">
        <v>8</v>
      </c>
      <c r="Q93" s="30">
        <v>28585.27</v>
      </c>
      <c r="R93" s="205">
        <v>2</v>
      </c>
      <c r="S93" s="26">
        <f t="shared" si="2"/>
        <v>14914.91</v>
      </c>
      <c r="T93" s="30">
        <v>5094.8</v>
      </c>
      <c r="U93" s="225">
        <v>9820.11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2</v>
      </c>
      <c r="J94" s="37">
        <v>2</v>
      </c>
      <c r="K94" s="68">
        <v>2958.34</v>
      </c>
      <c r="L94" s="285">
        <v>1</v>
      </c>
      <c r="M94" s="39">
        <f t="shared" si="0"/>
        <v>1056.55</v>
      </c>
      <c r="N94" s="68">
        <v>1056.55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1</v>
      </c>
      <c r="J95" s="203">
        <v>1</v>
      </c>
      <c r="K95" s="65">
        <v>697.32</v>
      </c>
      <c r="L95" s="51"/>
      <c r="M95" s="50">
        <f t="shared" si="0"/>
        <v>0</v>
      </c>
      <c r="N95" s="50"/>
      <c r="O95" s="31"/>
      <c r="P95" s="108">
        <v>5</v>
      </c>
      <c r="Q95" s="65">
        <v>42966.97</v>
      </c>
      <c r="R95" s="224">
        <v>1</v>
      </c>
      <c r="S95" s="50">
        <f t="shared" ref="S95:S183" si="3">T95+U95</f>
        <v>32117.38</v>
      </c>
      <c r="T95" s="65">
        <v>4050.2</v>
      </c>
      <c r="U95" s="225">
        <v>28067.18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0"/>
        <v>0</v>
      </c>
      <c r="N96" s="43"/>
      <c r="O96" s="41"/>
      <c r="P96" s="103"/>
      <c r="Q96" s="43"/>
      <c r="R96" s="44"/>
      <c r="S96" s="43">
        <f t="shared" si="3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1</v>
      </c>
      <c r="J97" s="62">
        <v>1</v>
      </c>
      <c r="K97" s="30">
        <v>4374.12</v>
      </c>
      <c r="L97" s="27"/>
      <c r="M97" s="26">
        <f t="shared" si="0"/>
        <v>0</v>
      </c>
      <c r="N97" s="26"/>
      <c r="O97" s="31"/>
      <c r="P97" s="53">
        <v>7</v>
      </c>
      <c r="Q97" s="30">
        <v>37669.07</v>
      </c>
      <c r="R97" s="205">
        <v>2</v>
      </c>
      <c r="S97" s="26">
        <f t="shared" si="3"/>
        <v>23473.01</v>
      </c>
      <c r="T97" s="30">
        <v>3751.96</v>
      </c>
      <c r="U97" s="225">
        <v>19721.05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0"/>
        <v>0</v>
      </c>
      <c r="N98" s="43"/>
      <c r="O98" s="41"/>
      <c r="P98" s="103"/>
      <c r="Q98" s="43"/>
      <c r="R98" s="44"/>
      <c r="S98" s="43">
        <f t="shared" si="3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1</v>
      </c>
      <c r="I99" s="62">
        <v>1</v>
      </c>
      <c r="J99" s="62">
        <v>2</v>
      </c>
      <c r="K99" s="30">
        <v>4354.43</v>
      </c>
      <c r="L99" s="27"/>
      <c r="M99" s="26">
        <f t="shared" si="0"/>
        <v>0</v>
      </c>
      <c r="N99" s="26"/>
      <c r="O99" s="31"/>
      <c r="P99" s="53">
        <v>3</v>
      </c>
      <c r="Q99" s="30">
        <v>15479.57</v>
      </c>
      <c r="R99" s="27"/>
      <c r="S99" s="26">
        <f t="shared" si="3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0"/>
        <v>0</v>
      </c>
      <c r="N100" s="43"/>
      <c r="O100" s="41"/>
      <c r="P100" s="103"/>
      <c r="Q100" s="43"/>
      <c r="R100" s="44"/>
      <c r="S100" s="43">
        <f t="shared" si="3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3</v>
      </c>
      <c r="J101" s="62">
        <v>3</v>
      </c>
      <c r="K101" s="30">
        <v>9652.17</v>
      </c>
      <c r="L101" s="27"/>
      <c r="M101" s="26">
        <f t="shared" si="0"/>
        <v>0</v>
      </c>
      <c r="N101" s="26"/>
      <c r="O101" s="31"/>
      <c r="P101" s="53">
        <v>20</v>
      </c>
      <c r="Q101" s="30">
        <v>47266.68</v>
      </c>
      <c r="R101" s="205">
        <v>4</v>
      </c>
      <c r="S101" s="26">
        <f t="shared" si="3"/>
        <v>15992.85</v>
      </c>
      <c r="T101" s="30">
        <v>9997.9500000000007</v>
      </c>
      <c r="U101" s="225">
        <v>5994.9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6</v>
      </c>
      <c r="I102" s="130">
        <v>2</v>
      </c>
      <c r="J102" s="130">
        <v>2</v>
      </c>
      <c r="K102" s="114">
        <v>2305.1999999999998</v>
      </c>
      <c r="L102" s="270">
        <v>2</v>
      </c>
      <c r="M102" s="43">
        <f t="shared" si="0"/>
        <v>2305.1999999999998</v>
      </c>
      <c r="N102" s="114">
        <v>2305.1999999999998</v>
      </c>
      <c r="O102" s="234"/>
      <c r="P102" s="113">
        <v>4</v>
      </c>
      <c r="Q102" s="114">
        <v>11577.6</v>
      </c>
      <c r="R102" s="270">
        <v>3</v>
      </c>
      <c r="S102" s="43">
        <f t="shared" si="3"/>
        <v>7159.3</v>
      </c>
      <c r="T102" s="114">
        <v>7159.3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3</v>
      </c>
      <c r="I103" s="62">
        <v>3</v>
      </c>
      <c r="J103" s="62">
        <v>3</v>
      </c>
      <c r="K103" s="30">
        <v>1118.98</v>
      </c>
      <c r="L103" s="205">
        <v>1</v>
      </c>
      <c r="M103" s="26">
        <f t="shared" si="0"/>
        <v>614.72</v>
      </c>
      <c r="N103" s="30">
        <v>614.72</v>
      </c>
      <c r="O103" s="225"/>
      <c r="P103" s="53">
        <v>7</v>
      </c>
      <c r="Q103" s="30">
        <v>12035.94</v>
      </c>
      <c r="R103" s="205">
        <v>5</v>
      </c>
      <c r="S103" s="26">
        <f t="shared" si="3"/>
        <v>7679.11</v>
      </c>
      <c r="T103" s="30">
        <v>7679.11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10"/>
      <c r="M104" s="211">
        <f t="shared" si="0"/>
        <v>1344.7</v>
      </c>
      <c r="N104" s="209">
        <v>1344.7</v>
      </c>
      <c r="O104" s="212"/>
      <c r="P104" s="103"/>
      <c r="Q104" s="43"/>
      <c r="R104" s="44"/>
      <c r="S104" s="43">
        <f t="shared" si="3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8</v>
      </c>
      <c r="I105" s="62">
        <v>4</v>
      </c>
      <c r="J105" s="62">
        <v>4</v>
      </c>
      <c r="K105" s="30">
        <v>4316.49</v>
      </c>
      <c r="L105" s="205">
        <v>3</v>
      </c>
      <c r="M105" s="26">
        <f t="shared" si="0"/>
        <v>2852.69</v>
      </c>
      <c r="N105" s="30">
        <v>2852.69</v>
      </c>
      <c r="O105" s="241"/>
      <c r="P105" s="214">
        <v>11</v>
      </c>
      <c r="Q105" s="30">
        <v>49430.98</v>
      </c>
      <c r="R105" s="205">
        <v>6</v>
      </c>
      <c r="S105" s="26">
        <f t="shared" si="3"/>
        <v>42354.03</v>
      </c>
      <c r="T105" s="30">
        <v>6955.6</v>
      </c>
      <c r="U105" s="225">
        <v>35398.43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4</v>
      </c>
      <c r="I106" s="286">
        <v>1</v>
      </c>
      <c r="J106" s="286">
        <v>1</v>
      </c>
      <c r="K106" s="287">
        <v>1921</v>
      </c>
      <c r="L106" s="288"/>
      <c r="M106" s="39">
        <f t="shared" si="0"/>
        <v>0</v>
      </c>
      <c r="N106" s="39"/>
      <c r="O106" s="41"/>
      <c r="P106" s="217">
        <v>3</v>
      </c>
      <c r="Q106" s="37">
        <v>7587.95</v>
      </c>
      <c r="R106" s="40"/>
      <c r="S106" s="39">
        <f t="shared" si="3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0"/>
        <v>0</v>
      </c>
      <c r="N107" s="81"/>
      <c r="O107" s="219"/>
      <c r="P107" s="108">
        <v>2</v>
      </c>
      <c r="Q107" s="65">
        <v>22972.83</v>
      </c>
      <c r="R107" s="224">
        <v>1</v>
      </c>
      <c r="S107" s="50">
        <f t="shared" si="3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0"/>
        <v>0</v>
      </c>
      <c r="N108" s="39"/>
      <c r="O108" s="41"/>
      <c r="P108" s="59"/>
      <c r="Q108" s="39"/>
      <c r="R108" s="40"/>
      <c r="S108" s="39">
        <f t="shared" si="3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5</v>
      </c>
      <c r="I109" s="203">
        <v>4</v>
      </c>
      <c r="J109" s="203">
        <v>5</v>
      </c>
      <c r="K109" s="65">
        <v>8143.62</v>
      </c>
      <c r="L109" s="51"/>
      <c r="M109" s="50">
        <f t="shared" si="0"/>
        <v>1916.98</v>
      </c>
      <c r="N109" s="50"/>
      <c r="O109" s="225">
        <v>1916.98</v>
      </c>
      <c r="P109" s="108">
        <v>9</v>
      </c>
      <c r="Q109" s="65">
        <v>19656.830000000002</v>
      </c>
      <c r="R109" s="224">
        <v>2</v>
      </c>
      <c r="S109" s="50">
        <f t="shared" si="3"/>
        <v>17533.16</v>
      </c>
      <c r="T109" s="65">
        <v>2175.5100000000002</v>
      </c>
      <c r="U109" s="225">
        <v>15357.65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128"/>
      <c r="M110" s="50">
        <f t="shared" si="0"/>
        <v>0</v>
      </c>
      <c r="N110" s="43"/>
      <c r="O110" s="41"/>
      <c r="P110" s="113">
        <v>2</v>
      </c>
      <c r="Q110" s="114">
        <v>8007.8</v>
      </c>
      <c r="R110" s="44"/>
      <c r="S110" s="43">
        <f t="shared" si="3"/>
        <v>8008.1</v>
      </c>
      <c r="T110" s="114">
        <f>4358.2+3649.9</f>
        <v>8008.1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1</v>
      </c>
      <c r="M111" s="26">
        <f t="shared" si="0"/>
        <v>1133.98</v>
      </c>
      <c r="N111" s="30">
        <v>1133.98</v>
      </c>
      <c r="O111" s="225"/>
      <c r="P111" s="53">
        <v>5</v>
      </c>
      <c r="Q111" s="30">
        <v>7208.15</v>
      </c>
      <c r="R111" s="205">
        <v>5</v>
      </c>
      <c r="S111" s="26">
        <f t="shared" si="3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40"/>
      <c r="M112" s="39">
        <f t="shared" si="0"/>
        <v>0</v>
      </c>
      <c r="N112" s="39"/>
      <c r="O112" s="41"/>
      <c r="P112" s="115">
        <v>1</v>
      </c>
      <c r="Q112" s="68">
        <v>1377.7</v>
      </c>
      <c r="R112" s="40"/>
      <c r="S112" s="39">
        <f t="shared" si="3"/>
        <v>5378.8</v>
      </c>
      <c r="T112" s="39">
        <f>5378.8</f>
        <v>5378.8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10</v>
      </c>
      <c r="I113" s="203">
        <v>4</v>
      </c>
      <c r="J113" s="203">
        <v>4</v>
      </c>
      <c r="K113" s="65">
        <v>6396.36</v>
      </c>
      <c r="L113" s="51"/>
      <c r="M113" s="50">
        <f t="shared" si="0"/>
        <v>5531.12</v>
      </c>
      <c r="N113" s="50"/>
      <c r="O113" s="225">
        <v>5531.12</v>
      </c>
      <c r="P113" s="108">
        <v>16</v>
      </c>
      <c r="Q113" s="65">
        <v>46837.09</v>
      </c>
      <c r="R113" s="224">
        <v>3</v>
      </c>
      <c r="S113" s="50">
        <f t="shared" si="3"/>
        <v>23106.86</v>
      </c>
      <c r="T113" s="65">
        <v>6809.92</v>
      </c>
      <c r="U113" s="225">
        <v>16296.94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0"/>
        <v>0</v>
      </c>
      <c r="N114" s="43"/>
      <c r="O114" s="41"/>
      <c r="P114" s="103"/>
      <c r="Q114" s="43"/>
      <c r="R114" s="44"/>
      <c r="S114" s="43">
        <f t="shared" si="3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3</v>
      </c>
      <c r="I115" s="25"/>
      <c r="J115" s="25"/>
      <c r="K115" s="26"/>
      <c r="L115" s="27"/>
      <c r="M115" s="26">
        <f t="shared" si="0"/>
        <v>0</v>
      </c>
      <c r="N115" s="26"/>
      <c r="O115" s="31"/>
      <c r="P115" s="53">
        <v>9</v>
      </c>
      <c r="Q115" s="30">
        <v>62029.02</v>
      </c>
      <c r="R115" s="205">
        <v>5</v>
      </c>
      <c r="S115" s="26">
        <f t="shared" si="3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2</v>
      </c>
      <c r="I116" s="57"/>
      <c r="J116" s="57"/>
      <c r="K116" s="43"/>
      <c r="L116" s="44"/>
      <c r="M116" s="43">
        <f t="shared" si="0"/>
        <v>0</v>
      </c>
      <c r="N116" s="43"/>
      <c r="O116" s="41"/>
      <c r="P116" s="113">
        <v>2</v>
      </c>
      <c r="Q116" s="114">
        <v>2881.5</v>
      </c>
      <c r="R116" s="44"/>
      <c r="S116" s="43">
        <f t="shared" si="3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5</v>
      </c>
      <c r="I117" s="62">
        <v>4</v>
      </c>
      <c r="J117" s="62">
        <v>4</v>
      </c>
      <c r="K117" s="30">
        <v>3661.42</v>
      </c>
      <c r="L117" s="27"/>
      <c r="M117" s="26">
        <f t="shared" si="0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3"/>
        <v>13277.84</v>
      </c>
      <c r="T117" s="30">
        <v>13277.84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4</v>
      </c>
      <c r="I118" s="246">
        <v>2</v>
      </c>
      <c r="J118" s="246">
        <v>2</v>
      </c>
      <c r="K118" s="158">
        <v>1152.5999999999999</v>
      </c>
      <c r="L118" s="143"/>
      <c r="M118" s="142">
        <f t="shared" si="0"/>
        <v>0</v>
      </c>
      <c r="N118" s="142"/>
      <c r="O118" s="45"/>
      <c r="P118" s="157">
        <v>3</v>
      </c>
      <c r="Q118" s="158">
        <v>6513.21</v>
      </c>
      <c r="R118" s="143"/>
      <c r="S118" s="142">
        <f t="shared" si="3"/>
        <v>288.14999999999998</v>
      </c>
      <c r="T118" s="142">
        <f>288.15</f>
        <v>288.14999999999998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8"/>
      <c r="J119" s="38"/>
      <c r="K119" s="39"/>
      <c r="L119" s="40"/>
      <c r="M119" s="39">
        <f t="shared" si="0"/>
        <v>0</v>
      </c>
      <c r="N119" s="39"/>
      <c r="O119" s="41"/>
      <c r="P119" s="59"/>
      <c r="Q119" s="39"/>
      <c r="R119" s="40"/>
      <c r="S119" s="39">
        <f t="shared" si="3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0"/>
        <v>0</v>
      </c>
      <c r="N120" s="50"/>
      <c r="O120" s="31"/>
      <c r="P120" s="108">
        <v>4</v>
      </c>
      <c r="Q120" s="65">
        <v>10383.700000000001</v>
      </c>
      <c r="R120" s="224">
        <v>1</v>
      </c>
      <c r="S120" s="50">
        <f t="shared" si="3"/>
        <v>7727.16</v>
      </c>
      <c r="T120" s="65">
        <v>3034.34</v>
      </c>
      <c r="U120" s="225">
        <v>4692.82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0"/>
        <v>0</v>
      </c>
      <c r="N121" s="43"/>
      <c r="O121" s="41"/>
      <c r="P121" s="103"/>
      <c r="Q121" s="43"/>
      <c r="R121" s="44"/>
      <c r="S121" s="43">
        <f t="shared" si="3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4</v>
      </c>
      <c r="I122" s="62">
        <v>3</v>
      </c>
      <c r="J122" s="62">
        <v>3</v>
      </c>
      <c r="K122" s="30">
        <v>2036.27</v>
      </c>
      <c r="L122" s="27"/>
      <c r="M122" s="26">
        <f t="shared" si="0"/>
        <v>0</v>
      </c>
      <c r="N122" s="26"/>
      <c r="O122" s="31"/>
      <c r="P122" s="53">
        <v>4</v>
      </c>
      <c r="Q122" s="30">
        <v>3732.5</v>
      </c>
      <c r="R122" s="205">
        <v>4</v>
      </c>
      <c r="S122" s="26">
        <f t="shared" si="3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3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10</v>
      </c>
      <c r="I124" s="62">
        <v>7</v>
      </c>
      <c r="J124" s="62">
        <v>11</v>
      </c>
      <c r="K124" s="30">
        <v>16008.12</v>
      </c>
      <c r="L124" s="27"/>
      <c r="M124" s="26">
        <f t="shared" si="0"/>
        <v>0</v>
      </c>
      <c r="N124" s="26"/>
      <c r="O124" s="31"/>
      <c r="P124" s="53">
        <v>10</v>
      </c>
      <c r="Q124" s="30">
        <v>26937.9</v>
      </c>
      <c r="R124" s="205">
        <v>2</v>
      </c>
      <c r="S124" s="26">
        <f t="shared" si="3"/>
        <v>14875.39</v>
      </c>
      <c r="T124" s="30">
        <v>7729.47</v>
      </c>
      <c r="U124" s="225">
        <v>7145.92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1</v>
      </c>
      <c r="J125" s="130">
        <v>1</v>
      </c>
      <c r="K125" s="114">
        <v>1152.5999999999999</v>
      </c>
      <c r="L125" s="44"/>
      <c r="M125" s="43">
        <f t="shared" si="0"/>
        <v>0</v>
      </c>
      <c r="N125" s="43"/>
      <c r="O125" s="45"/>
      <c r="P125" s="113">
        <v>2</v>
      </c>
      <c r="Q125" s="114">
        <v>5186.7</v>
      </c>
      <c r="R125" s="44"/>
      <c r="S125" s="43">
        <f t="shared" si="3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0"/>
        <v>0</v>
      </c>
      <c r="N126" s="26"/>
      <c r="O126" s="100"/>
      <c r="P126" s="120"/>
      <c r="Q126" s="26"/>
      <c r="R126" s="27"/>
      <c r="S126" s="26">
        <f t="shared" si="3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0"/>
        <v>0</v>
      </c>
      <c r="N127" s="39"/>
      <c r="O127" s="41"/>
      <c r="P127" s="69"/>
      <c r="Q127" s="39"/>
      <c r="R127" s="40"/>
      <c r="S127" s="39">
        <f t="shared" si="3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5</v>
      </c>
      <c r="I128" s="62">
        <v>3</v>
      </c>
      <c r="J128" s="62">
        <v>4</v>
      </c>
      <c r="K128" s="30">
        <v>5120.59</v>
      </c>
      <c r="L128" s="27"/>
      <c r="M128" s="26">
        <f t="shared" si="0"/>
        <v>3189.98</v>
      </c>
      <c r="N128" s="26"/>
      <c r="O128" s="243">
        <v>3189.98</v>
      </c>
      <c r="P128" s="64">
        <v>3</v>
      </c>
      <c r="Q128" s="65">
        <v>7766.38</v>
      </c>
      <c r="R128" s="224">
        <v>1</v>
      </c>
      <c r="S128" s="50">
        <f t="shared" si="3"/>
        <v>3540.1800000000003</v>
      </c>
      <c r="T128" s="65">
        <v>2272.3200000000002</v>
      </c>
      <c r="U128" s="225">
        <v>1267.8599999999999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0"/>
        <v>0</v>
      </c>
      <c r="N129" s="39"/>
      <c r="O129" s="41"/>
      <c r="P129" s="69"/>
      <c r="Q129" s="39"/>
      <c r="R129" s="40"/>
      <c r="S129" s="39">
        <f t="shared" si="3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11</v>
      </c>
      <c r="I130" s="203">
        <v>6</v>
      </c>
      <c r="J130" s="203">
        <v>7</v>
      </c>
      <c r="K130" s="65">
        <v>17376.97</v>
      </c>
      <c r="L130" s="51"/>
      <c r="M130" s="50">
        <f t="shared" si="0"/>
        <v>0</v>
      </c>
      <c r="N130" s="50"/>
      <c r="O130" s="31"/>
      <c r="P130" s="108">
        <v>20</v>
      </c>
      <c r="Q130" s="65">
        <v>63705.13</v>
      </c>
      <c r="R130" s="224">
        <v>3</v>
      </c>
      <c r="S130" s="50">
        <f t="shared" si="3"/>
        <v>38442.76</v>
      </c>
      <c r="T130" s="65">
        <v>10009.61</v>
      </c>
      <c r="U130" s="225">
        <v>28433.15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0"/>
        <v>0</v>
      </c>
      <c r="N131" s="43"/>
      <c r="O131" s="41"/>
      <c r="P131" s="103"/>
      <c r="Q131" s="43"/>
      <c r="R131" s="44"/>
      <c r="S131" s="43">
        <f t="shared" si="3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8</v>
      </c>
      <c r="I132" s="62">
        <v>1</v>
      </c>
      <c r="J132" s="62">
        <v>1</v>
      </c>
      <c r="K132" s="30">
        <v>1405.21</v>
      </c>
      <c r="L132" s="27"/>
      <c r="M132" s="26">
        <f t="shared" si="0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3"/>
        <v>21153.67</v>
      </c>
      <c r="T132" s="30">
        <v>21153.67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0"/>
        <v>0</v>
      </c>
      <c r="N133" s="39"/>
      <c r="O133" s="41"/>
      <c r="P133" s="59"/>
      <c r="Q133" s="39"/>
      <c r="R133" s="40"/>
      <c r="S133" s="39">
        <f t="shared" si="3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9</v>
      </c>
      <c r="I134" s="62">
        <v>3</v>
      </c>
      <c r="J134" s="62">
        <v>3</v>
      </c>
      <c r="K134" s="30">
        <v>2221.61</v>
      </c>
      <c r="L134" s="205">
        <v>3</v>
      </c>
      <c r="M134" s="26">
        <f t="shared" si="0"/>
        <v>2221.61</v>
      </c>
      <c r="N134" s="30">
        <v>2221.61</v>
      </c>
      <c r="O134" s="31"/>
      <c r="P134" s="53">
        <v>24</v>
      </c>
      <c r="Q134" s="30">
        <v>38955.06</v>
      </c>
      <c r="R134" s="205">
        <v>19</v>
      </c>
      <c r="S134" s="26">
        <f t="shared" si="3"/>
        <v>32606.92</v>
      </c>
      <c r="T134" s="30">
        <v>30301.71</v>
      </c>
      <c r="U134" s="225">
        <v>2305.21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0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1</v>
      </c>
      <c r="S135" s="209">
        <f t="shared" si="3"/>
        <v>4034.1</v>
      </c>
      <c r="T135" s="209">
        <v>4034.1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0"/>
        <v>0</v>
      </c>
      <c r="N136" s="26"/>
      <c r="O136" s="28"/>
      <c r="P136" s="214"/>
      <c r="Q136" s="30"/>
      <c r="R136" s="205"/>
      <c r="S136" s="26">
        <f t="shared" si="3"/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0"/>
        <v>0</v>
      </c>
      <c r="N137" s="39"/>
      <c r="O137" s="41"/>
      <c r="P137" s="217"/>
      <c r="Q137" s="68"/>
      <c r="R137" s="285"/>
      <c r="S137" s="39">
        <f t="shared" si="3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14</v>
      </c>
      <c r="I138" s="266">
        <v>6</v>
      </c>
      <c r="J138" s="266">
        <v>7</v>
      </c>
      <c r="K138" s="79">
        <v>9796.43</v>
      </c>
      <c r="L138" s="80"/>
      <c r="M138" s="81">
        <f t="shared" si="0"/>
        <v>3016.65</v>
      </c>
      <c r="N138" s="81"/>
      <c r="O138" s="269">
        <v>3016.65</v>
      </c>
      <c r="P138" s="267">
        <v>14</v>
      </c>
      <c r="Q138" s="79">
        <v>68482.759999999995</v>
      </c>
      <c r="R138" s="268">
        <v>7</v>
      </c>
      <c r="S138" s="81">
        <f t="shared" si="3"/>
        <v>41694.229999999996</v>
      </c>
      <c r="T138" s="79">
        <v>29991.43</v>
      </c>
      <c r="U138" s="269">
        <v>11702.8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0"/>
        <v>0</v>
      </c>
      <c r="N139" s="39"/>
      <c r="O139" s="41"/>
      <c r="P139" s="59"/>
      <c r="Q139" s="39"/>
      <c r="R139" s="40"/>
      <c r="S139" s="39">
        <f t="shared" si="3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10</v>
      </c>
      <c r="I140" s="203">
        <v>5</v>
      </c>
      <c r="J140" s="203">
        <v>7</v>
      </c>
      <c r="K140" s="65">
        <v>11288.37</v>
      </c>
      <c r="L140" s="51"/>
      <c r="M140" s="50">
        <f t="shared" si="0"/>
        <v>0</v>
      </c>
      <c r="N140" s="50"/>
      <c r="O140" s="31"/>
      <c r="P140" s="108">
        <v>43</v>
      </c>
      <c r="Q140" s="65">
        <v>246774.88</v>
      </c>
      <c r="R140" s="224">
        <v>12</v>
      </c>
      <c r="S140" s="50">
        <f t="shared" si="3"/>
        <v>107444.04999999999</v>
      </c>
      <c r="T140" s="65">
        <v>74062.509999999995</v>
      </c>
      <c r="U140" s="225">
        <v>33381.54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0"/>
        <v>0</v>
      </c>
      <c r="N141" s="129"/>
      <c r="O141" s="45"/>
      <c r="P141" s="156"/>
      <c r="Q141" s="129"/>
      <c r="R141" s="128"/>
      <c r="S141" s="129">
        <f t="shared" si="3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0"/>
        <v>0</v>
      </c>
      <c r="N142" s="43"/>
      <c r="O142" s="41"/>
      <c r="P142" s="113">
        <v>1</v>
      </c>
      <c r="Q142" s="43"/>
      <c r="R142" s="44"/>
      <c r="S142" s="43">
        <f t="shared" si="3"/>
        <v>2305.1999999999998</v>
      </c>
      <c r="T142" s="114">
        <v>2305.1999999999998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150"/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0"/>
        <v>0</v>
      </c>
      <c r="N143" s="26"/>
      <c r="O143" s="31"/>
      <c r="P143" s="53">
        <v>15</v>
      </c>
      <c r="Q143" s="30">
        <v>11948.95</v>
      </c>
      <c r="R143" s="27"/>
      <c r="S143" s="26">
        <f t="shared" si="3"/>
        <v>0</v>
      </c>
      <c r="T143" s="26"/>
      <c r="U143" s="3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0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3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6</v>
      </c>
      <c r="I145" s="203">
        <v>4</v>
      </c>
      <c r="J145" s="203">
        <v>4</v>
      </c>
      <c r="K145" s="65">
        <v>4666.47</v>
      </c>
      <c r="L145" s="51"/>
      <c r="M145" s="50">
        <f t="shared" si="0"/>
        <v>3609.92</v>
      </c>
      <c r="N145" s="50"/>
      <c r="O145" s="225">
        <v>3609.92</v>
      </c>
      <c r="P145" s="108">
        <v>8</v>
      </c>
      <c r="Q145" s="65">
        <v>29582.03</v>
      </c>
      <c r="R145" s="224">
        <v>2</v>
      </c>
      <c r="S145" s="50">
        <f t="shared" si="3"/>
        <v>29582.03</v>
      </c>
      <c r="T145" s="65">
        <v>8462.64</v>
      </c>
      <c r="U145" s="225">
        <v>21119.39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0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3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3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03"/>
      <c r="Q148" s="43"/>
      <c r="R148" s="44"/>
      <c r="S148" s="43">
        <f t="shared" si="3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4</v>
      </c>
      <c r="Q149" s="30">
        <v>22885.21</v>
      </c>
      <c r="R149" s="205">
        <v>2</v>
      </c>
      <c r="S149" s="26">
        <f t="shared" si="3"/>
        <v>4085.52</v>
      </c>
      <c r="T149" s="30">
        <v>4085.52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0"/>
        <v>1728.9</v>
      </c>
      <c r="N150" s="114">
        <v>1728.9</v>
      </c>
      <c r="O150" s="234"/>
      <c r="P150" s="113">
        <v>1</v>
      </c>
      <c r="Q150" s="114">
        <v>3457.8</v>
      </c>
      <c r="R150" s="44"/>
      <c r="S150" s="43">
        <f t="shared" si="3"/>
        <v>0</v>
      </c>
      <c r="T150" s="43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8</v>
      </c>
      <c r="I151" s="62">
        <v>5</v>
      </c>
      <c r="J151" s="62">
        <v>6</v>
      </c>
      <c r="K151" s="30">
        <v>6195.91</v>
      </c>
      <c r="L151" s="27"/>
      <c r="M151" s="26">
        <f t="shared" si="0"/>
        <v>0</v>
      </c>
      <c r="N151" s="26"/>
      <c r="O151" s="31"/>
      <c r="P151" s="53">
        <v>11</v>
      </c>
      <c r="Q151" s="30">
        <v>31846.83</v>
      </c>
      <c r="R151" s="205">
        <v>3</v>
      </c>
      <c r="S151" s="26">
        <f t="shared" si="3"/>
        <v>17204.46</v>
      </c>
      <c r="T151" s="30">
        <v>8445.0499999999993</v>
      </c>
      <c r="U151" s="225">
        <v>8759.41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0"/>
        <v>0</v>
      </c>
      <c r="N152" s="129"/>
      <c r="O152" s="45"/>
      <c r="P152" s="238">
        <v>7</v>
      </c>
      <c r="Q152" s="239">
        <v>11775.73</v>
      </c>
      <c r="R152" s="128"/>
      <c r="S152" s="129">
        <f t="shared" si="3"/>
        <v>7222.96</v>
      </c>
      <c r="T152" s="239">
        <f>288.15+6934.81</f>
        <v>7222.96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0"/>
        <v>0</v>
      </c>
      <c r="N153" s="43"/>
      <c r="O153" s="41"/>
      <c r="P153" s="103"/>
      <c r="Q153" s="43"/>
      <c r="R153" s="44"/>
      <c r="S153" s="43">
        <f t="shared" si="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6</v>
      </c>
      <c r="I154" s="25"/>
      <c r="J154" s="25"/>
      <c r="K154" s="26"/>
      <c r="L154" s="27"/>
      <c r="M154" s="26">
        <f t="shared" si="0"/>
        <v>0</v>
      </c>
      <c r="N154" s="26"/>
      <c r="O154" s="31"/>
      <c r="P154" s="99"/>
      <c r="Q154" s="26"/>
      <c r="R154" s="27"/>
      <c r="S154" s="26">
        <f t="shared" si="3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0"/>
        <v>0</v>
      </c>
      <c r="N155" s="39"/>
      <c r="O155" s="41"/>
      <c r="P155" s="59"/>
      <c r="Q155" s="39"/>
      <c r="R155" s="40"/>
      <c r="S155" s="39">
        <f t="shared" si="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6</v>
      </c>
      <c r="I156" s="203">
        <v>5</v>
      </c>
      <c r="J156" s="203">
        <v>5</v>
      </c>
      <c r="K156" s="65">
        <v>7140.36</v>
      </c>
      <c r="L156" s="51"/>
      <c r="M156" s="50">
        <f t="shared" si="0"/>
        <v>3519.27</v>
      </c>
      <c r="N156" s="50"/>
      <c r="O156" s="225">
        <v>3519.27</v>
      </c>
      <c r="P156" s="108">
        <v>5</v>
      </c>
      <c r="Q156" s="65">
        <v>27150.720000000001</v>
      </c>
      <c r="R156" s="224">
        <v>2</v>
      </c>
      <c r="S156" s="50">
        <f t="shared" si="3"/>
        <v>22015.89</v>
      </c>
      <c r="T156" s="65">
        <v>3694.33</v>
      </c>
      <c r="U156" s="225">
        <v>18321.560000000001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6</v>
      </c>
      <c r="I157" s="246">
        <v>2</v>
      </c>
      <c r="J157" s="246">
        <v>2</v>
      </c>
      <c r="K157" s="158">
        <v>4226.2</v>
      </c>
      <c r="L157" s="143"/>
      <c r="M157" s="142">
        <f t="shared" si="0"/>
        <v>0</v>
      </c>
      <c r="N157" s="142"/>
      <c r="O157" s="45"/>
      <c r="P157" s="157">
        <v>4</v>
      </c>
      <c r="Q157" s="158">
        <v>8625.2900000000009</v>
      </c>
      <c r="R157" s="51"/>
      <c r="S157" s="50">
        <f t="shared" si="3"/>
        <v>6224.04</v>
      </c>
      <c r="T157" s="158">
        <v>6224.04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0"/>
        <v>0</v>
      </c>
      <c r="N158" s="43"/>
      <c r="O158" s="41"/>
      <c r="P158" s="103"/>
      <c r="Q158" s="43"/>
      <c r="R158" s="44"/>
      <c r="S158" s="43">
        <f t="shared" si="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9</v>
      </c>
      <c r="I159" s="62">
        <v>2</v>
      </c>
      <c r="J159" s="62">
        <v>2</v>
      </c>
      <c r="K159" s="30">
        <v>1993.03</v>
      </c>
      <c r="L159" s="27"/>
      <c r="M159" s="26">
        <f t="shared" si="0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3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0"/>
        <v>0</v>
      </c>
      <c r="N160" s="39"/>
      <c r="O160" s="41"/>
      <c r="P160" s="115">
        <v>2</v>
      </c>
      <c r="Q160" s="68">
        <v>3265.7</v>
      </c>
      <c r="R160" s="40"/>
      <c r="S160" s="39">
        <f t="shared" si="3"/>
        <v>1921</v>
      </c>
      <c r="T160" s="39">
        <f>1921</f>
        <v>1921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3</v>
      </c>
      <c r="J161" s="203">
        <v>3</v>
      </c>
      <c r="K161" s="65">
        <v>7338.22</v>
      </c>
      <c r="L161" s="51"/>
      <c r="M161" s="50">
        <f t="shared" si="0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3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44"/>
      <c r="M162" s="43">
        <f t="shared" si="0"/>
        <v>0</v>
      </c>
      <c r="N162" s="43"/>
      <c r="O162" s="41"/>
      <c r="P162" s="113">
        <v>3</v>
      </c>
      <c r="Q162" s="114">
        <v>7203.75</v>
      </c>
      <c r="R162" s="44"/>
      <c r="S162" s="43">
        <f t="shared" si="3"/>
        <v>4802.5</v>
      </c>
      <c r="T162" s="114">
        <v>4802.5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4</v>
      </c>
      <c r="I163" s="62">
        <v>3</v>
      </c>
      <c r="J163" s="62">
        <v>4</v>
      </c>
      <c r="K163" s="30">
        <v>11839.32</v>
      </c>
      <c r="L163" s="27"/>
      <c r="M163" s="26">
        <f t="shared" si="0"/>
        <v>6365.22</v>
      </c>
      <c r="N163" s="26"/>
      <c r="O163" s="225">
        <v>6365.22</v>
      </c>
      <c r="P163" s="53">
        <v>10</v>
      </c>
      <c r="Q163" s="30">
        <v>30369.15</v>
      </c>
      <c r="R163" s="205">
        <v>2</v>
      </c>
      <c r="S163" s="26">
        <f t="shared" si="3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0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3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4</v>
      </c>
      <c r="I165" s="62">
        <v>4</v>
      </c>
      <c r="J165" s="62">
        <v>4</v>
      </c>
      <c r="K165" s="30">
        <v>8539.0300000000007</v>
      </c>
      <c r="L165" s="27"/>
      <c r="M165" s="26">
        <f t="shared" si="0"/>
        <v>0</v>
      </c>
      <c r="N165" s="26"/>
      <c r="O165" s="159"/>
      <c r="P165" s="53">
        <v>3</v>
      </c>
      <c r="Q165" s="30">
        <v>20168.78</v>
      </c>
      <c r="R165" s="205">
        <v>3</v>
      </c>
      <c r="S165" s="26">
        <f t="shared" si="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0"/>
        <v>1728.9</v>
      </c>
      <c r="N166" s="211">
        <f>1728.9</f>
        <v>1728.9</v>
      </c>
      <c r="O166" s="274"/>
      <c r="P166" s="262">
        <v>2</v>
      </c>
      <c r="Q166" s="209">
        <v>2420.46</v>
      </c>
      <c r="R166" s="210"/>
      <c r="S166" s="211">
        <f t="shared" si="3"/>
        <v>0</v>
      </c>
      <c r="T166" s="211"/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0"/>
        <v>0</v>
      </c>
      <c r="N167" s="26"/>
      <c r="O167" s="28"/>
      <c r="P167" s="214"/>
      <c r="Q167" s="30"/>
      <c r="R167" s="205"/>
      <c r="S167" s="26">
        <f t="shared" si="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0"/>
        <v>0</v>
      </c>
      <c r="N168" s="39"/>
      <c r="O168" s="41"/>
      <c r="P168" s="217"/>
      <c r="Q168" s="68"/>
      <c r="R168" s="285"/>
      <c r="S168" s="39">
        <f t="shared" si="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1</v>
      </c>
      <c r="J169" s="266">
        <v>1</v>
      </c>
      <c r="K169" s="79">
        <v>1267.8599999999999</v>
      </c>
      <c r="L169" s="80"/>
      <c r="M169" s="81">
        <f t="shared" si="0"/>
        <v>0</v>
      </c>
      <c r="N169" s="81"/>
      <c r="O169" s="219"/>
      <c r="P169" s="267">
        <v>2</v>
      </c>
      <c r="Q169" s="79">
        <v>4427.91</v>
      </c>
      <c r="R169" s="268">
        <v>1</v>
      </c>
      <c r="S169" s="81">
        <f t="shared" si="3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5"/>
      <c r="P170" s="103"/>
      <c r="Q170" s="43"/>
      <c r="R170" s="44"/>
      <c r="S170" s="43">
        <f t="shared" si="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7"/>
      <c r="M171" s="26">
        <f t="shared" si="0"/>
        <v>524.91</v>
      </c>
      <c r="N171" s="26"/>
      <c r="O171" s="241">
        <v>524.91</v>
      </c>
      <c r="P171" s="53">
        <v>1</v>
      </c>
      <c r="Q171" s="30">
        <v>412.05</v>
      </c>
      <c r="R171" s="27"/>
      <c r="S171" s="26">
        <f t="shared" si="3"/>
        <v>412.05</v>
      </c>
      <c r="T171" s="26"/>
      <c r="U171" s="241">
        <v>412.05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0"/>
        <v>0</v>
      </c>
      <c r="N172" s="211"/>
      <c r="O172" s="212"/>
      <c r="P172" s="273"/>
      <c r="Q172" s="211"/>
      <c r="R172" s="210"/>
      <c r="S172" s="211">
        <f t="shared" si="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0"/>
        <v>0</v>
      </c>
      <c r="N173" s="26"/>
      <c r="O173" s="28"/>
      <c r="P173" s="214"/>
      <c r="Q173" s="30"/>
      <c r="R173" s="205"/>
      <c r="S173" s="26">
        <f t="shared" si="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0"/>
        <v>0</v>
      </c>
      <c r="N174" s="39"/>
      <c r="O174" s="41"/>
      <c r="P174" s="217"/>
      <c r="Q174" s="68"/>
      <c r="R174" s="285"/>
      <c r="S174" s="39">
        <f t="shared" si="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266">
        <v>2</v>
      </c>
      <c r="J175" s="266">
        <v>2</v>
      </c>
      <c r="K175" s="79">
        <v>2253.34</v>
      </c>
      <c r="L175" s="80"/>
      <c r="M175" s="81">
        <f t="shared" si="0"/>
        <v>0</v>
      </c>
      <c r="N175" s="81"/>
      <c r="O175" s="219"/>
      <c r="P175" s="267">
        <v>11</v>
      </c>
      <c r="Q175" s="79">
        <v>38325.81</v>
      </c>
      <c r="R175" s="268">
        <v>5</v>
      </c>
      <c r="S175" s="81">
        <f t="shared" si="3"/>
        <v>34311.440000000002</v>
      </c>
      <c r="T175" s="79">
        <v>16502.04</v>
      </c>
      <c r="U175" s="269">
        <v>17809.400000000001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7</v>
      </c>
      <c r="I176" s="130">
        <v>1</v>
      </c>
      <c r="J176" s="130">
        <v>1</v>
      </c>
      <c r="K176" s="114">
        <v>2497.3000000000002</v>
      </c>
      <c r="L176" s="128"/>
      <c r="M176" s="50">
        <f t="shared" si="0"/>
        <v>0</v>
      </c>
      <c r="N176" s="43"/>
      <c r="O176" s="41"/>
      <c r="P176" s="113">
        <v>2</v>
      </c>
      <c r="Q176" s="114">
        <v>7924</v>
      </c>
      <c r="R176" s="44"/>
      <c r="S176" s="43">
        <f t="shared" si="3"/>
        <v>576.29999999999995</v>
      </c>
      <c r="T176" s="114">
        <v>576.29999999999995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5</v>
      </c>
      <c r="I177" s="62">
        <v>3</v>
      </c>
      <c r="J177" s="62">
        <v>3</v>
      </c>
      <c r="K177" s="30">
        <v>5755.32</v>
      </c>
      <c r="L177" s="27"/>
      <c r="M177" s="26">
        <f t="shared" si="0"/>
        <v>1477.25</v>
      </c>
      <c r="N177" s="26"/>
      <c r="O177" s="225">
        <v>1477.25</v>
      </c>
      <c r="P177" s="53">
        <v>10</v>
      </c>
      <c r="Q177" s="30">
        <v>31881.81</v>
      </c>
      <c r="R177" s="205">
        <v>1</v>
      </c>
      <c r="S177" s="26">
        <f t="shared" si="3"/>
        <v>14675.67</v>
      </c>
      <c r="T177" s="30">
        <v>1267.8599999999999</v>
      </c>
      <c r="U177" s="225">
        <v>13407.81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2</v>
      </c>
      <c r="I178" s="57"/>
      <c r="J178" s="57"/>
      <c r="K178" s="43"/>
      <c r="L178" s="44"/>
      <c r="M178" s="43">
        <f t="shared" si="0"/>
        <v>0</v>
      </c>
      <c r="N178" s="43"/>
      <c r="O178" s="41"/>
      <c r="P178" s="115">
        <v>4</v>
      </c>
      <c r="Q178" s="68">
        <v>17865.3</v>
      </c>
      <c r="R178" s="40"/>
      <c r="S178" s="39">
        <f t="shared" si="3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12</v>
      </c>
      <c r="I179" s="62">
        <v>10</v>
      </c>
      <c r="J179" s="204">
        <v>11</v>
      </c>
      <c r="K179" s="30">
        <v>18139.990000000002</v>
      </c>
      <c r="L179" s="27"/>
      <c r="M179" s="26">
        <f t="shared" si="0"/>
        <v>5615.47</v>
      </c>
      <c r="N179" s="26"/>
      <c r="O179" s="225">
        <v>5615.47</v>
      </c>
      <c r="P179" s="108">
        <v>21</v>
      </c>
      <c r="Q179" s="65">
        <v>59851.3</v>
      </c>
      <c r="R179" s="224">
        <v>5</v>
      </c>
      <c r="S179" s="50">
        <f t="shared" si="3"/>
        <v>45597.55</v>
      </c>
      <c r="T179" s="65">
        <v>17249.09</v>
      </c>
      <c r="U179" s="225">
        <v>28348.46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0"/>
        <v>0</v>
      </c>
      <c r="N180" s="211"/>
      <c r="O180" s="212"/>
      <c r="P180" s="262">
        <v>1</v>
      </c>
      <c r="Q180" s="209">
        <v>576.29999999999995</v>
      </c>
      <c r="R180" s="210"/>
      <c r="S180" s="211">
        <f t="shared" si="3"/>
        <v>1921</v>
      </c>
      <c r="T180" s="209">
        <v>1921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104"/>
      <c r="I181" s="25"/>
      <c r="J181" s="25"/>
      <c r="K181" s="162"/>
      <c r="L181" s="163"/>
      <c r="M181" s="162">
        <f t="shared" si="0"/>
        <v>0</v>
      </c>
      <c r="N181" s="162"/>
      <c r="O181" s="28"/>
      <c r="P181" s="275"/>
      <c r="Q181" s="26"/>
      <c r="R181" s="27"/>
      <c r="S181" s="26">
        <f t="shared" si="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2</v>
      </c>
      <c r="I182" s="38"/>
      <c r="J182" s="38"/>
      <c r="K182" s="164"/>
      <c r="L182" s="165"/>
      <c r="M182" s="164">
        <f t="shared" si="0"/>
        <v>0</v>
      </c>
      <c r="N182" s="164"/>
      <c r="O182" s="41"/>
      <c r="P182" s="276"/>
      <c r="Q182" s="39"/>
      <c r="R182" s="40"/>
      <c r="S182" s="39">
        <f t="shared" si="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0"/>
        <v>0</v>
      </c>
      <c r="N183" s="293"/>
      <c r="O183" s="82"/>
      <c r="P183" s="295"/>
      <c r="Q183" s="81"/>
      <c r="R183" s="80"/>
      <c r="S183" s="81">
        <f t="shared" si="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0"/>
        <v>0</v>
      </c>
      <c r="N184" s="164"/>
      <c r="O184" s="41"/>
      <c r="P184" s="67">
        <v>4</v>
      </c>
      <c r="Q184" s="68">
        <v>19199.810000000001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8</v>
      </c>
      <c r="I185" s="203">
        <v>7</v>
      </c>
      <c r="J185" s="203">
        <v>9</v>
      </c>
      <c r="K185" s="242">
        <v>19967.95</v>
      </c>
      <c r="L185" s="167"/>
      <c r="M185" s="166">
        <f t="shared" si="0"/>
        <v>0</v>
      </c>
      <c r="N185" s="166"/>
      <c r="O185" s="31"/>
      <c r="P185" s="108">
        <v>6</v>
      </c>
      <c r="Q185" s="65">
        <v>34185.78</v>
      </c>
      <c r="R185" s="224">
        <v>4</v>
      </c>
      <c r="S185" s="50">
        <f t="shared" ref="S185:S204" si="4">T185+U185</f>
        <v>15452.64</v>
      </c>
      <c r="T185" s="65">
        <v>15452.64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0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4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2</v>
      </c>
      <c r="J187" s="62">
        <v>2</v>
      </c>
      <c r="K187" s="30">
        <v>3799.78</v>
      </c>
      <c r="L187" s="27"/>
      <c r="M187" s="26">
        <f t="shared" si="0"/>
        <v>0</v>
      </c>
      <c r="N187" s="26"/>
      <c r="O187" s="31"/>
      <c r="P187" s="53">
        <v>6</v>
      </c>
      <c r="Q187" s="30">
        <v>15490.83</v>
      </c>
      <c r="R187" s="205">
        <v>1</v>
      </c>
      <c r="S187" s="26">
        <f t="shared" si="4"/>
        <v>10125.48</v>
      </c>
      <c r="T187" s="30">
        <v>3759.09</v>
      </c>
      <c r="U187" s="225">
        <v>6366.39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0"/>
        <v>0</v>
      </c>
      <c r="N188" s="39"/>
      <c r="O188" s="41"/>
      <c r="P188" s="59"/>
      <c r="Q188" s="39"/>
      <c r="R188" s="40"/>
      <c r="S188" s="39">
        <f t="shared" si="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0"/>
        <v>0</v>
      </c>
      <c r="N189" s="50"/>
      <c r="O189" s="31"/>
      <c r="P189" s="108">
        <v>2</v>
      </c>
      <c r="Q189" s="65">
        <v>14241.9</v>
      </c>
      <c r="R189" s="224">
        <v>1</v>
      </c>
      <c r="S189" s="50">
        <f t="shared" si="4"/>
        <v>11832.5</v>
      </c>
      <c r="T189" s="65">
        <v>11832.5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0"/>
        <v>0</v>
      </c>
      <c r="N190" s="43"/>
      <c r="O190" s="41"/>
      <c r="P190" s="103"/>
      <c r="Q190" s="43"/>
      <c r="R190" s="44"/>
      <c r="S190" s="43">
        <f t="shared" si="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0"/>
        <v>0</v>
      </c>
      <c r="N191" s="26"/>
      <c r="O191" s="31"/>
      <c r="P191" s="120"/>
      <c r="Q191" s="26"/>
      <c r="R191" s="27"/>
      <c r="S191" s="26">
        <f t="shared" si="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0"/>
        <v>0</v>
      </c>
      <c r="N192" s="39"/>
      <c r="O192" s="41"/>
      <c r="P192" s="69"/>
      <c r="Q192" s="39"/>
      <c r="R192" s="40"/>
      <c r="S192" s="39">
        <f t="shared" si="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7</v>
      </c>
      <c r="I193" s="203">
        <v>6</v>
      </c>
      <c r="J193" s="203">
        <v>6</v>
      </c>
      <c r="K193" s="65">
        <v>11123.36</v>
      </c>
      <c r="L193" s="51"/>
      <c r="M193" s="50">
        <f t="shared" si="0"/>
        <v>7557.22</v>
      </c>
      <c r="N193" s="50"/>
      <c r="O193" s="225">
        <v>7557.22</v>
      </c>
      <c r="P193" s="108">
        <v>8</v>
      </c>
      <c r="Q193" s="65">
        <v>20431.349999999999</v>
      </c>
      <c r="R193" s="224">
        <v>1</v>
      </c>
      <c r="S193" s="50">
        <f t="shared" si="4"/>
        <v>8066.2899999999991</v>
      </c>
      <c r="T193" s="65">
        <v>2627.93</v>
      </c>
      <c r="U193" s="225">
        <v>5438.36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8"/>
      <c r="J194" s="38"/>
      <c r="K194" s="39"/>
      <c r="L194" s="40"/>
      <c r="M194" s="39">
        <f t="shared" si="0"/>
        <v>0</v>
      </c>
      <c r="N194" s="39"/>
      <c r="O194" s="41"/>
      <c r="P194" s="59"/>
      <c r="Q194" s="39"/>
      <c r="R194" s="40"/>
      <c r="S194" s="39">
        <f t="shared" si="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11</v>
      </c>
      <c r="I195" s="203">
        <v>7</v>
      </c>
      <c r="J195" s="203">
        <v>9</v>
      </c>
      <c r="K195" s="65">
        <v>13552.93</v>
      </c>
      <c r="L195" s="51"/>
      <c r="M195" s="50">
        <f t="shared" si="0"/>
        <v>0</v>
      </c>
      <c r="N195" s="50"/>
      <c r="O195" s="31"/>
      <c r="P195" s="108">
        <v>24</v>
      </c>
      <c r="Q195" s="65">
        <v>38241.53</v>
      </c>
      <c r="R195" s="224">
        <v>14</v>
      </c>
      <c r="S195" s="50">
        <f t="shared" si="4"/>
        <v>27671.879999999997</v>
      </c>
      <c r="T195" s="65">
        <v>19941.759999999998</v>
      </c>
      <c r="U195" s="225">
        <v>7730.12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3</v>
      </c>
      <c r="I196" s="130">
        <v>1</v>
      </c>
      <c r="J196" s="130">
        <v>1</v>
      </c>
      <c r="K196" s="114">
        <v>1056.55</v>
      </c>
      <c r="L196" s="128"/>
      <c r="M196" s="50">
        <f t="shared" si="0"/>
        <v>0</v>
      </c>
      <c r="N196" s="43"/>
      <c r="O196" s="41"/>
      <c r="P196" s="113">
        <v>3</v>
      </c>
      <c r="Q196" s="114">
        <v>5551.69</v>
      </c>
      <c r="R196" s="44"/>
      <c r="S196" s="43">
        <f t="shared" si="4"/>
        <v>0</v>
      </c>
      <c r="T196" s="43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5</v>
      </c>
      <c r="I197" s="25"/>
      <c r="J197" s="25"/>
      <c r="K197" s="26"/>
      <c r="L197" s="27"/>
      <c r="M197" s="26">
        <f t="shared" si="0"/>
        <v>0</v>
      </c>
      <c r="N197" s="26"/>
      <c r="O197" s="31"/>
      <c r="P197" s="53">
        <v>3</v>
      </c>
      <c r="Q197" s="30">
        <v>8280.19</v>
      </c>
      <c r="R197" s="27"/>
      <c r="S197" s="26">
        <f t="shared" si="4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0"/>
        <v>0</v>
      </c>
      <c r="N198" s="39"/>
      <c r="O198" s="41"/>
      <c r="P198" s="59"/>
      <c r="Q198" s="39"/>
      <c r="R198" s="40"/>
      <c r="S198" s="39">
        <f t="shared" si="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0"/>
        <v>0</v>
      </c>
      <c r="N199" s="50"/>
      <c r="O199" s="31"/>
      <c r="P199" s="123"/>
      <c r="Q199" s="50"/>
      <c r="R199" s="51"/>
      <c r="S199" s="50">
        <f t="shared" si="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0"/>
        <v>0</v>
      </c>
      <c r="N200" s="50"/>
      <c r="O200" s="45"/>
      <c r="P200" s="123"/>
      <c r="Q200" s="50"/>
      <c r="R200" s="51"/>
      <c r="S200" s="50">
        <f t="shared" si="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0"/>
        <v>0</v>
      </c>
      <c r="N202" s="26"/>
      <c r="O202" s="31"/>
      <c r="P202" s="99"/>
      <c r="Q202" s="26"/>
      <c r="R202" s="27"/>
      <c r="S202" s="26">
        <f t="shared" si="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0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4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0"/>
        <v>0</v>
      </c>
      <c r="N204" s="26"/>
      <c r="O204" s="31"/>
      <c r="P204" s="99"/>
      <c r="Q204" s="26"/>
      <c r="R204" s="27"/>
      <c r="S204" s="26">
        <f t="shared" si="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0"/>
        <v>0</v>
      </c>
      <c r="N206" s="50"/>
      <c r="O206" s="31"/>
      <c r="P206" s="108">
        <v>3</v>
      </c>
      <c r="Q206" s="65">
        <v>12689.15</v>
      </c>
      <c r="R206" s="224">
        <v>2</v>
      </c>
      <c r="S206" s="50">
        <f t="shared" ref="S206:S220" si="5">T206+U206</f>
        <v>2541.1999999999998</v>
      </c>
      <c r="T206" s="65">
        <v>2541.1999999999998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0"/>
        <v>0</v>
      </c>
      <c r="N207" s="43"/>
      <c r="O207" s="45"/>
      <c r="P207" s="273"/>
      <c r="Q207" s="211"/>
      <c r="R207" s="210"/>
      <c r="S207" s="211">
        <f t="shared" si="5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7"/>
      <c r="M208" s="26">
        <f t="shared" si="0"/>
        <v>576.29999999999995</v>
      </c>
      <c r="N208" s="26"/>
      <c r="O208" s="308">
        <v>576.29999999999995</v>
      </c>
      <c r="P208" s="99"/>
      <c r="Q208" s="26"/>
      <c r="R208" s="27"/>
      <c r="S208" s="26">
        <f t="shared" si="5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3</v>
      </c>
      <c r="I209" s="37"/>
      <c r="J209" s="37"/>
      <c r="K209" s="39"/>
      <c r="L209" s="40"/>
      <c r="M209" s="39">
        <f t="shared" si="0"/>
        <v>0</v>
      </c>
      <c r="N209" s="39"/>
      <c r="O209" s="309"/>
      <c r="P209" s="310">
        <v>4</v>
      </c>
      <c r="Q209" s="245">
        <v>17154.53</v>
      </c>
      <c r="R209" s="40"/>
      <c r="S209" s="39">
        <f t="shared" si="5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0"/>
        <v>0</v>
      </c>
      <c r="N210" s="50"/>
      <c r="O210" s="31"/>
      <c r="P210" s="277"/>
      <c r="Q210" s="81"/>
      <c r="R210" s="80"/>
      <c r="S210" s="81">
        <f t="shared" si="5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0"/>
        <v>0</v>
      </c>
      <c r="N211" s="43"/>
      <c r="O211" s="41"/>
      <c r="P211" s="113">
        <v>1</v>
      </c>
      <c r="Q211" s="114">
        <v>3842</v>
      </c>
      <c r="R211" s="128"/>
      <c r="S211" s="50">
        <f t="shared" si="5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7</v>
      </c>
      <c r="I212" s="62">
        <v>6</v>
      </c>
      <c r="J212" s="62">
        <v>10</v>
      </c>
      <c r="K212" s="30">
        <v>22151.4</v>
      </c>
      <c r="L212" s="27"/>
      <c r="M212" s="26">
        <f t="shared" si="0"/>
        <v>0</v>
      </c>
      <c r="N212" s="26"/>
      <c r="O212" s="31"/>
      <c r="P212" s="53">
        <v>17</v>
      </c>
      <c r="Q212" s="30">
        <v>46159.82</v>
      </c>
      <c r="R212" s="205">
        <v>8</v>
      </c>
      <c r="S212" s="26">
        <f t="shared" si="5"/>
        <v>22498.43</v>
      </c>
      <c r="T212" s="30">
        <v>20996.46</v>
      </c>
      <c r="U212" s="225">
        <v>1501.97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0"/>
        <v>0</v>
      </c>
      <c r="N213" s="39"/>
      <c r="O213" s="41"/>
      <c r="P213" s="59"/>
      <c r="Q213" s="39"/>
      <c r="R213" s="40"/>
      <c r="S213" s="39">
        <f t="shared" si="5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0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5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0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5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11</v>
      </c>
      <c r="I216" s="62">
        <v>6</v>
      </c>
      <c r="J216" s="62">
        <v>6</v>
      </c>
      <c r="K216" s="30">
        <v>2766.26</v>
      </c>
      <c r="L216" s="27"/>
      <c r="M216" s="26">
        <f t="shared" si="0"/>
        <v>0</v>
      </c>
      <c r="N216" s="26"/>
      <c r="O216" s="31"/>
      <c r="P216" s="53">
        <v>26</v>
      </c>
      <c r="Q216" s="30">
        <v>35477.370000000003</v>
      </c>
      <c r="R216" s="205">
        <v>4</v>
      </c>
      <c r="S216" s="26">
        <f t="shared" si="5"/>
        <v>27100.080000000002</v>
      </c>
      <c r="T216" s="30">
        <v>6109.65</v>
      </c>
      <c r="U216" s="30">
        <v>20990.43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5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21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5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5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0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5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9</v>
      </c>
      <c r="I220" s="203">
        <v>5</v>
      </c>
      <c r="J220" s="203">
        <v>6</v>
      </c>
      <c r="K220" s="65">
        <v>10006.57</v>
      </c>
      <c r="L220" s="51"/>
      <c r="M220" s="50">
        <f t="shared" si="0"/>
        <v>2579.9</v>
      </c>
      <c r="N220" s="50"/>
      <c r="O220" s="225">
        <v>2579.9</v>
      </c>
      <c r="P220" s="108">
        <v>16</v>
      </c>
      <c r="Q220" s="65">
        <v>50670.65</v>
      </c>
      <c r="R220" s="224">
        <v>5</v>
      </c>
      <c r="S220" s="50">
        <f t="shared" si="5"/>
        <v>36453.31</v>
      </c>
      <c r="T220" s="65">
        <v>24141.61</v>
      </c>
      <c r="U220" s="225">
        <v>12311.7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5</v>
      </c>
      <c r="Q221" s="114">
        <v>24781.439999999999</v>
      </c>
      <c r="R221" s="270">
        <v>3</v>
      </c>
      <c r="S221" s="114">
        <v>19142.64</v>
      </c>
      <c r="T221" s="114">
        <v>19142.64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7"/>
      <c r="M222" s="26">
        <f t="shared" si="0"/>
        <v>0</v>
      </c>
      <c r="N222" s="26"/>
      <c r="O222" s="31"/>
      <c r="P222" s="53">
        <v>14</v>
      </c>
      <c r="Q222" s="30">
        <v>45509.18</v>
      </c>
      <c r="R222" s="205">
        <v>3</v>
      </c>
      <c r="S222" s="26">
        <f t="shared" ref="S222:S272" si="6">T222+U222</f>
        <v>19390.669999999998</v>
      </c>
      <c r="T222" s="30">
        <v>7081.87</v>
      </c>
      <c r="U222" s="225">
        <v>12308.8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1"/>
      <c r="P223" s="103"/>
      <c r="Q223" s="43"/>
      <c r="R223" s="44"/>
      <c r="S223" s="43">
        <f t="shared" si="6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1</v>
      </c>
      <c r="I224" s="25"/>
      <c r="J224" s="25"/>
      <c r="K224" s="26"/>
      <c r="L224" s="27"/>
      <c r="M224" s="26">
        <f t="shared" si="0"/>
        <v>0</v>
      </c>
      <c r="N224" s="26"/>
      <c r="O224" s="31"/>
      <c r="P224" s="120"/>
      <c r="Q224" s="26"/>
      <c r="R224" s="27"/>
      <c r="S224" s="26">
        <f t="shared" si="6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0"/>
        <v>0</v>
      </c>
      <c r="N225" s="43"/>
      <c r="O225" s="45"/>
      <c r="P225" s="42"/>
      <c r="Q225" s="43"/>
      <c r="R225" s="44"/>
      <c r="S225" s="43">
        <f t="shared" si="6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0"/>
        <v>0</v>
      </c>
      <c r="N226" s="26"/>
      <c r="O226" s="28"/>
      <c r="P226" s="120"/>
      <c r="Q226" s="26"/>
      <c r="R226" s="27"/>
      <c r="S226" s="26">
        <f t="shared" si="6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0"/>
        <v>0</v>
      </c>
      <c r="N227" s="211"/>
      <c r="O227" s="212"/>
      <c r="P227" s="284"/>
      <c r="Q227" s="211"/>
      <c r="R227" s="210"/>
      <c r="S227" s="211">
        <f t="shared" si="6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3</v>
      </c>
      <c r="I228" s="62"/>
      <c r="J228" s="62"/>
      <c r="K228" s="30"/>
      <c r="L228" s="27"/>
      <c r="M228" s="26">
        <f t="shared" si="0"/>
        <v>0</v>
      </c>
      <c r="N228" s="26"/>
      <c r="O228" s="28"/>
      <c r="P228" s="214"/>
      <c r="Q228" s="30"/>
      <c r="R228" s="205"/>
      <c r="S228" s="26">
        <f t="shared" si="6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3</v>
      </c>
      <c r="I229" s="37"/>
      <c r="J229" s="37"/>
      <c r="K229" s="68"/>
      <c r="L229" s="40"/>
      <c r="M229" s="39">
        <f t="shared" si="0"/>
        <v>0</v>
      </c>
      <c r="N229" s="39"/>
      <c r="O229" s="41"/>
      <c r="P229" s="217"/>
      <c r="Q229" s="68"/>
      <c r="R229" s="285"/>
      <c r="S229" s="39">
        <f t="shared" si="6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7</v>
      </c>
      <c r="K230" s="79">
        <v>5186.71</v>
      </c>
      <c r="L230" s="80"/>
      <c r="M230" s="81">
        <f t="shared" si="0"/>
        <v>0</v>
      </c>
      <c r="N230" s="81"/>
      <c r="O230" s="219"/>
      <c r="P230" s="267">
        <v>13</v>
      </c>
      <c r="Q230" s="79">
        <v>42826.720000000001</v>
      </c>
      <c r="R230" s="268">
        <v>9</v>
      </c>
      <c r="S230" s="81">
        <f t="shared" si="6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0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6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16</v>
      </c>
      <c r="I232" s="62">
        <v>13</v>
      </c>
      <c r="J232" s="62">
        <v>15</v>
      </c>
      <c r="K232" s="30">
        <v>19551.57</v>
      </c>
      <c r="L232" s="27"/>
      <c r="M232" s="26">
        <f t="shared" si="0"/>
        <v>0</v>
      </c>
      <c r="N232" s="26"/>
      <c r="O232" s="31"/>
      <c r="P232" s="53">
        <v>9</v>
      </c>
      <c r="Q232" s="30">
        <v>61174.91</v>
      </c>
      <c r="R232" s="205">
        <v>2</v>
      </c>
      <c r="S232" s="26">
        <f t="shared" si="6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0"/>
        <v>0</v>
      </c>
      <c r="N233" s="39"/>
      <c r="O233" s="41"/>
      <c r="P233" s="115">
        <v>1</v>
      </c>
      <c r="Q233" s="68">
        <v>3073.6</v>
      </c>
      <c r="R233" s="40"/>
      <c r="S233" s="39">
        <f t="shared" si="6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2</v>
      </c>
      <c r="I234" s="49"/>
      <c r="J234" s="49"/>
      <c r="K234" s="50"/>
      <c r="L234" s="51"/>
      <c r="M234" s="50">
        <f t="shared" si="0"/>
        <v>0</v>
      </c>
      <c r="N234" s="50"/>
      <c r="O234" s="31"/>
      <c r="P234" s="108">
        <v>10</v>
      </c>
      <c r="Q234" s="65">
        <v>15519.54</v>
      </c>
      <c r="R234" s="224">
        <v>1</v>
      </c>
      <c r="S234" s="50">
        <f t="shared" si="6"/>
        <v>8094.01</v>
      </c>
      <c r="T234" s="65">
        <v>1319.81</v>
      </c>
      <c r="U234" s="225">
        <v>6774.2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0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6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61">
        <v>1</v>
      </c>
      <c r="I236" s="25"/>
      <c r="J236" s="25"/>
      <c r="K236" s="26"/>
      <c r="L236" s="27"/>
      <c r="M236" s="26">
        <f t="shared" si="0"/>
        <v>0</v>
      </c>
      <c r="N236" s="26"/>
      <c r="O236" s="28"/>
      <c r="P236" s="275"/>
      <c r="Q236" s="26"/>
      <c r="R236" s="27"/>
      <c r="S236" s="26">
        <f t="shared" si="6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0"/>
        <v>0</v>
      </c>
      <c r="N237" s="39"/>
      <c r="O237" s="41"/>
      <c r="P237" s="276"/>
      <c r="Q237" s="39"/>
      <c r="R237" s="40"/>
      <c r="S237" s="39">
        <f t="shared" si="6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0"/>
        <v>0</v>
      </c>
      <c r="N238" s="81"/>
      <c r="O238" s="219"/>
      <c r="P238" s="277"/>
      <c r="Q238" s="81"/>
      <c r="R238" s="80"/>
      <c r="S238" s="81">
        <f t="shared" si="6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1</v>
      </c>
      <c r="J239" s="130">
        <v>1</v>
      </c>
      <c r="K239" s="114">
        <v>1921</v>
      </c>
      <c r="L239" s="44"/>
      <c r="M239" s="43">
        <f t="shared" si="0"/>
        <v>0</v>
      </c>
      <c r="N239" s="43"/>
      <c r="O239" s="41"/>
      <c r="P239" s="113">
        <v>3</v>
      </c>
      <c r="Q239" s="114">
        <v>5839.84</v>
      </c>
      <c r="R239" s="44"/>
      <c r="S239" s="43">
        <f t="shared" si="6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0"/>
        <v>0</v>
      </c>
      <c r="N240" s="26"/>
      <c r="O240" s="31"/>
      <c r="P240" s="53">
        <v>2</v>
      </c>
      <c r="Q240" s="30">
        <v>2633.4</v>
      </c>
      <c r="R240" s="205">
        <v>1</v>
      </c>
      <c r="S240" s="26">
        <f t="shared" si="6"/>
        <v>2633.4</v>
      </c>
      <c r="T240" s="30">
        <v>1288.7</v>
      </c>
      <c r="U240" s="225">
        <v>1344.7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2</v>
      </c>
      <c r="I241" s="57"/>
      <c r="J241" s="57"/>
      <c r="K241" s="43"/>
      <c r="L241" s="44"/>
      <c r="M241" s="43">
        <f t="shared" si="0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6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5</v>
      </c>
      <c r="I242" s="62">
        <v>2</v>
      </c>
      <c r="J242" s="62">
        <v>2</v>
      </c>
      <c r="K242" s="30">
        <v>3562.05</v>
      </c>
      <c r="L242" s="27"/>
      <c r="M242" s="26">
        <f t="shared" si="0"/>
        <v>0</v>
      </c>
      <c r="N242" s="26"/>
      <c r="O242" s="31"/>
      <c r="P242" s="53">
        <v>12</v>
      </c>
      <c r="Q242" s="30">
        <v>25040</v>
      </c>
      <c r="R242" s="205">
        <v>3</v>
      </c>
      <c r="S242" s="26">
        <f t="shared" si="6"/>
        <v>18348.190000000002</v>
      </c>
      <c r="T242" s="30">
        <v>6447.76</v>
      </c>
      <c r="U242" s="225">
        <v>11900.43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6</v>
      </c>
      <c r="I243" s="38"/>
      <c r="J243" s="38"/>
      <c r="K243" s="39"/>
      <c r="L243" s="40"/>
      <c r="M243" s="39">
        <f t="shared" si="0"/>
        <v>0</v>
      </c>
      <c r="N243" s="39"/>
      <c r="O243" s="41"/>
      <c r="P243" s="59"/>
      <c r="Q243" s="39"/>
      <c r="R243" s="40"/>
      <c r="S243" s="39">
        <f t="shared" si="6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11</v>
      </c>
      <c r="I244" s="203">
        <v>8</v>
      </c>
      <c r="J244" s="203">
        <v>10</v>
      </c>
      <c r="K244" s="65">
        <v>11647.22</v>
      </c>
      <c r="L244" s="51"/>
      <c r="M244" s="50">
        <f t="shared" si="0"/>
        <v>2218.7600000000002</v>
      </c>
      <c r="N244" s="50"/>
      <c r="O244" s="225">
        <v>2218.7600000000002</v>
      </c>
      <c r="P244" s="108">
        <v>17</v>
      </c>
      <c r="Q244" s="65">
        <v>44479.839999999997</v>
      </c>
      <c r="R244" s="224">
        <v>4</v>
      </c>
      <c r="S244" s="50">
        <f t="shared" si="6"/>
        <v>25044.9</v>
      </c>
      <c r="T244" s="65">
        <v>11573.35</v>
      </c>
      <c r="U244" s="225">
        <v>13471.55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0"/>
        <v>0</v>
      </c>
      <c r="N245" s="43"/>
      <c r="O245" s="41"/>
      <c r="P245" s="113">
        <v>2</v>
      </c>
      <c r="Q245" s="114">
        <v>15252.74</v>
      </c>
      <c r="R245" s="270">
        <v>1</v>
      </c>
      <c r="S245" s="43">
        <f t="shared" si="6"/>
        <v>2996.76</v>
      </c>
      <c r="T245" s="114">
        <v>2996.76</v>
      </c>
      <c r="U245" s="23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429</v>
      </c>
      <c r="C246" s="374" t="s">
        <v>22</v>
      </c>
      <c r="D246" s="374"/>
      <c r="E246" s="374" t="s">
        <v>27</v>
      </c>
      <c r="F246" s="22"/>
      <c r="G246" s="176" t="s">
        <v>24</v>
      </c>
      <c r="H246" s="151"/>
      <c r="I246" s="25"/>
      <c r="J246" s="25"/>
      <c r="K246" s="26"/>
      <c r="L246" s="27"/>
      <c r="M246" s="26">
        <f t="shared" si="0"/>
        <v>0</v>
      </c>
      <c r="N246" s="26"/>
      <c r="O246" s="31"/>
      <c r="P246" s="53">
        <v>1</v>
      </c>
      <c r="Q246" s="30">
        <v>36784.050000000003</v>
      </c>
      <c r="R246" s="27"/>
      <c r="S246" s="26">
        <f t="shared" si="6"/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/>
      <c r="G247" s="229" t="s">
        <v>28</v>
      </c>
      <c r="H247" s="56"/>
      <c r="I247" s="57"/>
      <c r="J247" s="57"/>
      <c r="K247" s="43"/>
      <c r="L247" s="44"/>
      <c r="M247" s="43">
        <f t="shared" si="0"/>
        <v>0</v>
      </c>
      <c r="N247" s="43"/>
      <c r="O247" s="45"/>
      <c r="P247" s="113"/>
      <c r="Q247" s="114"/>
      <c r="R247" s="44"/>
      <c r="S247" s="43">
        <f t="shared" si="6"/>
        <v>0</v>
      </c>
      <c r="T247" s="114"/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188</v>
      </c>
      <c r="C248" s="374" t="s">
        <v>39</v>
      </c>
      <c r="D248" s="374"/>
      <c r="E248" s="374" t="s">
        <v>27</v>
      </c>
      <c r="F248" s="22"/>
      <c r="G248" s="176" t="s">
        <v>24</v>
      </c>
      <c r="H248" s="151">
        <v>1</v>
      </c>
      <c r="I248" s="25"/>
      <c r="J248" s="25"/>
      <c r="K248" s="26"/>
      <c r="L248" s="27"/>
      <c r="M248" s="26">
        <f t="shared" si="0"/>
        <v>0</v>
      </c>
      <c r="N248" s="26"/>
      <c r="O248" s="31"/>
      <c r="P248" s="99"/>
      <c r="Q248" s="26"/>
      <c r="R248" s="27"/>
      <c r="S248" s="26">
        <f t="shared" si="6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20.25" customHeight="1">
      <c r="A249" s="373"/>
      <c r="B249" s="375"/>
      <c r="C249" s="375"/>
      <c r="D249" s="375"/>
      <c r="E249" s="375"/>
      <c r="F249" s="220" t="s">
        <v>344</v>
      </c>
      <c r="G249" s="229" t="s">
        <v>28</v>
      </c>
      <c r="H249" s="56">
        <v>3</v>
      </c>
      <c r="I249" s="57"/>
      <c r="J249" s="57"/>
      <c r="K249" s="43"/>
      <c r="L249" s="44"/>
      <c r="M249" s="43">
        <f t="shared" si="0"/>
        <v>0</v>
      </c>
      <c r="N249" s="43"/>
      <c r="O249" s="45"/>
      <c r="P249" s="113">
        <v>11</v>
      </c>
      <c r="Q249" s="114">
        <v>13054.9</v>
      </c>
      <c r="R249" s="44"/>
      <c r="S249" s="43">
        <f t="shared" si="6"/>
        <v>4050.2</v>
      </c>
      <c r="T249" s="114">
        <v>4050.2</v>
      </c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189</v>
      </c>
      <c r="C250" s="374" t="s">
        <v>39</v>
      </c>
      <c r="D250" s="374" t="s">
        <v>427</v>
      </c>
      <c r="E250" s="374" t="s">
        <v>27</v>
      </c>
      <c r="F250" s="232" t="s">
        <v>428</v>
      </c>
      <c r="G250" s="23" t="s">
        <v>24</v>
      </c>
      <c r="H250" s="24">
        <v>10</v>
      </c>
      <c r="I250" s="62">
        <v>3</v>
      </c>
      <c r="J250" s="62">
        <v>5</v>
      </c>
      <c r="K250" s="30">
        <v>6835.88</v>
      </c>
      <c r="L250" s="27"/>
      <c r="M250" s="26">
        <f t="shared" si="0"/>
        <v>2828.68</v>
      </c>
      <c r="N250" s="26"/>
      <c r="O250" s="241">
        <v>2828.68</v>
      </c>
      <c r="P250" s="29">
        <v>2</v>
      </c>
      <c r="Q250" s="30">
        <v>1870.81</v>
      </c>
      <c r="R250" s="27"/>
      <c r="S250" s="26">
        <f t="shared" si="6"/>
        <v>1870.81</v>
      </c>
      <c r="T250" s="26"/>
      <c r="U250" s="241">
        <v>1870.81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256</v>
      </c>
      <c r="G251" s="35" t="s">
        <v>28</v>
      </c>
      <c r="H251" s="66">
        <v>3</v>
      </c>
      <c r="I251" s="38"/>
      <c r="J251" s="38"/>
      <c r="K251" s="39"/>
      <c r="L251" s="40"/>
      <c r="M251" s="39">
        <f t="shared" si="0"/>
        <v>0</v>
      </c>
      <c r="N251" s="39"/>
      <c r="O251" s="41"/>
      <c r="P251" s="69"/>
      <c r="Q251" s="39"/>
      <c r="R251" s="40"/>
      <c r="S251" s="39">
        <f t="shared" si="6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190</v>
      </c>
      <c r="C252" s="381" t="s">
        <v>39</v>
      </c>
      <c r="D252" s="381" t="s">
        <v>191</v>
      </c>
      <c r="E252" s="381" t="s">
        <v>27</v>
      </c>
      <c r="F252" s="46"/>
      <c r="G252" s="47" t="s">
        <v>24</v>
      </c>
      <c r="H252" s="98"/>
      <c r="I252" s="49"/>
      <c r="J252" s="49"/>
      <c r="K252" s="50"/>
      <c r="L252" s="51"/>
      <c r="M252" s="50">
        <f t="shared" si="0"/>
        <v>0</v>
      </c>
      <c r="N252" s="50"/>
      <c r="O252" s="31"/>
      <c r="P252" s="123"/>
      <c r="Q252" s="50"/>
      <c r="R252" s="51"/>
      <c r="S252" s="50">
        <f t="shared" si="6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345</v>
      </c>
      <c r="G253" s="35" t="s">
        <v>28</v>
      </c>
      <c r="H253" s="112">
        <v>2</v>
      </c>
      <c r="I253" s="57"/>
      <c r="J253" s="57"/>
      <c r="K253" s="43"/>
      <c r="L253" s="44"/>
      <c r="M253" s="43">
        <f t="shared" si="0"/>
        <v>0</v>
      </c>
      <c r="N253" s="43"/>
      <c r="O253" s="45"/>
      <c r="P253" s="115">
        <v>4</v>
      </c>
      <c r="Q253" s="68">
        <v>5106.7</v>
      </c>
      <c r="R253" s="40"/>
      <c r="S253" s="39">
        <f t="shared" si="6"/>
        <v>6739.58</v>
      </c>
      <c r="T253" s="68">
        <f>3818+2921.58</f>
        <v>6739.58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192</v>
      </c>
      <c r="C254" s="374" t="s">
        <v>22</v>
      </c>
      <c r="D254" s="374"/>
      <c r="E254" s="374" t="s">
        <v>193</v>
      </c>
      <c r="F254" s="204" t="s">
        <v>318</v>
      </c>
      <c r="G254" s="176" t="s">
        <v>24</v>
      </c>
      <c r="H254" s="61">
        <v>5</v>
      </c>
      <c r="I254" s="62">
        <v>5</v>
      </c>
      <c r="J254" s="62">
        <v>5</v>
      </c>
      <c r="K254" s="30">
        <v>6361.1</v>
      </c>
      <c r="L254" s="27"/>
      <c r="M254" s="26">
        <f t="shared" si="0"/>
        <v>0</v>
      </c>
      <c r="N254" s="26"/>
      <c r="O254" s="100"/>
      <c r="P254" s="64">
        <v>19</v>
      </c>
      <c r="Q254" s="65">
        <v>50291.24</v>
      </c>
      <c r="R254" s="224">
        <v>11</v>
      </c>
      <c r="S254" s="50">
        <f t="shared" si="6"/>
        <v>32753.78</v>
      </c>
      <c r="T254" s="65">
        <v>26877.439999999999</v>
      </c>
      <c r="U254" s="225">
        <v>5876.34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346</v>
      </c>
      <c r="G255" s="229" t="s">
        <v>28</v>
      </c>
      <c r="H255" s="133">
        <v>1</v>
      </c>
      <c r="I255" s="37">
        <v>1</v>
      </c>
      <c r="J255" s="37">
        <v>1</v>
      </c>
      <c r="K255" s="68">
        <v>1728.9</v>
      </c>
      <c r="L255" s="40"/>
      <c r="M255" s="39">
        <f t="shared" si="0"/>
        <v>0</v>
      </c>
      <c r="N255" s="39"/>
      <c r="O255" s="41"/>
      <c r="P255" s="42"/>
      <c r="Q255" s="43"/>
      <c r="R255" s="44"/>
      <c r="S255" s="43">
        <f t="shared" si="6"/>
        <v>0</v>
      </c>
      <c r="T255" s="43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194</v>
      </c>
      <c r="C256" s="377" t="s">
        <v>39</v>
      </c>
      <c r="D256" s="377" t="s">
        <v>319</v>
      </c>
      <c r="E256" s="374" t="s">
        <v>160</v>
      </c>
      <c r="F256" s="232" t="s">
        <v>320</v>
      </c>
      <c r="G256" s="23" t="s">
        <v>24</v>
      </c>
      <c r="H256" s="48">
        <v>5</v>
      </c>
      <c r="I256" s="203">
        <v>3</v>
      </c>
      <c r="J256" s="203">
        <v>3</v>
      </c>
      <c r="K256" s="65">
        <v>2090.2399999999998</v>
      </c>
      <c r="L256" s="128"/>
      <c r="M256" s="129">
        <f t="shared" si="0"/>
        <v>288.14999999999998</v>
      </c>
      <c r="N256" s="50"/>
      <c r="O256" s="225">
        <v>288.14999999999998</v>
      </c>
      <c r="P256" s="29">
        <v>3</v>
      </c>
      <c r="Q256" s="30">
        <v>6107.21</v>
      </c>
      <c r="R256" s="205">
        <v>2</v>
      </c>
      <c r="S256" s="26">
        <f t="shared" si="6"/>
        <v>6107.21</v>
      </c>
      <c r="T256" s="30">
        <v>2951.62</v>
      </c>
      <c r="U256" s="225">
        <v>3155.59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347</v>
      </c>
      <c r="G257" s="35" t="s">
        <v>28</v>
      </c>
      <c r="H257" s="117">
        <v>1</v>
      </c>
      <c r="I257" s="37"/>
      <c r="J257" s="37"/>
      <c r="K257" s="39"/>
      <c r="L257" s="44"/>
      <c r="M257" s="43">
        <f t="shared" si="0"/>
        <v>0</v>
      </c>
      <c r="N257" s="39"/>
      <c r="O257" s="41"/>
      <c r="P257" s="37">
        <v>5</v>
      </c>
      <c r="Q257" s="37">
        <v>12038.63</v>
      </c>
      <c r="R257" s="40"/>
      <c r="S257" s="39">
        <f t="shared" si="6"/>
        <v>4621.6400000000003</v>
      </c>
      <c r="T257" s="68">
        <f>576.3+4045.34</f>
        <v>4621.6400000000003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195</v>
      </c>
      <c r="C258" s="377" t="s">
        <v>39</v>
      </c>
      <c r="D258" s="377" t="s">
        <v>231</v>
      </c>
      <c r="E258" s="381" t="s">
        <v>27</v>
      </c>
      <c r="F258" s="204" t="s">
        <v>232</v>
      </c>
      <c r="G258" s="47" t="s">
        <v>24</v>
      </c>
      <c r="H258" s="61">
        <v>1</v>
      </c>
      <c r="I258" s="25"/>
      <c r="J258" s="25"/>
      <c r="K258" s="26"/>
      <c r="L258" s="27"/>
      <c r="M258" s="26">
        <f t="shared" si="0"/>
        <v>0</v>
      </c>
      <c r="N258" s="26"/>
      <c r="O258" s="31"/>
      <c r="P258" s="64">
        <v>7</v>
      </c>
      <c r="Q258" s="65">
        <v>46859.35</v>
      </c>
      <c r="R258" s="224">
        <v>4</v>
      </c>
      <c r="S258" s="50">
        <f t="shared" si="6"/>
        <v>38298.17</v>
      </c>
      <c r="T258" s="65">
        <v>38298.17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260</v>
      </c>
      <c r="G259" s="55" t="s">
        <v>28</v>
      </c>
      <c r="H259" s="178">
        <v>5</v>
      </c>
      <c r="I259" s="130">
        <v>1</v>
      </c>
      <c r="J259" s="130">
        <v>1</v>
      </c>
      <c r="K259" s="114">
        <v>1152.5999999999999</v>
      </c>
      <c r="L259" s="44"/>
      <c r="M259" s="43">
        <f t="shared" si="0"/>
        <v>1152.5999999999999</v>
      </c>
      <c r="N259" s="43">
        <f>1152.6</f>
        <v>1152.5999999999999</v>
      </c>
      <c r="O259" s="222"/>
      <c r="P259" s="130">
        <v>4</v>
      </c>
      <c r="Q259" s="130">
        <v>15104.45</v>
      </c>
      <c r="R259" s="44"/>
      <c r="S259" s="43">
        <f t="shared" si="6"/>
        <v>17673.2</v>
      </c>
      <c r="T259" s="114">
        <f>4994.6+12678.6</f>
        <v>17673.2</v>
      </c>
      <c r="U259" s="222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196</v>
      </c>
      <c r="C260" s="381" t="s">
        <v>22</v>
      </c>
      <c r="D260" s="374"/>
      <c r="E260" s="381" t="s">
        <v>27</v>
      </c>
      <c r="F260" s="22"/>
      <c r="G260" s="23" t="s">
        <v>24</v>
      </c>
      <c r="H260" s="119"/>
      <c r="I260" s="25"/>
      <c r="J260" s="25"/>
      <c r="K260" s="26"/>
      <c r="L260" s="27"/>
      <c r="M260" s="26">
        <f t="shared" si="0"/>
        <v>0</v>
      </c>
      <c r="N260" s="26"/>
      <c r="O260" s="28"/>
      <c r="P260" s="120"/>
      <c r="Q260" s="26"/>
      <c r="R260" s="27"/>
      <c r="S260" s="26">
        <f t="shared" si="6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348</v>
      </c>
      <c r="G261" s="35" t="s">
        <v>28</v>
      </c>
      <c r="H261" s="66">
        <v>4</v>
      </c>
      <c r="I261" s="38"/>
      <c r="J261" s="38"/>
      <c r="K261" s="39"/>
      <c r="L261" s="40"/>
      <c r="M261" s="39">
        <f t="shared" si="0"/>
        <v>0</v>
      </c>
      <c r="N261" s="39"/>
      <c r="O261" s="41"/>
      <c r="P261" s="67">
        <v>3</v>
      </c>
      <c r="Q261" s="68">
        <v>9605</v>
      </c>
      <c r="R261" s="40"/>
      <c r="S261" s="39">
        <f t="shared" si="6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197</v>
      </c>
      <c r="C262" s="381" t="s">
        <v>39</v>
      </c>
      <c r="D262" s="381" t="s">
        <v>381</v>
      </c>
      <c r="E262" s="381" t="s">
        <v>27</v>
      </c>
      <c r="F262" s="204" t="s">
        <v>382</v>
      </c>
      <c r="G262" s="47" t="s">
        <v>24</v>
      </c>
      <c r="H262" s="98"/>
      <c r="I262" s="49"/>
      <c r="J262" s="49"/>
      <c r="K262" s="50"/>
      <c r="L262" s="51"/>
      <c r="M262" s="50">
        <f t="shared" si="0"/>
        <v>0</v>
      </c>
      <c r="N262" s="50"/>
      <c r="O262" s="31"/>
      <c r="P262" s="108">
        <v>1</v>
      </c>
      <c r="Q262" s="65">
        <v>748.24</v>
      </c>
      <c r="R262" s="224">
        <v>1</v>
      </c>
      <c r="S262" s="50">
        <f t="shared" si="6"/>
        <v>748.24</v>
      </c>
      <c r="T262" s="65">
        <v>748.24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9"/>
      <c r="B263" s="380"/>
      <c r="C263" s="380"/>
      <c r="D263" s="380"/>
      <c r="E263" s="380"/>
      <c r="F263" s="221" t="s">
        <v>349</v>
      </c>
      <c r="G263" s="55" t="s">
        <v>28</v>
      </c>
      <c r="H263" s="153">
        <v>3</v>
      </c>
      <c r="I263" s="130">
        <v>2</v>
      </c>
      <c r="J263" s="130">
        <v>2</v>
      </c>
      <c r="K263" s="114">
        <v>3265.7</v>
      </c>
      <c r="L263" s="44"/>
      <c r="M263" s="43">
        <f t="shared" si="0"/>
        <v>0</v>
      </c>
      <c r="N263" s="43"/>
      <c r="O263" s="41"/>
      <c r="P263" s="103"/>
      <c r="Q263" s="43"/>
      <c r="R263" s="44"/>
      <c r="S263" s="43">
        <f t="shared" si="6"/>
        <v>3765.16</v>
      </c>
      <c r="T263" s="114">
        <f>1440.75+2324.41</f>
        <v>3765.16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198</v>
      </c>
      <c r="C264" s="374" t="s">
        <v>22</v>
      </c>
      <c r="D264" s="374"/>
      <c r="E264" s="374" t="s">
        <v>112</v>
      </c>
      <c r="F264" s="204" t="s">
        <v>383</v>
      </c>
      <c r="G264" s="23" t="s">
        <v>24</v>
      </c>
      <c r="H264" s="48">
        <v>5</v>
      </c>
      <c r="I264" s="62">
        <v>3</v>
      </c>
      <c r="J264" s="62">
        <v>3</v>
      </c>
      <c r="K264" s="30">
        <v>4187.78</v>
      </c>
      <c r="L264" s="27"/>
      <c r="M264" s="26">
        <f t="shared" si="0"/>
        <v>0</v>
      </c>
      <c r="N264" s="26"/>
      <c r="O264" s="31"/>
      <c r="P264" s="53">
        <v>9</v>
      </c>
      <c r="Q264" s="30">
        <v>35504.269999999997</v>
      </c>
      <c r="R264" s="205">
        <v>3</v>
      </c>
      <c r="S264" s="26">
        <f t="shared" si="6"/>
        <v>10703.11</v>
      </c>
      <c r="T264" s="30">
        <v>10703.11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350</v>
      </c>
      <c r="G265" s="35" t="s">
        <v>28</v>
      </c>
      <c r="H265" s="153">
        <v>1</v>
      </c>
      <c r="I265" s="38"/>
      <c r="J265" s="38"/>
      <c r="K265" s="39"/>
      <c r="L265" s="40"/>
      <c r="M265" s="39">
        <f t="shared" si="0"/>
        <v>0</v>
      </c>
      <c r="N265" s="39"/>
      <c r="O265" s="41"/>
      <c r="P265" s="59"/>
      <c r="Q265" s="39"/>
      <c r="R265" s="40"/>
      <c r="S265" s="39">
        <f t="shared" si="6"/>
        <v>0</v>
      </c>
      <c r="T265" s="39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199</v>
      </c>
      <c r="C266" s="381" t="s">
        <v>22</v>
      </c>
      <c r="D266" s="381"/>
      <c r="E266" s="381" t="s">
        <v>131</v>
      </c>
      <c r="F266" s="46"/>
      <c r="G266" s="23" t="s">
        <v>24</v>
      </c>
      <c r="H266" s="98"/>
      <c r="I266" s="49"/>
      <c r="J266" s="49"/>
      <c r="K266" s="50"/>
      <c r="L266" s="51"/>
      <c r="M266" s="50">
        <f t="shared" si="0"/>
        <v>0</v>
      </c>
      <c r="N266" s="50"/>
      <c r="O266" s="31"/>
      <c r="P266" s="123"/>
      <c r="Q266" s="50"/>
      <c r="R266" s="51"/>
      <c r="S266" s="50">
        <f t="shared" si="6"/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126"/>
      <c r="G267" s="55" t="s">
        <v>25</v>
      </c>
      <c r="H267" s="118"/>
      <c r="I267" s="57"/>
      <c r="J267" s="57"/>
      <c r="K267" s="43"/>
      <c r="L267" s="44"/>
      <c r="M267" s="43">
        <f t="shared" si="0"/>
        <v>0</v>
      </c>
      <c r="N267" s="43"/>
      <c r="O267" s="41"/>
      <c r="P267" s="103"/>
      <c r="Q267" s="43"/>
      <c r="R267" s="44"/>
      <c r="S267" s="43">
        <f t="shared" si="6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200</v>
      </c>
      <c r="C268" s="374" t="s">
        <v>22</v>
      </c>
      <c r="D268" s="374"/>
      <c r="E268" s="374" t="s">
        <v>27</v>
      </c>
      <c r="F268" s="204" t="s">
        <v>384</v>
      </c>
      <c r="G268" s="23" t="s">
        <v>24</v>
      </c>
      <c r="H268" s="61">
        <v>1</v>
      </c>
      <c r="I268" s="25"/>
      <c r="J268" s="25"/>
      <c r="K268" s="26"/>
      <c r="L268" s="27"/>
      <c r="M268" s="26">
        <f t="shared" si="0"/>
        <v>0</v>
      </c>
      <c r="N268" s="26"/>
      <c r="O268" s="31"/>
      <c r="P268" s="29">
        <v>5</v>
      </c>
      <c r="Q268" s="30">
        <v>20287.48</v>
      </c>
      <c r="R268" s="205">
        <v>1</v>
      </c>
      <c r="S268" s="26">
        <f t="shared" si="6"/>
        <v>12991.56</v>
      </c>
      <c r="T268" s="30">
        <v>1911.09</v>
      </c>
      <c r="U268" s="225">
        <v>11080.47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33" t="s">
        <v>351</v>
      </c>
      <c r="G269" s="227" t="s">
        <v>28</v>
      </c>
      <c r="H269" s="207">
        <v>1</v>
      </c>
      <c r="I269" s="208">
        <v>1</v>
      </c>
      <c r="J269" s="208">
        <v>1</v>
      </c>
      <c r="K269" s="209">
        <v>1056.55</v>
      </c>
      <c r="L269" s="210"/>
      <c r="M269" s="211">
        <f t="shared" si="0"/>
        <v>0</v>
      </c>
      <c r="N269" s="211"/>
      <c r="O269" s="212"/>
      <c r="P269" s="284"/>
      <c r="Q269" s="211"/>
      <c r="R269" s="210"/>
      <c r="S269" s="211">
        <f t="shared" si="6"/>
        <v>1921</v>
      </c>
      <c r="T269" s="209">
        <v>1921</v>
      </c>
      <c r="U269" s="212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430</v>
      </c>
      <c r="C270" s="374" t="s">
        <v>39</v>
      </c>
      <c r="D270" s="374" t="s">
        <v>439</v>
      </c>
      <c r="E270" s="374" t="s">
        <v>27</v>
      </c>
      <c r="F270" s="204" t="s">
        <v>440</v>
      </c>
      <c r="G270" s="213" t="s">
        <v>24</v>
      </c>
      <c r="H270" s="61"/>
      <c r="I270" s="62"/>
      <c r="J270" s="62"/>
      <c r="K270" s="30"/>
      <c r="L270" s="27"/>
      <c r="M270" s="26">
        <f t="shared" si="0"/>
        <v>0</v>
      </c>
      <c r="N270" s="26"/>
      <c r="O270" s="241"/>
      <c r="P270" s="214"/>
      <c r="Q270" s="30"/>
      <c r="R270" s="205"/>
      <c r="S270" s="26">
        <f t="shared" si="6"/>
        <v>0</v>
      </c>
      <c r="T270" s="30"/>
      <c r="U270" s="28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0"/>
      <c r="G271" s="215" t="s">
        <v>28</v>
      </c>
      <c r="H271" s="117"/>
      <c r="I271" s="37"/>
      <c r="J271" s="37"/>
      <c r="K271" s="68"/>
      <c r="L271" s="40"/>
      <c r="M271" s="39">
        <f t="shared" si="0"/>
        <v>0</v>
      </c>
      <c r="N271" s="39"/>
      <c r="O271" s="234"/>
      <c r="P271" s="217"/>
      <c r="Q271" s="68"/>
      <c r="R271" s="285"/>
      <c r="S271" s="39">
        <f t="shared" si="6"/>
        <v>0</v>
      </c>
      <c r="T271" s="68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6"/>
      <c r="B272" s="377" t="s">
        <v>201</v>
      </c>
      <c r="C272" s="377" t="s">
        <v>39</v>
      </c>
      <c r="D272" s="377" t="s">
        <v>385</v>
      </c>
      <c r="E272" s="377" t="s">
        <v>386</v>
      </c>
      <c r="F272" s="232" t="s">
        <v>387</v>
      </c>
      <c r="G272" s="95" t="s">
        <v>24</v>
      </c>
      <c r="H272" s="265">
        <v>10</v>
      </c>
      <c r="I272" s="266">
        <v>7</v>
      </c>
      <c r="J272" s="266">
        <v>10</v>
      </c>
      <c r="K272" s="79">
        <v>14008.12</v>
      </c>
      <c r="L272" s="80"/>
      <c r="M272" s="81">
        <f t="shared" si="0"/>
        <v>4589.6499999999996</v>
      </c>
      <c r="N272" s="81"/>
      <c r="O272" s="313">
        <v>4589.6499999999996</v>
      </c>
      <c r="P272" s="267">
        <v>2</v>
      </c>
      <c r="Q272" s="79">
        <v>4356.83</v>
      </c>
      <c r="R272" s="268">
        <v>2</v>
      </c>
      <c r="S272" s="81">
        <f t="shared" si="6"/>
        <v>4356.83</v>
      </c>
      <c r="T272" s="79">
        <v>4356.83</v>
      </c>
      <c r="U272" s="8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105"/>
      <c r="G273" s="35" t="s">
        <v>25</v>
      </c>
      <c r="H273" s="106"/>
      <c r="I273" s="38"/>
      <c r="J273" s="38"/>
      <c r="K273" s="39"/>
      <c r="L273" s="40"/>
      <c r="M273" s="39">
        <f t="shared" si="0"/>
        <v>0</v>
      </c>
      <c r="N273" s="39"/>
      <c r="O273" s="58"/>
      <c r="P273" s="115">
        <v>2</v>
      </c>
      <c r="Q273" s="68">
        <v>4418.3</v>
      </c>
      <c r="R273" s="285">
        <v>1</v>
      </c>
      <c r="S273" s="68">
        <v>3073.6</v>
      </c>
      <c r="T273" s="68">
        <v>3073.6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202</v>
      </c>
      <c r="C274" s="381" t="s">
        <v>39</v>
      </c>
      <c r="D274" s="377" t="s">
        <v>441</v>
      </c>
      <c r="E274" s="381" t="s">
        <v>27</v>
      </c>
      <c r="F274" s="204" t="s">
        <v>442</v>
      </c>
      <c r="G274" s="47" t="s">
        <v>24</v>
      </c>
      <c r="H274" s="48">
        <v>1</v>
      </c>
      <c r="I274" s="203">
        <v>1</v>
      </c>
      <c r="J274" s="203">
        <v>1</v>
      </c>
      <c r="K274" s="65">
        <v>1690.48</v>
      </c>
      <c r="L274" s="51"/>
      <c r="M274" s="50">
        <f t="shared" si="0"/>
        <v>0</v>
      </c>
      <c r="N274" s="50"/>
      <c r="O274" s="31"/>
      <c r="P274" s="108">
        <v>2</v>
      </c>
      <c r="Q274" s="65">
        <v>4082.51</v>
      </c>
      <c r="R274" s="51"/>
      <c r="S274" s="50">
        <f t="shared" ref="S274:S279" si="7">T274+U274</f>
        <v>1124.17</v>
      </c>
      <c r="T274" s="50"/>
      <c r="U274" s="225">
        <v>1124.17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1" t="s">
        <v>262</v>
      </c>
      <c r="G275" s="55" t="s">
        <v>28</v>
      </c>
      <c r="H275" s="112">
        <v>2</v>
      </c>
      <c r="I275" s="57"/>
      <c r="J275" s="57"/>
      <c r="K275" s="43"/>
      <c r="L275" s="128"/>
      <c r="M275" s="129">
        <f t="shared" si="0"/>
        <v>0</v>
      </c>
      <c r="N275" s="43"/>
      <c r="O275" s="45"/>
      <c r="P275" s="113">
        <v>2</v>
      </c>
      <c r="Q275" s="114">
        <v>8452.4</v>
      </c>
      <c r="R275" s="128"/>
      <c r="S275" s="129">
        <f t="shared" si="7"/>
        <v>4994.6000000000004</v>
      </c>
      <c r="T275" s="114">
        <f>3649.9+1344.7</f>
        <v>4994.6000000000004</v>
      </c>
      <c r="U275" s="4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203</v>
      </c>
      <c r="C276" s="374"/>
      <c r="D276" s="374"/>
      <c r="E276" s="374" t="s">
        <v>27</v>
      </c>
      <c r="F276" s="60"/>
      <c r="G276" s="23" t="s">
        <v>24</v>
      </c>
      <c r="H276" s="104"/>
      <c r="I276" s="25"/>
      <c r="J276" s="25"/>
      <c r="K276" s="26"/>
      <c r="L276" s="27"/>
      <c r="M276" s="26">
        <f t="shared" si="0"/>
        <v>0</v>
      </c>
      <c r="N276" s="26"/>
      <c r="O276" s="28"/>
      <c r="P276" s="120"/>
      <c r="Q276" s="26"/>
      <c r="R276" s="27"/>
      <c r="S276" s="26">
        <f t="shared" si="7"/>
        <v>0</v>
      </c>
      <c r="T276" s="26"/>
      <c r="U276" s="28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28</v>
      </c>
      <c r="H277" s="117"/>
      <c r="I277" s="38"/>
      <c r="J277" s="38"/>
      <c r="K277" s="39"/>
      <c r="L277" s="40"/>
      <c r="M277" s="39">
        <f t="shared" si="0"/>
        <v>0</v>
      </c>
      <c r="N277" s="39"/>
      <c r="O277" s="41"/>
      <c r="P277" s="69"/>
      <c r="Q277" s="39"/>
      <c r="R277" s="40"/>
      <c r="S277" s="39">
        <f t="shared" si="7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204</v>
      </c>
      <c r="C278" s="381" t="s">
        <v>22</v>
      </c>
      <c r="D278" s="381"/>
      <c r="E278" s="381" t="s">
        <v>23</v>
      </c>
      <c r="F278" s="204" t="s">
        <v>431</v>
      </c>
      <c r="G278" s="47" t="s">
        <v>24</v>
      </c>
      <c r="H278" s="48">
        <v>7</v>
      </c>
      <c r="I278" s="203">
        <v>5</v>
      </c>
      <c r="J278" s="203">
        <v>6</v>
      </c>
      <c r="K278" s="65">
        <v>7650.47</v>
      </c>
      <c r="L278" s="51"/>
      <c r="M278" s="50">
        <f t="shared" si="0"/>
        <v>384.2</v>
      </c>
      <c r="N278" s="50"/>
      <c r="O278" s="225">
        <v>384.2</v>
      </c>
      <c r="P278" s="108">
        <v>4</v>
      </c>
      <c r="Q278" s="65">
        <v>3363.11</v>
      </c>
      <c r="R278" s="51"/>
      <c r="S278" s="50">
        <f t="shared" si="7"/>
        <v>3363.11</v>
      </c>
      <c r="T278" s="50"/>
      <c r="U278" s="225">
        <v>3363.11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25</v>
      </c>
      <c r="H279" s="111"/>
      <c r="I279" s="38"/>
      <c r="J279" s="38"/>
      <c r="K279" s="39"/>
      <c r="L279" s="40"/>
      <c r="M279" s="39">
        <f t="shared" si="0"/>
        <v>0</v>
      </c>
      <c r="N279" s="39"/>
      <c r="O279" s="41"/>
      <c r="P279" s="115">
        <v>1</v>
      </c>
      <c r="Q279" s="68">
        <v>2305.1999999999998</v>
      </c>
      <c r="R279" s="40"/>
      <c r="S279" s="39">
        <f t="shared" si="7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179"/>
      <c r="B280" s="180" t="s">
        <v>205</v>
      </c>
      <c r="C280" s="180"/>
      <c r="D280" s="180"/>
      <c r="E280" s="180"/>
      <c r="F280" s="180"/>
      <c r="G280" s="181"/>
      <c r="H280" s="182">
        <f t="shared" ref="H280:U280" si="8">SUM(H9:H279)</f>
        <v>819</v>
      </c>
      <c r="I280" s="183">
        <f t="shared" si="8"/>
        <v>360</v>
      </c>
      <c r="J280" s="183">
        <f t="shared" si="8"/>
        <v>417</v>
      </c>
      <c r="K280" s="184">
        <f t="shared" si="8"/>
        <v>642124.08999999973</v>
      </c>
      <c r="L280" s="185">
        <f t="shared" si="8"/>
        <v>29</v>
      </c>
      <c r="M280" s="184">
        <f t="shared" si="8"/>
        <v>161299.56999999998</v>
      </c>
      <c r="N280" s="184">
        <f t="shared" si="8"/>
        <v>42704.630000000005</v>
      </c>
      <c r="O280" s="186">
        <f t="shared" si="8"/>
        <v>118594.93999999997</v>
      </c>
      <c r="P280" s="187">
        <f t="shared" si="8"/>
        <v>1020</v>
      </c>
      <c r="Q280" s="188">
        <f t="shared" si="8"/>
        <v>3205460.1199999996</v>
      </c>
      <c r="R280" s="185">
        <f t="shared" si="8"/>
        <v>364</v>
      </c>
      <c r="S280" s="188">
        <f t="shared" si="8"/>
        <v>1895438.7899999998</v>
      </c>
      <c r="T280" s="188">
        <f t="shared" si="8"/>
        <v>1242588.3100000005</v>
      </c>
      <c r="U280" s="189">
        <f t="shared" si="8"/>
        <v>652850.48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I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 t="s">
        <v>206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27.75" customHeight="1">
      <c r="A284" s="4"/>
      <c r="B284" s="4"/>
      <c r="C284" s="4"/>
      <c r="D284" s="4"/>
      <c r="E284" s="4"/>
      <c r="F284" s="394"/>
      <c r="G284" s="395" t="s">
        <v>5</v>
      </c>
      <c r="H284" s="396"/>
      <c r="I284" s="396"/>
      <c r="J284" s="396"/>
      <c r="K284" s="396"/>
      <c r="L284" s="396"/>
      <c r="M284" s="396"/>
      <c r="N284" s="397"/>
      <c r="O284" s="395" t="s">
        <v>6</v>
      </c>
      <c r="P284" s="396"/>
      <c r="Q284" s="396"/>
      <c r="R284" s="396"/>
      <c r="S284" s="396"/>
      <c r="T284" s="397"/>
      <c r="U284" s="393" t="s">
        <v>207</v>
      </c>
      <c r="V284" s="393" t="s">
        <v>208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386"/>
      <c r="G285" s="190" t="s">
        <v>13</v>
      </c>
      <c r="H285" s="190" t="s">
        <v>14</v>
      </c>
      <c r="I285" s="190" t="s">
        <v>15</v>
      </c>
      <c r="J285" s="190" t="s">
        <v>16</v>
      </c>
      <c r="K285" s="191" t="s">
        <v>17</v>
      </c>
      <c r="L285" s="190" t="s">
        <v>18</v>
      </c>
      <c r="M285" s="190" t="s">
        <v>19</v>
      </c>
      <c r="N285" s="190" t="s">
        <v>20</v>
      </c>
      <c r="O285" s="190" t="s">
        <v>15</v>
      </c>
      <c r="P285" s="190" t="s">
        <v>16</v>
      </c>
      <c r="Q285" s="191" t="s">
        <v>17</v>
      </c>
      <c r="R285" s="190" t="s">
        <v>18</v>
      </c>
      <c r="S285" s="190" t="s">
        <v>19</v>
      </c>
      <c r="T285" s="190" t="s">
        <v>20</v>
      </c>
      <c r="U285" s="392"/>
      <c r="V285" s="392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24</v>
      </c>
      <c r="G286" s="193">
        <f t="shared" ref="G286:I286" si="9">SUMIF($G$9:$G$279,$F$286,H9:H279)</f>
        <v>561</v>
      </c>
      <c r="H286" s="193">
        <f t="shared" si="9"/>
        <v>297</v>
      </c>
      <c r="I286" s="193">
        <f t="shared" si="9"/>
        <v>354</v>
      </c>
      <c r="J286" s="194">
        <f t="shared" ref="J286:J288" si="10">SUMIF($G$9:$G$279,F286,$K$9:$K$279)</f>
        <v>549992.54999999981</v>
      </c>
      <c r="K286" s="195">
        <f t="shared" ref="K286:K288" si="11">SUMIF($G$9:$G$279,F286,$L$9:$L$279)</f>
        <v>18</v>
      </c>
      <c r="L286" s="194">
        <f t="shared" ref="L286:L288" si="12">SUMIF($G$9:$G$279,F286,$M$9:$M$279)</f>
        <v>138397.66999999998</v>
      </c>
      <c r="M286" s="194">
        <f t="shared" ref="M286:O286" si="13">SUMIF($G$9:$G$279,$F$286,N9:N279)</f>
        <v>19802.73</v>
      </c>
      <c r="N286" s="194">
        <f t="shared" si="13"/>
        <v>118594.93999999997</v>
      </c>
      <c r="O286" s="193">
        <f t="shared" si="13"/>
        <v>856</v>
      </c>
      <c r="P286" s="194">
        <f t="shared" ref="P286:P288" si="14">SUMIF($G$9:$G$279,F286,$Q$9:$Q$279)</f>
        <v>2724826.02</v>
      </c>
      <c r="Q286" s="195">
        <f t="shared" ref="Q286:Q288" si="15">SUMIF($G$9:$G$279,F286,$R$9:$R$279)</f>
        <v>339</v>
      </c>
      <c r="R286" s="194">
        <f t="shared" ref="R286:R288" si="16">SUMIF($G$9:$G$279,F286,$S$9:$S$279)</f>
        <v>1622058.5499999998</v>
      </c>
      <c r="S286" s="194">
        <f t="shared" ref="S286:T286" si="17">SUMIF($G$9:$G$279,$F$286,T9:T279)</f>
        <v>969208.07</v>
      </c>
      <c r="T286" s="194">
        <f t="shared" si="17"/>
        <v>652850.48</v>
      </c>
      <c r="U286" s="194">
        <f t="shared" ref="U286:U288" si="18">S286+M286</f>
        <v>989010.79999999993</v>
      </c>
      <c r="V286" s="196">
        <f t="shared" ref="V286:V288" si="19">J286-M286+P286-S286</f>
        <v>2285807.77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192" t="s">
        <v>28</v>
      </c>
      <c r="G287" s="236">
        <f t="shared" ref="G287:I287" si="20">SUMIF($G$9:$G$279,$F$287,H9:H279)</f>
        <v>215</v>
      </c>
      <c r="H287" s="193">
        <f t="shared" si="20"/>
        <v>48</v>
      </c>
      <c r="I287" s="193">
        <f t="shared" si="20"/>
        <v>48</v>
      </c>
      <c r="J287" s="194">
        <f t="shared" si="10"/>
        <v>72364.450000000012</v>
      </c>
      <c r="K287" s="195">
        <f t="shared" si="11"/>
        <v>0</v>
      </c>
      <c r="L287" s="194">
        <f t="shared" si="12"/>
        <v>9262.8000000000011</v>
      </c>
      <c r="M287" s="194">
        <f t="shared" ref="M287:O287" si="21">SUMIF($G$9:$G$279,$F$287,N9:N279)</f>
        <v>9262.8000000000011</v>
      </c>
      <c r="N287" s="194">
        <f t="shared" si="21"/>
        <v>0</v>
      </c>
      <c r="O287" s="193">
        <f t="shared" si="21"/>
        <v>126</v>
      </c>
      <c r="P287" s="194">
        <f t="shared" si="14"/>
        <v>357316.05</v>
      </c>
      <c r="Q287" s="195">
        <f t="shared" si="15"/>
        <v>0</v>
      </c>
      <c r="R287" s="194">
        <f t="shared" si="16"/>
        <v>197062.25000000006</v>
      </c>
      <c r="S287" s="194">
        <f t="shared" ref="S287:T287" si="22">SUMIF($G$9:$G$279,$F$287,T9:T279)</f>
        <v>197062.25000000006</v>
      </c>
      <c r="T287" s="194">
        <f t="shared" si="22"/>
        <v>0</v>
      </c>
      <c r="U287" s="194">
        <f t="shared" si="18"/>
        <v>206325.05000000005</v>
      </c>
      <c r="V287" s="196">
        <f t="shared" si="19"/>
        <v>223355.44999999995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25</v>
      </c>
      <c r="G288" s="193">
        <f t="shared" ref="G288:I288" si="23">SUMIF($G$9:$G$279,$F$288,H9:H279)</f>
        <v>43</v>
      </c>
      <c r="H288" s="193">
        <f t="shared" si="23"/>
        <v>15</v>
      </c>
      <c r="I288" s="193">
        <f t="shared" si="23"/>
        <v>15</v>
      </c>
      <c r="J288" s="194">
        <f t="shared" si="10"/>
        <v>19767.09</v>
      </c>
      <c r="K288" s="195">
        <f t="shared" si="11"/>
        <v>11</v>
      </c>
      <c r="L288" s="194">
        <f t="shared" si="12"/>
        <v>13639.1</v>
      </c>
      <c r="M288" s="194">
        <f t="shared" ref="M288:O288" si="24">SUMIF($G$9:$G$279,$F$288,N9:N279)</f>
        <v>13639.1</v>
      </c>
      <c r="N288" s="194">
        <f t="shared" si="24"/>
        <v>0</v>
      </c>
      <c r="O288" s="193">
        <f t="shared" si="24"/>
        <v>38</v>
      </c>
      <c r="P288" s="194">
        <f t="shared" si="14"/>
        <v>123318.05</v>
      </c>
      <c r="Q288" s="195">
        <f t="shared" si="15"/>
        <v>25</v>
      </c>
      <c r="R288" s="194">
        <f t="shared" si="16"/>
        <v>76317.990000000005</v>
      </c>
      <c r="S288" s="194">
        <f t="shared" ref="S288:T288" si="25">SUMIF($G$9:$G$279,$F$288,T9:T279)</f>
        <v>76317.990000000005</v>
      </c>
      <c r="T288" s="194">
        <f t="shared" si="25"/>
        <v>0</v>
      </c>
      <c r="U288" s="194">
        <f t="shared" si="18"/>
        <v>89957.090000000011</v>
      </c>
      <c r="V288" s="196">
        <f t="shared" si="19"/>
        <v>53128.05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197">
        <f t="shared" ref="G289:V289" si="26">G288+G287+G286</f>
        <v>819</v>
      </c>
      <c r="H289" s="197">
        <f t="shared" si="26"/>
        <v>360</v>
      </c>
      <c r="I289" s="197">
        <f t="shared" si="26"/>
        <v>417</v>
      </c>
      <c r="J289" s="198">
        <f t="shared" si="26"/>
        <v>642124.08999999985</v>
      </c>
      <c r="K289" s="199">
        <f t="shared" si="26"/>
        <v>29</v>
      </c>
      <c r="L289" s="198">
        <f t="shared" si="26"/>
        <v>161299.56999999998</v>
      </c>
      <c r="M289" s="198">
        <f t="shared" si="26"/>
        <v>42704.630000000005</v>
      </c>
      <c r="N289" s="198">
        <f t="shared" si="26"/>
        <v>118594.93999999997</v>
      </c>
      <c r="O289" s="197">
        <f t="shared" si="26"/>
        <v>1020</v>
      </c>
      <c r="P289" s="198">
        <f t="shared" si="26"/>
        <v>3205460.12</v>
      </c>
      <c r="Q289" s="200">
        <f t="shared" si="26"/>
        <v>364</v>
      </c>
      <c r="R289" s="198">
        <f t="shared" si="26"/>
        <v>1895438.7899999998</v>
      </c>
      <c r="S289" s="198">
        <f t="shared" si="26"/>
        <v>1242588.31</v>
      </c>
      <c r="T289" s="198">
        <f t="shared" si="26"/>
        <v>652850.48</v>
      </c>
      <c r="U289" s="198">
        <f t="shared" si="26"/>
        <v>1285292.94</v>
      </c>
      <c r="V289" s="198">
        <f t="shared" si="26"/>
        <v>2562291.27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K290" s="201"/>
      <c r="L290" s="201"/>
      <c r="R290" s="2"/>
    </row>
    <row r="291" spans="1:32" ht="15.75" customHeight="1">
      <c r="K291" s="201"/>
      <c r="L291" s="201"/>
      <c r="R291" s="2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</sheetData>
  <mergeCells count="67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C165:C166"/>
    <mergeCell ref="A167:A168"/>
    <mergeCell ref="B167:B168"/>
    <mergeCell ref="C167:C168"/>
    <mergeCell ref="B169:B170"/>
    <mergeCell ref="C169:C170"/>
    <mergeCell ref="A169:A170"/>
    <mergeCell ref="A171:A172"/>
    <mergeCell ref="B171:B172"/>
    <mergeCell ref="C171:C172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D274:D275"/>
    <mergeCell ref="E274:E275"/>
    <mergeCell ref="A276:A277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B276:B277"/>
    <mergeCell ref="C276:C277"/>
    <mergeCell ref="A278:A279"/>
    <mergeCell ref="B278:B279"/>
    <mergeCell ref="C278:C279"/>
    <mergeCell ref="A272:A273"/>
    <mergeCell ref="A274:A275"/>
    <mergeCell ref="B274:B275"/>
    <mergeCell ref="C274:C275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4:U285"/>
    <mergeCell ref="V284:V285"/>
    <mergeCell ref="D276:D277"/>
    <mergeCell ref="E276:E277"/>
    <mergeCell ref="D278:D279"/>
    <mergeCell ref="E278:E279"/>
    <mergeCell ref="F284:F285"/>
    <mergeCell ref="G284:N284"/>
    <mergeCell ref="O284:T284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8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7</v>
      </c>
      <c r="I9" s="62">
        <v>2</v>
      </c>
      <c r="J9" s="62">
        <v>2</v>
      </c>
      <c r="K9" s="62">
        <v>4367.01</v>
      </c>
      <c r="L9" s="27"/>
      <c r="M9" s="26">
        <f t="shared" ref="M9:M31" si="0">N9+O9</f>
        <v>0</v>
      </c>
      <c r="N9" s="26"/>
      <c r="O9" s="28"/>
      <c r="P9" s="29">
        <v>14</v>
      </c>
      <c r="Q9" s="30">
        <v>38771.85</v>
      </c>
      <c r="R9" s="205">
        <v>4</v>
      </c>
      <c r="S9" s="26">
        <f t="shared" ref="S9:S31" si="1">T9+U9</f>
        <v>11294.810000000001</v>
      </c>
      <c r="T9" s="30">
        <v>7969.55</v>
      </c>
      <c r="U9" s="225">
        <v>3325.26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7</v>
      </c>
      <c r="I11" s="203">
        <v>7</v>
      </c>
      <c r="J11" s="203">
        <v>7</v>
      </c>
      <c r="K11" s="65">
        <v>13908.85</v>
      </c>
      <c r="L11" s="51"/>
      <c r="M11" s="50">
        <f t="shared" si="0"/>
        <v>0</v>
      </c>
      <c r="N11" s="50"/>
      <c r="O11" s="52"/>
      <c r="P11" s="53">
        <v>9</v>
      </c>
      <c r="Q11" s="30">
        <v>67281.350000000006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7</v>
      </c>
      <c r="I13" s="62">
        <v>6</v>
      </c>
      <c r="J13" s="62">
        <v>10</v>
      </c>
      <c r="K13" s="30">
        <v>24877.53</v>
      </c>
      <c r="L13" s="27"/>
      <c r="M13" s="26">
        <f t="shared" si="0"/>
        <v>8982.8700000000008</v>
      </c>
      <c r="N13" s="26"/>
      <c r="O13" s="299">
        <v>8982.8700000000008</v>
      </c>
      <c r="P13" s="64">
        <v>14</v>
      </c>
      <c r="Q13" s="65" t="s">
        <v>438</v>
      </c>
      <c r="R13" s="224">
        <v>8</v>
      </c>
      <c r="S13" s="50">
        <f t="shared" si="1"/>
        <v>32231.019999999997</v>
      </c>
      <c r="T13" s="65">
        <v>24138.01</v>
      </c>
      <c r="U13" s="225">
        <v>8093.01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4</v>
      </c>
      <c r="I19" s="266">
        <v>2</v>
      </c>
      <c r="J19" s="266">
        <v>3</v>
      </c>
      <c r="K19" s="79">
        <v>3431.39</v>
      </c>
      <c r="L19" s="80"/>
      <c r="M19" s="81">
        <f t="shared" si="0"/>
        <v>633.92999999999995</v>
      </c>
      <c r="N19" s="81"/>
      <c r="O19" s="269">
        <v>633.92999999999995</v>
      </c>
      <c r="P19" s="267">
        <v>10</v>
      </c>
      <c r="Q19" s="79">
        <v>21035.62</v>
      </c>
      <c r="R19" s="268">
        <v>1</v>
      </c>
      <c r="S19" s="81">
        <f t="shared" si="1"/>
        <v>7296.52</v>
      </c>
      <c r="T19" s="79">
        <v>1045.98</v>
      </c>
      <c r="U19" s="269">
        <v>6250.54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5</v>
      </c>
      <c r="I21" s="203">
        <v>5</v>
      </c>
      <c r="J21" s="203">
        <v>6</v>
      </c>
      <c r="K21" s="65">
        <v>7839.62</v>
      </c>
      <c r="L21" s="51"/>
      <c r="M21" s="50">
        <f t="shared" si="0"/>
        <v>4057.17</v>
      </c>
      <c r="N21" s="50"/>
      <c r="O21" s="225">
        <v>4057.17</v>
      </c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8</v>
      </c>
      <c r="I23" s="62">
        <v>4</v>
      </c>
      <c r="J23" s="62">
        <v>4</v>
      </c>
      <c r="K23" s="62">
        <v>3686.21</v>
      </c>
      <c r="L23" s="27"/>
      <c r="M23" s="26">
        <f t="shared" si="0"/>
        <v>2554.9299999999998</v>
      </c>
      <c r="N23" s="26"/>
      <c r="O23" s="225">
        <v>2554.9299999999998</v>
      </c>
      <c r="P23" s="53">
        <v>3</v>
      </c>
      <c r="Q23" s="30">
        <v>4222.78</v>
      </c>
      <c r="R23" s="205">
        <v>1</v>
      </c>
      <c r="S23" s="26">
        <f t="shared" si="1"/>
        <v>4222.78</v>
      </c>
      <c r="T23" s="30">
        <v>1979.72</v>
      </c>
      <c r="U23" s="225">
        <v>2243.06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40"/>
      <c r="S24" s="39">
        <f t="shared" si="1"/>
        <v>1921</v>
      </c>
      <c r="T24" s="39">
        <f>1921</f>
        <v>1921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9</v>
      </c>
      <c r="J25" s="203">
        <v>14</v>
      </c>
      <c r="K25" s="65">
        <v>24819.63</v>
      </c>
      <c r="L25" s="224">
        <v>5</v>
      </c>
      <c r="M25" s="50">
        <f t="shared" si="0"/>
        <v>14144.25</v>
      </c>
      <c r="N25" s="65">
        <v>6428.44</v>
      </c>
      <c r="O25" s="225">
        <v>7715.81</v>
      </c>
      <c r="P25" s="53">
        <v>13</v>
      </c>
      <c r="Q25" s="30">
        <v>20738.62</v>
      </c>
      <c r="R25" s="205">
        <v>8</v>
      </c>
      <c r="S25" s="26">
        <f t="shared" si="1"/>
        <v>16636.439999999999</v>
      </c>
      <c r="T25" s="30">
        <v>12316.99</v>
      </c>
      <c r="U25" s="243">
        <v>4319.45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40"/>
      <c r="S26" s="39">
        <f t="shared" si="1"/>
        <v>16672.2</v>
      </c>
      <c r="T26" s="68">
        <f>4302+3533.6</f>
        <v>7835.6</v>
      </c>
      <c r="U26" s="41">
        <f>8836.6</f>
        <v>8836.6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14124.82</v>
      </c>
      <c r="R27" s="205">
        <v>1</v>
      </c>
      <c r="S27" s="26">
        <f t="shared" si="1"/>
        <v>13138.099999999999</v>
      </c>
      <c r="T27" s="30">
        <v>2497.3000000000002</v>
      </c>
      <c r="U27" s="243">
        <v>10640.8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1</v>
      </c>
      <c r="M28" s="43">
        <f t="shared" si="0"/>
        <v>3649.9</v>
      </c>
      <c r="N28" s="114"/>
      <c r="O28" s="45">
        <f>3649.9</f>
        <v>3649.9</v>
      </c>
      <c r="P28" s="113">
        <v>3</v>
      </c>
      <c r="Q28" s="114">
        <v>8452.4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7"/>
      <c r="S29" s="26">
        <f t="shared" si="1"/>
        <v>5744.16</v>
      </c>
      <c r="T29" s="26"/>
      <c r="U29" s="241">
        <v>5744.16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5</v>
      </c>
      <c r="I31" s="203">
        <v>2</v>
      </c>
      <c r="J31" s="203">
        <v>2</v>
      </c>
      <c r="K31" s="65">
        <v>2091.96</v>
      </c>
      <c r="L31" s="51"/>
      <c r="M31" s="50">
        <f t="shared" si="0"/>
        <v>2091.96</v>
      </c>
      <c r="N31" s="50"/>
      <c r="O31" s="225">
        <v>2091.96</v>
      </c>
      <c r="P31" s="108">
        <v>9</v>
      </c>
      <c r="Q31" s="65">
        <v>26163.18</v>
      </c>
      <c r="R31" s="224">
        <v>7</v>
      </c>
      <c r="S31" s="50">
        <f t="shared" si="1"/>
        <v>26163.18</v>
      </c>
      <c r="T31" s="65">
        <v>19258.7</v>
      </c>
      <c r="U31" s="225">
        <v>6904.48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270">
        <v>3</v>
      </c>
      <c r="M32" s="114">
        <v>6147.2</v>
      </c>
      <c r="N32" s="114">
        <v>6147.2</v>
      </c>
      <c r="O32" s="222"/>
      <c r="P32" s="113">
        <v>4</v>
      </c>
      <c r="Q32" s="114">
        <v>8548.4500000000007</v>
      </c>
      <c r="R32" s="270">
        <v>4</v>
      </c>
      <c r="S32" s="114">
        <v>8548.4500000000007</v>
      </c>
      <c r="T32" s="114">
        <v>8548.4500000000007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3</v>
      </c>
      <c r="I35" s="203">
        <v>2</v>
      </c>
      <c r="J35" s="203">
        <v>2</v>
      </c>
      <c r="K35" s="65">
        <v>1191.02</v>
      </c>
      <c r="L35" s="51"/>
      <c r="M35" s="50">
        <f t="shared" si="2"/>
        <v>0</v>
      </c>
      <c r="N35" s="50"/>
      <c r="O35" s="31"/>
      <c r="P35" s="64">
        <v>4</v>
      </c>
      <c r="Q35" s="65">
        <v>15058.68</v>
      </c>
      <c r="R35" s="224">
        <v>2</v>
      </c>
      <c r="S35" s="50">
        <f t="shared" si="3"/>
        <v>8719.3799999999992</v>
      </c>
      <c r="T35" s="65">
        <v>3647.94</v>
      </c>
      <c r="U35" s="225">
        <v>5071.4399999999996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2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R36" s="210"/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8</v>
      </c>
      <c r="I43" s="266">
        <v>7</v>
      </c>
      <c r="J43" s="266">
        <v>7</v>
      </c>
      <c r="K43" s="79">
        <v>8433.7800000000007</v>
      </c>
      <c r="L43" s="80"/>
      <c r="M43" s="81">
        <f t="shared" si="2"/>
        <v>1537</v>
      </c>
      <c r="N43" s="81"/>
      <c r="O43" s="314">
        <v>1537</v>
      </c>
      <c r="P43" s="53">
        <v>20</v>
      </c>
      <c r="Q43" s="30">
        <v>79577.89</v>
      </c>
      <c r="R43" s="205">
        <v>8</v>
      </c>
      <c r="S43" s="26">
        <f t="shared" si="3"/>
        <v>79577.89</v>
      </c>
      <c r="T43" s="30">
        <v>44991.43</v>
      </c>
      <c r="U43" s="241">
        <v>34586.46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3</v>
      </c>
      <c r="I45" s="62">
        <v>1</v>
      </c>
      <c r="J45" s="62">
        <v>1</v>
      </c>
      <c r="K45" s="30">
        <v>631.82000000000005</v>
      </c>
      <c r="L45" s="27"/>
      <c r="M45" s="26">
        <f t="shared" si="2"/>
        <v>0</v>
      </c>
      <c r="N45" s="26"/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3</v>
      </c>
      <c r="I46" s="261"/>
      <c r="J46" s="261"/>
      <c r="K46" s="211"/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1889.58</v>
      </c>
      <c r="L53" s="27"/>
      <c r="M53" s="26">
        <f t="shared" si="2"/>
        <v>0</v>
      </c>
      <c r="N53" s="26"/>
      <c r="O53" s="31"/>
      <c r="P53" s="108">
        <v>3</v>
      </c>
      <c r="Q53" s="65">
        <v>9057.6299999999992</v>
      </c>
      <c r="R53" s="224">
        <v>2</v>
      </c>
      <c r="S53" s="50">
        <f t="shared" si="3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40"/>
      <c r="S54" s="39">
        <f t="shared" si="3"/>
        <v>16424.599999999999</v>
      </c>
      <c r="T54" s="68">
        <f>2209.2+576.3</f>
        <v>2785.5</v>
      </c>
      <c r="U54" s="41">
        <f>1344.7+12294.4</f>
        <v>13639.1</v>
      </c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3</v>
      </c>
      <c r="J55" s="203">
        <v>3</v>
      </c>
      <c r="K55" s="65">
        <v>3998.34</v>
      </c>
      <c r="L55" s="51"/>
      <c r="M55" s="50">
        <f t="shared" si="2"/>
        <v>0</v>
      </c>
      <c r="N55" s="50"/>
      <c r="O55" s="31"/>
      <c r="P55" s="53">
        <v>2</v>
      </c>
      <c r="Q55" s="30">
        <v>5899.35</v>
      </c>
      <c r="R55" s="205">
        <v>1</v>
      </c>
      <c r="S55" s="26">
        <f t="shared" si="3"/>
        <v>5899.35</v>
      </c>
      <c r="T55" s="30">
        <v>1854.88</v>
      </c>
      <c r="U55" s="243">
        <v>4044.47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13641.6</v>
      </c>
      <c r="L57" s="27"/>
      <c r="M57" s="26">
        <f t="shared" si="2"/>
        <v>10625.63</v>
      </c>
      <c r="N57" s="26"/>
      <c r="O57" s="225">
        <v>10625.63</v>
      </c>
      <c r="P57" s="53">
        <v>6</v>
      </c>
      <c r="Q57" s="30">
        <v>45189.01</v>
      </c>
      <c r="R57" s="205">
        <v>1</v>
      </c>
      <c r="S57" s="26">
        <f t="shared" si="3"/>
        <v>45189.009999999995</v>
      </c>
      <c r="T57" s="30">
        <v>1997.49</v>
      </c>
      <c r="U57" s="225">
        <v>43191.519999999997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3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12</v>
      </c>
      <c r="I59" s="203">
        <v>10</v>
      </c>
      <c r="J59" s="203">
        <v>11</v>
      </c>
      <c r="K59" s="65">
        <v>13748.69</v>
      </c>
      <c r="L59" s="51"/>
      <c r="M59" s="50">
        <f t="shared" si="2"/>
        <v>3534.63</v>
      </c>
      <c r="N59" s="50"/>
      <c r="O59" s="225">
        <v>3534.63</v>
      </c>
      <c r="P59" s="53">
        <v>34</v>
      </c>
      <c r="Q59" s="30">
        <v>80148.39</v>
      </c>
      <c r="R59" s="205">
        <v>12</v>
      </c>
      <c r="S59" s="26">
        <f t="shared" si="3"/>
        <v>69874.790000000008</v>
      </c>
      <c r="T59" s="30">
        <v>26448.86</v>
      </c>
      <c r="U59" s="243">
        <v>43425.93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4</v>
      </c>
      <c r="I61" s="62"/>
      <c r="J61" s="62"/>
      <c r="K61" s="30"/>
      <c r="L61" s="27"/>
      <c r="M61" s="26">
        <f t="shared" si="2"/>
        <v>0</v>
      </c>
      <c r="N61" s="26"/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3</v>
      </c>
      <c r="I63" s="62">
        <v>1</v>
      </c>
      <c r="J63" s="62">
        <v>1</v>
      </c>
      <c r="K63" s="30">
        <v>2531.11</v>
      </c>
      <c r="L63" s="27"/>
      <c r="M63" s="26">
        <f t="shared" si="2"/>
        <v>0</v>
      </c>
      <c r="N63" s="26"/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576.29999999999995</v>
      </c>
      <c r="L65" s="80"/>
      <c r="M65" s="81">
        <f t="shared" si="2"/>
        <v>0</v>
      </c>
      <c r="N65" s="81"/>
      <c r="O65" s="219"/>
      <c r="P65" s="267">
        <v>4</v>
      </c>
      <c r="Q65" s="79">
        <v>5093.67</v>
      </c>
      <c r="R65" s="268">
        <v>2</v>
      </c>
      <c r="S65" s="81">
        <f t="shared" si="3"/>
        <v>3104.71</v>
      </c>
      <c r="T65" s="79">
        <v>3104.71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2"/>
        <v>0</v>
      </c>
      <c r="N66" s="43"/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4</v>
      </c>
      <c r="I67" s="62">
        <v>2</v>
      </c>
      <c r="J67" s="62">
        <v>2</v>
      </c>
      <c r="K67" s="30">
        <v>4562.99</v>
      </c>
      <c r="L67" s="27"/>
      <c r="M67" s="26">
        <f t="shared" si="2"/>
        <v>0</v>
      </c>
      <c r="N67" s="26"/>
      <c r="O67" s="28"/>
      <c r="P67" s="29">
        <v>8</v>
      </c>
      <c r="Q67" s="30">
        <v>15651.3</v>
      </c>
      <c r="R67" s="205">
        <v>7</v>
      </c>
      <c r="S67" s="26">
        <f t="shared" si="3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16</v>
      </c>
      <c r="Q69" s="65">
        <v>50568.25</v>
      </c>
      <c r="R69" s="224">
        <v>5</v>
      </c>
      <c r="S69" s="50">
        <f t="shared" si="3"/>
        <v>44267.369999999995</v>
      </c>
      <c r="T69" s="65">
        <v>19918.689999999999</v>
      </c>
      <c r="U69" s="225">
        <v>24348.68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1</v>
      </c>
      <c r="I70" s="130"/>
      <c r="J70" s="130"/>
      <c r="K70" s="43"/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44"/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7</v>
      </c>
      <c r="I71" s="62">
        <v>2</v>
      </c>
      <c r="J71" s="62">
        <v>3</v>
      </c>
      <c r="K71" s="30">
        <v>6129.52</v>
      </c>
      <c r="L71" s="27"/>
      <c r="M71" s="26">
        <f t="shared" si="2"/>
        <v>6129.52</v>
      </c>
      <c r="N71" s="26"/>
      <c r="O71" s="225">
        <v>6129.52</v>
      </c>
      <c r="P71" s="29">
        <v>4</v>
      </c>
      <c r="Q71" s="30">
        <v>2984.28</v>
      </c>
      <c r="R71" s="27"/>
      <c r="S71" s="26">
        <f t="shared" si="3"/>
        <v>2984.28</v>
      </c>
      <c r="T71" s="26"/>
      <c r="U71" s="225">
        <v>2984.28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25"/>
      <c r="J75" s="25"/>
      <c r="K75" s="26"/>
      <c r="L75" s="27"/>
      <c r="M75" s="26">
        <f t="shared" si="2"/>
        <v>0</v>
      </c>
      <c r="N75" s="26"/>
      <c r="O75" s="31"/>
      <c r="P75" s="53">
        <v>1</v>
      </c>
      <c r="Q75" s="30">
        <v>1505.87</v>
      </c>
      <c r="R75" s="27"/>
      <c r="S75" s="26">
        <f t="shared" si="3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2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8</v>
      </c>
      <c r="I77" s="203">
        <v>4</v>
      </c>
      <c r="J77" s="203">
        <v>4</v>
      </c>
      <c r="K77" s="65">
        <v>3878.5</v>
      </c>
      <c r="L77" s="51"/>
      <c r="M77" s="50">
        <f t="shared" ref="M77:M93" si="4">N77+O77</f>
        <v>3878.5</v>
      </c>
      <c r="N77" s="50"/>
      <c r="O77" s="225">
        <v>3878.5</v>
      </c>
      <c r="P77" s="108">
        <v>6</v>
      </c>
      <c r="Q77" s="65">
        <v>19829.79</v>
      </c>
      <c r="R77" s="224">
        <v>4</v>
      </c>
      <c r="S77" s="50">
        <f t="shared" si="3"/>
        <v>19829.79</v>
      </c>
      <c r="T77" s="65">
        <v>16789.810000000001</v>
      </c>
      <c r="U77" s="225">
        <v>3039.98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K78" s="43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23</v>
      </c>
      <c r="I79" s="62">
        <v>14</v>
      </c>
      <c r="J79" s="62">
        <v>21</v>
      </c>
      <c r="K79" s="30">
        <v>47136.57</v>
      </c>
      <c r="L79" s="27"/>
      <c r="M79" s="26">
        <f t="shared" si="4"/>
        <v>28236.43</v>
      </c>
      <c r="N79" s="26"/>
      <c r="O79" s="225">
        <v>28236.43</v>
      </c>
      <c r="P79" s="29">
        <v>22</v>
      </c>
      <c r="Q79" s="30">
        <v>65219.18</v>
      </c>
      <c r="R79" s="205">
        <v>10</v>
      </c>
      <c r="S79" s="26">
        <f t="shared" si="3"/>
        <v>62883.15</v>
      </c>
      <c r="T79" s="30">
        <v>23648.47</v>
      </c>
      <c r="U79" s="225">
        <v>39234.68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3</v>
      </c>
      <c r="I81" s="62">
        <v>2</v>
      </c>
      <c r="J81" s="62">
        <v>2</v>
      </c>
      <c r="K81" s="30">
        <v>768.4</v>
      </c>
      <c r="L81" s="27"/>
      <c r="M81" s="26">
        <f t="shared" si="4"/>
        <v>0</v>
      </c>
      <c r="N81" s="26"/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7</v>
      </c>
      <c r="I85" s="266">
        <v>3</v>
      </c>
      <c r="J85" s="266">
        <v>4</v>
      </c>
      <c r="K85" s="79">
        <v>5917.36</v>
      </c>
      <c r="L85" s="268">
        <v>4</v>
      </c>
      <c r="M85" s="81">
        <f t="shared" si="4"/>
        <v>5917.36</v>
      </c>
      <c r="N85" s="79">
        <v>5917.36</v>
      </c>
      <c r="O85" s="269"/>
      <c r="P85" s="267">
        <v>9</v>
      </c>
      <c r="Q85" s="79">
        <v>14307.26</v>
      </c>
      <c r="R85" s="268">
        <v>7</v>
      </c>
      <c r="S85" s="81">
        <f t="shared" si="3"/>
        <v>10924.74</v>
      </c>
      <c r="T85" s="79">
        <v>10924.74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12652.33</v>
      </c>
      <c r="R91" s="205">
        <v>2</v>
      </c>
      <c r="S91" s="26">
        <f t="shared" si="3"/>
        <v>7652.33</v>
      </c>
      <c r="T91" s="30">
        <v>5673.46</v>
      </c>
      <c r="U91" s="225">
        <v>1978.87</v>
      </c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12</v>
      </c>
      <c r="I93" s="62">
        <v>7</v>
      </c>
      <c r="J93" s="62">
        <v>7</v>
      </c>
      <c r="K93" s="30">
        <v>12418.66</v>
      </c>
      <c r="L93" s="27"/>
      <c r="M93" s="26">
        <f t="shared" si="4"/>
        <v>0</v>
      </c>
      <c r="N93" s="26"/>
      <c r="O93" s="31"/>
      <c r="P93" s="53">
        <v>8</v>
      </c>
      <c r="Q93" s="30">
        <v>28585.27</v>
      </c>
      <c r="R93" s="205">
        <v>2</v>
      </c>
      <c r="S93" s="26">
        <f t="shared" si="3"/>
        <v>14914.91</v>
      </c>
      <c r="T93" s="30">
        <v>5094.8</v>
      </c>
      <c r="U93" s="225">
        <v>9820.11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2</v>
      </c>
      <c r="J94" s="37">
        <v>2</v>
      </c>
      <c r="K94" s="68">
        <v>2958.34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2</v>
      </c>
      <c r="J95" s="203">
        <v>2</v>
      </c>
      <c r="K95" s="65">
        <v>2731.66</v>
      </c>
      <c r="L95" s="51"/>
      <c r="M95" s="50">
        <f t="shared" ref="M95:M279" si="5">N95+O95</f>
        <v>0</v>
      </c>
      <c r="N95" s="50"/>
      <c r="O95" s="31"/>
      <c r="P95" s="108">
        <v>7</v>
      </c>
      <c r="Q95" s="65">
        <v>55584.74</v>
      </c>
      <c r="R95" s="224">
        <v>1</v>
      </c>
      <c r="S95" s="50">
        <f t="shared" ref="S95:S101" si="6">T95+U95</f>
        <v>32117.38</v>
      </c>
      <c r="T95" s="65">
        <v>4050.2</v>
      </c>
      <c r="U95" s="225">
        <v>28067.18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1</v>
      </c>
      <c r="J97" s="62">
        <v>1</v>
      </c>
      <c r="K97" s="30">
        <v>4374.12</v>
      </c>
      <c r="L97" s="27"/>
      <c r="M97" s="26">
        <f t="shared" si="5"/>
        <v>0</v>
      </c>
      <c r="N97" s="26"/>
      <c r="O97" s="31"/>
      <c r="P97" s="53">
        <v>7</v>
      </c>
      <c r="Q97" s="30">
        <v>37669.07</v>
      </c>
      <c r="R97" s="205">
        <v>2</v>
      </c>
      <c r="S97" s="26">
        <f t="shared" si="6"/>
        <v>23473.01</v>
      </c>
      <c r="T97" s="30">
        <v>3751.96</v>
      </c>
      <c r="U97" s="225">
        <v>19721.05</v>
      </c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1</v>
      </c>
      <c r="J99" s="62">
        <v>2</v>
      </c>
      <c r="K99" s="30">
        <v>4354.43</v>
      </c>
      <c r="L99" s="27"/>
      <c r="M99" s="26">
        <f t="shared" si="5"/>
        <v>4354.43</v>
      </c>
      <c r="N99" s="26"/>
      <c r="O99" s="225">
        <v>4354.43</v>
      </c>
      <c r="P99" s="53">
        <v>3</v>
      </c>
      <c r="Q99" s="30">
        <v>15479.57</v>
      </c>
      <c r="R99" s="27"/>
      <c r="S99" s="26">
        <f t="shared" si="6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3</v>
      </c>
      <c r="J101" s="62">
        <v>3</v>
      </c>
      <c r="K101" s="30">
        <v>9652.17</v>
      </c>
      <c r="L101" s="27"/>
      <c r="M101" s="26">
        <f t="shared" si="5"/>
        <v>0</v>
      </c>
      <c r="N101" s="26"/>
      <c r="O101" s="31"/>
      <c r="P101" s="53">
        <v>20</v>
      </c>
      <c r="Q101" s="30">
        <v>47266.68</v>
      </c>
      <c r="R101" s="205">
        <v>4</v>
      </c>
      <c r="S101" s="26">
        <f t="shared" si="6"/>
        <v>34494.42</v>
      </c>
      <c r="T101" s="30">
        <v>9997.9500000000007</v>
      </c>
      <c r="U101" s="225">
        <v>24496.47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6</v>
      </c>
      <c r="I102" s="130">
        <v>2</v>
      </c>
      <c r="J102" s="130">
        <v>2</v>
      </c>
      <c r="K102" s="114">
        <v>2305.1999999999998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4</v>
      </c>
      <c r="Q102" s="114">
        <v>11577.6</v>
      </c>
      <c r="R102" s="270">
        <v>4</v>
      </c>
      <c r="S102" s="114">
        <v>11577.6</v>
      </c>
      <c r="T102" s="114">
        <v>11577.6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3</v>
      </c>
      <c r="I103" s="62">
        <v>3</v>
      </c>
      <c r="J103" s="62">
        <v>3</v>
      </c>
      <c r="K103" s="30">
        <v>1118.98</v>
      </c>
      <c r="L103" s="205">
        <v>1</v>
      </c>
      <c r="M103" s="26">
        <f t="shared" si="5"/>
        <v>614.72</v>
      </c>
      <c r="N103" s="30">
        <v>614.72</v>
      </c>
      <c r="O103" s="225"/>
      <c r="P103" s="53">
        <v>7</v>
      </c>
      <c r="Q103" s="30">
        <v>12035.94</v>
      </c>
      <c r="R103" s="205">
        <v>5</v>
      </c>
      <c r="S103" s="26">
        <f t="shared" ref="S103:S134" si="7">T103+U103</f>
        <v>7679.11</v>
      </c>
      <c r="T103" s="30">
        <v>7679.11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10"/>
      <c r="M104" s="211">
        <f t="shared" si="5"/>
        <v>4610.3999999999996</v>
      </c>
      <c r="N104" s="209">
        <v>1344.7</v>
      </c>
      <c r="O104" s="212">
        <f>3265.7</f>
        <v>3265.7</v>
      </c>
      <c r="P104" s="103"/>
      <c r="Q104" s="43"/>
      <c r="R104" s="44"/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8</v>
      </c>
      <c r="I105" s="62">
        <v>4</v>
      </c>
      <c r="J105" s="62">
        <v>5</v>
      </c>
      <c r="K105" s="30">
        <v>6768.36</v>
      </c>
      <c r="L105" s="205">
        <v>3</v>
      </c>
      <c r="M105" s="26">
        <f t="shared" si="5"/>
        <v>4316.49</v>
      </c>
      <c r="N105" s="30">
        <v>2852.69</v>
      </c>
      <c r="O105" s="241">
        <v>1463.8</v>
      </c>
      <c r="P105" s="214">
        <v>11</v>
      </c>
      <c r="Q105" s="30">
        <v>49430.98</v>
      </c>
      <c r="R105" s="205">
        <v>6</v>
      </c>
      <c r="S105" s="26">
        <f t="shared" si="7"/>
        <v>49430.979999999996</v>
      </c>
      <c r="T105" s="30">
        <v>6955.6</v>
      </c>
      <c r="U105" s="225">
        <v>42475.38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4</v>
      </c>
      <c r="I106" s="286">
        <v>1</v>
      </c>
      <c r="J106" s="286">
        <v>1</v>
      </c>
      <c r="K106" s="287">
        <v>1921</v>
      </c>
      <c r="L106" s="288"/>
      <c r="M106" s="39">
        <f t="shared" si="5"/>
        <v>1921</v>
      </c>
      <c r="N106" s="39"/>
      <c r="O106" s="41">
        <f>1921</f>
        <v>1921</v>
      </c>
      <c r="P106" s="217">
        <v>3</v>
      </c>
      <c r="Q106" s="37">
        <v>7587.95</v>
      </c>
      <c r="R106" s="40"/>
      <c r="S106" s="39">
        <f t="shared" si="7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2</v>
      </c>
      <c r="Q107" s="65">
        <v>22972.83</v>
      </c>
      <c r="R107" s="224">
        <v>1</v>
      </c>
      <c r="S107" s="50">
        <f t="shared" si="7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5"/>
        <v>0</v>
      </c>
      <c r="N108" s="39"/>
      <c r="O108" s="41"/>
      <c r="P108" s="59"/>
      <c r="Q108" s="39"/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6</v>
      </c>
      <c r="I109" s="203">
        <v>4</v>
      </c>
      <c r="J109" s="203">
        <v>5</v>
      </c>
      <c r="K109" s="65">
        <v>8143.62</v>
      </c>
      <c r="L109" s="51"/>
      <c r="M109" s="50">
        <f t="shared" si="5"/>
        <v>1916.98</v>
      </c>
      <c r="N109" s="50"/>
      <c r="O109" s="225">
        <v>1916.98</v>
      </c>
      <c r="P109" s="108">
        <v>9</v>
      </c>
      <c r="Q109" s="65">
        <v>19656.830000000002</v>
      </c>
      <c r="R109" s="224">
        <v>2</v>
      </c>
      <c r="S109" s="50">
        <f t="shared" si="7"/>
        <v>17533.16</v>
      </c>
      <c r="T109" s="65">
        <v>2175.5100000000002</v>
      </c>
      <c r="U109" s="225">
        <v>15357.65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128"/>
      <c r="M110" s="50">
        <f t="shared" si="5"/>
        <v>2443.1999999999998</v>
      </c>
      <c r="N110" s="43"/>
      <c r="O110" s="41">
        <f>2443.2</f>
        <v>2443.1999999999998</v>
      </c>
      <c r="P110" s="113">
        <v>2</v>
      </c>
      <c r="Q110" s="114">
        <v>8007.8</v>
      </c>
      <c r="R110" s="44"/>
      <c r="S110" s="43">
        <f t="shared" si="7"/>
        <v>8008.1</v>
      </c>
      <c r="T110" s="114">
        <f>4358.2+3649.9</f>
        <v>8008.1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1</v>
      </c>
      <c r="M111" s="26">
        <f t="shared" si="5"/>
        <v>1133.98</v>
      </c>
      <c r="N111" s="30">
        <v>1133.98</v>
      </c>
      <c r="O111" s="225"/>
      <c r="P111" s="53">
        <v>5</v>
      </c>
      <c r="Q111" s="30">
        <v>7208.15</v>
      </c>
      <c r="R111" s="205">
        <v>5</v>
      </c>
      <c r="S111" s="26">
        <f t="shared" si="7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40"/>
      <c r="M112" s="39">
        <f t="shared" si="5"/>
        <v>1580.8</v>
      </c>
      <c r="N112" s="39"/>
      <c r="O112" s="41">
        <f>1580.8</f>
        <v>1580.8</v>
      </c>
      <c r="P112" s="115">
        <v>1</v>
      </c>
      <c r="Q112" s="68">
        <v>1377.7</v>
      </c>
      <c r="R112" s="40"/>
      <c r="S112" s="39">
        <f t="shared" si="7"/>
        <v>6723.5</v>
      </c>
      <c r="T112" s="39">
        <f>5378.8</f>
        <v>5378.8</v>
      </c>
      <c r="U112" s="41">
        <f>1344.7</f>
        <v>1344.7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10</v>
      </c>
      <c r="I113" s="203">
        <v>5</v>
      </c>
      <c r="J113" s="203">
        <v>5</v>
      </c>
      <c r="K113" s="65">
        <v>10662.56</v>
      </c>
      <c r="L113" s="51"/>
      <c r="M113" s="50">
        <f t="shared" si="5"/>
        <v>5531.12</v>
      </c>
      <c r="N113" s="50"/>
      <c r="O113" s="225">
        <v>5531.12</v>
      </c>
      <c r="P113" s="108">
        <v>16</v>
      </c>
      <c r="Q113" s="65">
        <v>46837.09</v>
      </c>
      <c r="R113" s="224">
        <v>3</v>
      </c>
      <c r="S113" s="50">
        <f t="shared" si="7"/>
        <v>23106.86</v>
      </c>
      <c r="T113" s="65">
        <v>6809.92</v>
      </c>
      <c r="U113" s="225">
        <v>16296.94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3</v>
      </c>
      <c r="I115" s="62">
        <v>2</v>
      </c>
      <c r="J115" s="62">
        <v>2</v>
      </c>
      <c r="K115" s="30">
        <v>2576.71</v>
      </c>
      <c r="L115" s="27"/>
      <c r="M115" s="26">
        <f t="shared" si="5"/>
        <v>0</v>
      </c>
      <c r="N115" s="26"/>
      <c r="O115" s="31"/>
      <c r="P115" s="53">
        <v>9</v>
      </c>
      <c r="Q115" s="30">
        <v>62029.02</v>
      </c>
      <c r="R115" s="205">
        <v>5</v>
      </c>
      <c r="S115" s="26">
        <f t="shared" si="7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2</v>
      </c>
      <c r="I116" s="57"/>
      <c r="J116" s="57"/>
      <c r="K116" s="43"/>
      <c r="L116" s="44"/>
      <c r="M116" s="43">
        <f t="shared" si="5"/>
        <v>0</v>
      </c>
      <c r="N116" s="43"/>
      <c r="O116" s="41"/>
      <c r="P116" s="113">
        <v>2</v>
      </c>
      <c r="Q116" s="114">
        <v>2881.5</v>
      </c>
      <c r="R116" s="44"/>
      <c r="S116" s="43">
        <f t="shared" si="7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6</v>
      </c>
      <c r="I117" s="62">
        <v>4</v>
      </c>
      <c r="J117" s="62">
        <v>4</v>
      </c>
      <c r="K117" s="30">
        <v>3661.42</v>
      </c>
      <c r="L117" s="27"/>
      <c r="M117" s="26">
        <f t="shared" si="5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7"/>
        <v>26300.45</v>
      </c>
      <c r="T117" s="30">
        <v>13277.84</v>
      </c>
      <c r="U117" s="225">
        <v>13022.61</v>
      </c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5</v>
      </c>
      <c r="I118" s="246">
        <v>2</v>
      </c>
      <c r="J118" s="246">
        <v>2</v>
      </c>
      <c r="K118" s="158">
        <v>1152.5999999999999</v>
      </c>
      <c r="L118" s="143"/>
      <c r="M118" s="142">
        <f t="shared" si="5"/>
        <v>576.29999999999995</v>
      </c>
      <c r="N118" s="142"/>
      <c r="O118" s="45">
        <f>576.3</f>
        <v>576.29999999999995</v>
      </c>
      <c r="P118" s="157">
        <v>3</v>
      </c>
      <c r="Q118" s="158">
        <v>6513.21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8"/>
      <c r="J119" s="38"/>
      <c r="K119" s="39"/>
      <c r="L119" s="40"/>
      <c r="M119" s="39">
        <f t="shared" si="5"/>
        <v>0</v>
      </c>
      <c r="N119" s="39"/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5"/>
        <v>0</v>
      </c>
      <c r="N120" s="50"/>
      <c r="O120" s="31"/>
      <c r="P120" s="108">
        <v>4</v>
      </c>
      <c r="Q120" s="65">
        <v>10383.700000000001</v>
      </c>
      <c r="R120" s="224">
        <v>1</v>
      </c>
      <c r="S120" s="50">
        <f t="shared" si="7"/>
        <v>7727.16</v>
      </c>
      <c r="T120" s="65">
        <v>3034.34</v>
      </c>
      <c r="U120" s="225">
        <v>4692.82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5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4</v>
      </c>
      <c r="I122" s="62">
        <v>3</v>
      </c>
      <c r="J122" s="62">
        <v>3</v>
      </c>
      <c r="K122" s="30">
        <v>2036.27</v>
      </c>
      <c r="L122" s="27"/>
      <c r="M122" s="26">
        <f t="shared" si="5"/>
        <v>0</v>
      </c>
      <c r="N122" s="26"/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5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10</v>
      </c>
      <c r="I124" s="62">
        <v>7</v>
      </c>
      <c r="J124" s="62">
        <v>11</v>
      </c>
      <c r="K124" s="30">
        <v>16008.12</v>
      </c>
      <c r="L124" s="27"/>
      <c r="M124" s="26">
        <f t="shared" si="5"/>
        <v>0</v>
      </c>
      <c r="N124" s="26"/>
      <c r="O124" s="31"/>
      <c r="P124" s="53">
        <v>10</v>
      </c>
      <c r="Q124" s="30">
        <v>26937.9</v>
      </c>
      <c r="R124" s="205">
        <v>2</v>
      </c>
      <c r="S124" s="26">
        <f t="shared" si="7"/>
        <v>14875.39</v>
      </c>
      <c r="T124" s="30">
        <v>7729.47</v>
      </c>
      <c r="U124" s="225">
        <v>7145.92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1</v>
      </c>
      <c r="J125" s="130">
        <v>1</v>
      </c>
      <c r="K125" s="114">
        <v>1152.5999999999999</v>
      </c>
      <c r="L125" s="44"/>
      <c r="M125" s="43">
        <f t="shared" si="5"/>
        <v>1152.5999999999999</v>
      </c>
      <c r="N125" s="43"/>
      <c r="O125" s="45">
        <f>1152.6</f>
        <v>1152.5999999999999</v>
      </c>
      <c r="P125" s="113">
        <v>2</v>
      </c>
      <c r="Q125" s="114">
        <v>5186.7</v>
      </c>
      <c r="R125" s="44"/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5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5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5</v>
      </c>
      <c r="I128" s="62">
        <v>3</v>
      </c>
      <c r="J128" s="62">
        <v>4</v>
      </c>
      <c r="K128" s="30">
        <v>5120.59</v>
      </c>
      <c r="L128" s="27"/>
      <c r="M128" s="26">
        <f t="shared" si="5"/>
        <v>3189.98</v>
      </c>
      <c r="N128" s="26"/>
      <c r="O128" s="243">
        <v>3189.98</v>
      </c>
      <c r="P128" s="64">
        <v>3</v>
      </c>
      <c r="Q128" s="65">
        <v>7766.38</v>
      </c>
      <c r="R128" s="224">
        <v>1</v>
      </c>
      <c r="S128" s="50">
        <f t="shared" si="7"/>
        <v>3540.1800000000003</v>
      </c>
      <c r="T128" s="65">
        <v>2272.3200000000002</v>
      </c>
      <c r="U128" s="225">
        <v>1267.8599999999999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5"/>
        <v>0</v>
      </c>
      <c r="N129" s="39"/>
      <c r="O129" s="41"/>
      <c r="P129" s="69"/>
      <c r="Q129" s="39"/>
      <c r="R129" s="40"/>
      <c r="S129" s="39">
        <f t="shared" si="7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12</v>
      </c>
      <c r="I130" s="203">
        <v>6</v>
      </c>
      <c r="J130" s="203">
        <v>7</v>
      </c>
      <c r="K130" s="65">
        <v>17376.97</v>
      </c>
      <c r="L130" s="51"/>
      <c r="M130" s="50">
        <f t="shared" si="5"/>
        <v>13711.53</v>
      </c>
      <c r="N130" s="50"/>
      <c r="O130" s="225">
        <v>13711.53</v>
      </c>
      <c r="P130" s="108">
        <v>20</v>
      </c>
      <c r="Q130" s="65">
        <v>63705.13</v>
      </c>
      <c r="R130" s="224">
        <v>3</v>
      </c>
      <c r="S130" s="50">
        <f t="shared" si="7"/>
        <v>59334.53</v>
      </c>
      <c r="T130" s="65">
        <v>10009.61</v>
      </c>
      <c r="U130" s="225">
        <v>49324.92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5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9</v>
      </c>
      <c r="I132" s="62">
        <v>1</v>
      </c>
      <c r="J132" s="62">
        <v>1</v>
      </c>
      <c r="K132" s="30">
        <v>1405.21</v>
      </c>
      <c r="L132" s="27"/>
      <c r="M132" s="26">
        <f t="shared" si="5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7"/>
        <v>46294.31</v>
      </c>
      <c r="T132" s="30">
        <v>21153.67</v>
      </c>
      <c r="U132" s="225">
        <v>25140.639999999999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5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9</v>
      </c>
      <c r="I134" s="62">
        <v>5</v>
      </c>
      <c r="J134" s="62">
        <v>5</v>
      </c>
      <c r="K134" s="30">
        <v>6628.44</v>
      </c>
      <c r="L134" s="205">
        <v>3</v>
      </c>
      <c r="M134" s="26">
        <f t="shared" si="5"/>
        <v>2221.61</v>
      </c>
      <c r="N134" s="30">
        <v>2221.61</v>
      </c>
      <c r="O134" s="31"/>
      <c r="P134" s="53">
        <v>24</v>
      </c>
      <c r="Q134" s="30">
        <v>39369.230000000003</v>
      </c>
      <c r="R134" s="205">
        <v>19</v>
      </c>
      <c r="S134" s="26">
        <f t="shared" si="7"/>
        <v>32606.92</v>
      </c>
      <c r="T134" s="30">
        <v>30301.71</v>
      </c>
      <c r="U134" s="225">
        <v>2305.21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5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5"/>
        <v>0</v>
      </c>
      <c r="N136" s="26"/>
      <c r="O136" s="28"/>
      <c r="P136" s="214"/>
      <c r="Q136" s="30"/>
      <c r="R136" s="205"/>
      <c r="S136" s="26">
        <f t="shared" ref="S136:S149" si="8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5"/>
        <v>0</v>
      </c>
      <c r="N137" s="39"/>
      <c r="O137" s="41"/>
      <c r="P137" s="217"/>
      <c r="Q137" s="68"/>
      <c r="R137" s="285"/>
      <c r="S137" s="39">
        <f t="shared" si="8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14</v>
      </c>
      <c r="I138" s="266">
        <v>6</v>
      </c>
      <c r="J138" s="266">
        <v>7</v>
      </c>
      <c r="K138" s="79">
        <v>9796.43</v>
      </c>
      <c r="L138" s="80"/>
      <c r="M138" s="81">
        <f t="shared" si="5"/>
        <v>3016.65</v>
      </c>
      <c r="N138" s="81"/>
      <c r="O138" s="269">
        <v>3016.65</v>
      </c>
      <c r="P138" s="267">
        <v>14</v>
      </c>
      <c r="Q138" s="79">
        <v>68482.759999999995</v>
      </c>
      <c r="R138" s="268">
        <v>7</v>
      </c>
      <c r="S138" s="81">
        <f t="shared" si="8"/>
        <v>41694.229999999996</v>
      </c>
      <c r="T138" s="79">
        <v>29991.43</v>
      </c>
      <c r="U138" s="269">
        <v>11702.8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5"/>
        <v>0</v>
      </c>
      <c r="N139" s="39"/>
      <c r="O139" s="41"/>
      <c r="P139" s="59"/>
      <c r="Q139" s="39"/>
      <c r="R139" s="40"/>
      <c r="S139" s="39">
        <f t="shared" si="8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10</v>
      </c>
      <c r="I140" s="203">
        <v>5</v>
      </c>
      <c r="J140" s="203">
        <v>7</v>
      </c>
      <c r="K140" s="65">
        <v>11288.37</v>
      </c>
      <c r="L140" s="51"/>
      <c r="M140" s="50">
        <f t="shared" si="5"/>
        <v>0</v>
      </c>
      <c r="N140" s="50"/>
      <c r="O140" s="31"/>
      <c r="P140" s="108">
        <v>45</v>
      </c>
      <c r="Q140" s="65">
        <v>267905.88</v>
      </c>
      <c r="R140" s="224">
        <v>12</v>
      </c>
      <c r="S140" s="50">
        <f t="shared" si="8"/>
        <v>107444.04999999999</v>
      </c>
      <c r="T140" s="65">
        <v>74062.509999999995</v>
      </c>
      <c r="U140" s="225">
        <v>33381.54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5"/>
        <v>0</v>
      </c>
      <c r="N141" s="129"/>
      <c r="O141" s="45"/>
      <c r="P141" s="156"/>
      <c r="Q141" s="129"/>
      <c r="R141" s="128"/>
      <c r="S141" s="129">
        <f t="shared" si="8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5"/>
        <v>0</v>
      </c>
      <c r="N142" s="43"/>
      <c r="O142" s="41"/>
      <c r="P142" s="113">
        <v>1</v>
      </c>
      <c r="Q142" s="43"/>
      <c r="R142" s="44"/>
      <c r="S142" s="43">
        <f t="shared" si="8"/>
        <v>6531.4</v>
      </c>
      <c r="T142" s="114">
        <v>2305.1999999999998</v>
      </c>
      <c r="U142" s="41">
        <f>4226.2</f>
        <v>4226.2</v>
      </c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5"/>
        <v>384.2</v>
      </c>
      <c r="N143" s="26"/>
      <c r="O143" s="225">
        <v>384.2</v>
      </c>
      <c r="P143" s="53">
        <v>15</v>
      </c>
      <c r="Q143" s="30">
        <v>11948.95</v>
      </c>
      <c r="R143" s="27"/>
      <c r="S143" s="26">
        <f t="shared" si="8"/>
        <v>5766.02</v>
      </c>
      <c r="T143" s="26"/>
      <c r="U143" s="225">
        <v>5766.02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5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8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6</v>
      </c>
      <c r="I145" s="203">
        <v>4</v>
      </c>
      <c r="J145" s="203">
        <v>4</v>
      </c>
      <c r="K145" s="65">
        <v>4666.47</v>
      </c>
      <c r="L145" s="51"/>
      <c r="M145" s="50">
        <f t="shared" si="5"/>
        <v>3609.92</v>
      </c>
      <c r="N145" s="50"/>
      <c r="O145" s="225">
        <v>3609.92</v>
      </c>
      <c r="P145" s="108">
        <v>8</v>
      </c>
      <c r="Q145" s="65">
        <v>29582.03</v>
      </c>
      <c r="R145" s="224">
        <v>2</v>
      </c>
      <c r="S145" s="50">
        <f t="shared" si="8"/>
        <v>29582.03</v>
      </c>
      <c r="T145" s="65">
        <v>8462.64</v>
      </c>
      <c r="U145" s="225">
        <v>21119.39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5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8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5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8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5"/>
        <v>0</v>
      </c>
      <c r="N148" s="43"/>
      <c r="O148" s="41"/>
      <c r="P148" s="103"/>
      <c r="Q148" s="43"/>
      <c r="R148" s="44"/>
      <c r="S148" s="43">
        <f t="shared" si="8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62">
        <v>1</v>
      </c>
      <c r="J149" s="62">
        <v>1</v>
      </c>
      <c r="K149" s="30">
        <v>1854.88</v>
      </c>
      <c r="L149" s="27"/>
      <c r="M149" s="26">
        <f t="shared" si="5"/>
        <v>0</v>
      </c>
      <c r="N149" s="26"/>
      <c r="O149" s="31"/>
      <c r="P149" s="53">
        <v>4</v>
      </c>
      <c r="Q149" s="30">
        <v>22885.21</v>
      </c>
      <c r="R149" s="205">
        <v>2</v>
      </c>
      <c r="S149" s="26">
        <f t="shared" si="8"/>
        <v>4085.52</v>
      </c>
      <c r="T149" s="30">
        <v>4085.52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5"/>
        <v>1728.9</v>
      </c>
      <c r="N150" s="114">
        <v>1728.9</v>
      </c>
      <c r="O150" s="234"/>
      <c r="P150" s="113">
        <v>2</v>
      </c>
      <c r="Q150" s="114">
        <v>6195.1</v>
      </c>
      <c r="R150" s="270">
        <v>1</v>
      </c>
      <c r="S150" s="114">
        <v>3457.8</v>
      </c>
      <c r="T150" s="114">
        <v>3457.8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8</v>
      </c>
      <c r="I151" s="62">
        <v>6</v>
      </c>
      <c r="J151" s="62">
        <v>7</v>
      </c>
      <c r="K151" s="30">
        <v>7882.16</v>
      </c>
      <c r="L151" s="27"/>
      <c r="M151" s="26">
        <f t="shared" si="5"/>
        <v>2891.11</v>
      </c>
      <c r="N151" s="26"/>
      <c r="O151" s="225">
        <v>2891.11</v>
      </c>
      <c r="P151" s="53">
        <v>11</v>
      </c>
      <c r="Q151" s="30">
        <v>31846.83</v>
      </c>
      <c r="R151" s="205">
        <v>3</v>
      </c>
      <c r="S151" s="26">
        <f t="shared" ref="S151:S183" si="9">T151+U151</f>
        <v>26984.94</v>
      </c>
      <c r="T151" s="30">
        <v>8445.0499999999993</v>
      </c>
      <c r="U151" s="225">
        <v>18539.89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5"/>
        <v>0</v>
      </c>
      <c r="N152" s="129"/>
      <c r="O152" s="45"/>
      <c r="P152" s="238">
        <v>7</v>
      </c>
      <c r="Q152" s="239">
        <v>11775.73</v>
      </c>
      <c r="R152" s="128"/>
      <c r="S152" s="129">
        <f t="shared" si="9"/>
        <v>10296.56</v>
      </c>
      <c r="T152" s="239">
        <f>288.15+6934.81</f>
        <v>7222.96</v>
      </c>
      <c r="U152" s="45">
        <f>3073.6</f>
        <v>3073.6</v>
      </c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5"/>
        <v>0</v>
      </c>
      <c r="N153" s="43"/>
      <c r="O153" s="41"/>
      <c r="P153" s="103"/>
      <c r="Q153" s="43"/>
      <c r="R153" s="44"/>
      <c r="S153" s="43">
        <f t="shared" si="9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6</v>
      </c>
      <c r="I154" s="25"/>
      <c r="J154" s="25"/>
      <c r="K154" s="26"/>
      <c r="L154" s="27"/>
      <c r="M154" s="26">
        <f t="shared" si="5"/>
        <v>0</v>
      </c>
      <c r="N154" s="26"/>
      <c r="O154" s="31"/>
      <c r="P154" s="99"/>
      <c r="Q154" s="26"/>
      <c r="R154" s="27"/>
      <c r="S154" s="26">
        <f t="shared" si="9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5"/>
        <v>0</v>
      </c>
      <c r="N155" s="39"/>
      <c r="O155" s="41"/>
      <c r="P155" s="59"/>
      <c r="Q155" s="39"/>
      <c r="R155" s="40"/>
      <c r="S155" s="39">
        <f t="shared" si="9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6</v>
      </c>
      <c r="I156" s="203">
        <v>5</v>
      </c>
      <c r="J156" s="203">
        <v>5</v>
      </c>
      <c r="K156" s="65">
        <v>7140.36</v>
      </c>
      <c r="L156" s="51"/>
      <c r="M156" s="50">
        <f t="shared" si="5"/>
        <v>3519.27</v>
      </c>
      <c r="N156" s="50"/>
      <c r="O156" s="225">
        <v>3519.27</v>
      </c>
      <c r="P156" s="108">
        <v>5</v>
      </c>
      <c r="Q156" s="65">
        <v>27150.720000000001</v>
      </c>
      <c r="R156" s="224">
        <v>2</v>
      </c>
      <c r="S156" s="50">
        <f t="shared" si="9"/>
        <v>22015.89</v>
      </c>
      <c r="T156" s="65">
        <v>3694.33</v>
      </c>
      <c r="U156" s="225">
        <v>18321.560000000001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6</v>
      </c>
      <c r="I157" s="246">
        <v>2</v>
      </c>
      <c r="J157" s="246">
        <v>2</v>
      </c>
      <c r="K157" s="158">
        <v>4226.2</v>
      </c>
      <c r="L157" s="143"/>
      <c r="M157" s="142">
        <f t="shared" si="5"/>
        <v>0</v>
      </c>
      <c r="N157" s="142"/>
      <c r="O157" s="45"/>
      <c r="P157" s="157">
        <v>4</v>
      </c>
      <c r="Q157" s="158">
        <v>8625.2900000000009</v>
      </c>
      <c r="R157" s="51"/>
      <c r="S157" s="50">
        <f t="shared" si="9"/>
        <v>9681.84</v>
      </c>
      <c r="T157" s="158">
        <v>6224.04</v>
      </c>
      <c r="U157" s="45">
        <f>3457.8</f>
        <v>3457.8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5"/>
        <v>0</v>
      </c>
      <c r="N158" s="43"/>
      <c r="O158" s="41"/>
      <c r="P158" s="103"/>
      <c r="Q158" s="43"/>
      <c r="R158" s="44"/>
      <c r="S158" s="43">
        <f t="shared" si="9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9</v>
      </c>
      <c r="I159" s="62">
        <v>2</v>
      </c>
      <c r="J159" s="62">
        <v>2</v>
      </c>
      <c r="K159" s="30">
        <v>1993.03</v>
      </c>
      <c r="L159" s="27"/>
      <c r="M159" s="26">
        <f t="shared" si="5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9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5"/>
        <v>0</v>
      </c>
      <c r="N160" s="39"/>
      <c r="O160" s="41"/>
      <c r="P160" s="115">
        <v>2</v>
      </c>
      <c r="Q160" s="68">
        <v>3265.7</v>
      </c>
      <c r="R160" s="40"/>
      <c r="S160" s="39">
        <f t="shared" si="9"/>
        <v>3265.7</v>
      </c>
      <c r="T160" s="39">
        <f>1921</f>
        <v>1921</v>
      </c>
      <c r="U160" s="41">
        <f>1344.7</f>
        <v>1344.7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4</v>
      </c>
      <c r="J161" s="203">
        <v>4</v>
      </c>
      <c r="K161" s="65">
        <v>8908.1200000000008</v>
      </c>
      <c r="L161" s="51"/>
      <c r="M161" s="50">
        <f t="shared" si="5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9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44"/>
      <c r="M162" s="43">
        <f t="shared" si="5"/>
        <v>3880.42</v>
      </c>
      <c r="N162" s="43"/>
      <c r="O162" s="41">
        <f>3880.42</f>
        <v>3880.42</v>
      </c>
      <c r="P162" s="113">
        <v>4</v>
      </c>
      <c r="Q162" s="114">
        <v>9124.75</v>
      </c>
      <c r="R162" s="44"/>
      <c r="S162" s="43">
        <f t="shared" si="9"/>
        <v>7203.75</v>
      </c>
      <c r="T162" s="114">
        <v>4802.5</v>
      </c>
      <c r="U162" s="41">
        <f>2401.25</f>
        <v>2401.25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4</v>
      </c>
      <c r="I163" s="62">
        <v>3</v>
      </c>
      <c r="J163" s="62">
        <v>4</v>
      </c>
      <c r="K163" s="30">
        <v>11839.32</v>
      </c>
      <c r="L163" s="27"/>
      <c r="M163" s="26">
        <f t="shared" si="5"/>
        <v>6365.22</v>
      </c>
      <c r="N163" s="26"/>
      <c r="O163" s="225">
        <v>6365.22</v>
      </c>
      <c r="P163" s="53">
        <v>10</v>
      </c>
      <c r="Q163" s="30">
        <v>30369.15</v>
      </c>
      <c r="R163" s="205">
        <v>2</v>
      </c>
      <c r="S163" s="26">
        <f t="shared" si="9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5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9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4</v>
      </c>
      <c r="I165" s="62">
        <v>4</v>
      </c>
      <c r="J165" s="62">
        <v>4</v>
      </c>
      <c r="K165" s="30">
        <v>8539.0300000000007</v>
      </c>
      <c r="L165" s="27"/>
      <c r="M165" s="26">
        <f t="shared" si="5"/>
        <v>0</v>
      </c>
      <c r="N165" s="26"/>
      <c r="O165" s="159"/>
      <c r="P165" s="53">
        <v>3</v>
      </c>
      <c r="Q165" s="30">
        <v>20168.78</v>
      </c>
      <c r="R165" s="205">
        <v>3</v>
      </c>
      <c r="S165" s="26">
        <f t="shared" si="9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5"/>
        <v>1728.9</v>
      </c>
      <c r="N166" s="211">
        <f>1728.9</f>
        <v>1728.9</v>
      </c>
      <c r="O166" s="274"/>
      <c r="P166" s="262">
        <v>2</v>
      </c>
      <c r="Q166" s="209">
        <v>2420.46</v>
      </c>
      <c r="R166" s="210"/>
      <c r="S166" s="211">
        <f t="shared" si="9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5"/>
        <v>0</v>
      </c>
      <c r="N167" s="26"/>
      <c r="O167" s="28"/>
      <c r="P167" s="214"/>
      <c r="Q167" s="30"/>
      <c r="R167" s="205"/>
      <c r="S167" s="26">
        <f t="shared" si="9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5"/>
        <v>0</v>
      </c>
      <c r="N168" s="39"/>
      <c r="O168" s="41"/>
      <c r="P168" s="217"/>
      <c r="Q168" s="68"/>
      <c r="R168" s="285"/>
      <c r="S168" s="39">
        <f t="shared" si="9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2</v>
      </c>
      <c r="J169" s="266">
        <v>2</v>
      </c>
      <c r="K169" s="79">
        <v>7085.44</v>
      </c>
      <c r="L169" s="80"/>
      <c r="M169" s="81">
        <f t="shared" si="5"/>
        <v>0</v>
      </c>
      <c r="N169" s="81"/>
      <c r="O169" s="219"/>
      <c r="P169" s="267">
        <v>2</v>
      </c>
      <c r="Q169" s="79">
        <v>5200.1499999999996</v>
      </c>
      <c r="R169" s="268">
        <v>1</v>
      </c>
      <c r="S169" s="81">
        <f t="shared" si="9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5"/>
        <v>0</v>
      </c>
      <c r="N170" s="43"/>
      <c r="O170" s="45"/>
      <c r="P170" s="103"/>
      <c r="Q170" s="43"/>
      <c r="R170" s="44"/>
      <c r="S170" s="43">
        <f t="shared" si="9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7"/>
      <c r="M171" s="26">
        <f t="shared" si="5"/>
        <v>524.91</v>
      </c>
      <c r="N171" s="26"/>
      <c r="O171" s="241">
        <v>524.91</v>
      </c>
      <c r="P171" s="53">
        <v>1</v>
      </c>
      <c r="Q171" s="30">
        <v>412.05</v>
      </c>
      <c r="R171" s="27"/>
      <c r="S171" s="26">
        <f t="shared" si="9"/>
        <v>412.05</v>
      </c>
      <c r="T171" s="26"/>
      <c r="U171" s="241">
        <v>412.05</v>
      </c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5"/>
        <v>0</v>
      </c>
      <c r="N172" s="211"/>
      <c r="O172" s="212"/>
      <c r="P172" s="273"/>
      <c r="Q172" s="211"/>
      <c r="R172" s="210"/>
      <c r="S172" s="211">
        <f t="shared" si="9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5"/>
        <v>0</v>
      </c>
      <c r="N173" s="26"/>
      <c r="O173" s="28"/>
      <c r="P173" s="214"/>
      <c r="Q173" s="30"/>
      <c r="R173" s="205"/>
      <c r="S173" s="26">
        <f t="shared" si="9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5"/>
        <v>0</v>
      </c>
      <c r="N174" s="39"/>
      <c r="O174" s="41"/>
      <c r="P174" s="217"/>
      <c r="Q174" s="68"/>
      <c r="R174" s="285"/>
      <c r="S174" s="39">
        <f t="shared" si="9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266">
        <v>2</v>
      </c>
      <c r="J175" s="266">
        <v>2</v>
      </c>
      <c r="K175" s="79">
        <v>2253.34</v>
      </c>
      <c r="L175" s="80"/>
      <c r="M175" s="81">
        <f t="shared" si="5"/>
        <v>0</v>
      </c>
      <c r="N175" s="81"/>
      <c r="O175" s="219"/>
      <c r="P175" s="267">
        <v>11</v>
      </c>
      <c r="Q175" s="79">
        <v>38325.81</v>
      </c>
      <c r="R175" s="268">
        <v>5</v>
      </c>
      <c r="S175" s="81">
        <f t="shared" si="9"/>
        <v>34311.440000000002</v>
      </c>
      <c r="T175" s="79">
        <v>16502.04</v>
      </c>
      <c r="U175" s="269">
        <v>17809.400000000001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1</v>
      </c>
      <c r="J176" s="130">
        <v>1</v>
      </c>
      <c r="K176" s="114">
        <v>2497.3000000000002</v>
      </c>
      <c r="L176" s="128"/>
      <c r="M176" s="50">
        <f t="shared" si="5"/>
        <v>2497.3000000000002</v>
      </c>
      <c r="N176" s="43"/>
      <c r="O176" s="41">
        <f>2497.3</f>
        <v>2497.3000000000002</v>
      </c>
      <c r="P176" s="113">
        <v>2</v>
      </c>
      <c r="Q176" s="114">
        <v>7924</v>
      </c>
      <c r="R176" s="44"/>
      <c r="S176" s="43">
        <f t="shared" si="9"/>
        <v>6003</v>
      </c>
      <c r="T176" s="114">
        <v>576.29999999999995</v>
      </c>
      <c r="U176" s="41">
        <f>5426.7</f>
        <v>5426.7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5</v>
      </c>
      <c r="I177" s="62">
        <v>3</v>
      </c>
      <c r="J177" s="62">
        <v>3</v>
      </c>
      <c r="K177" s="30">
        <v>5755.32</v>
      </c>
      <c r="L177" s="27"/>
      <c r="M177" s="26">
        <f t="shared" si="5"/>
        <v>1477.25</v>
      </c>
      <c r="N177" s="26"/>
      <c r="O177" s="225">
        <v>1477.25</v>
      </c>
      <c r="P177" s="53">
        <v>10</v>
      </c>
      <c r="Q177" s="30">
        <v>31881.81</v>
      </c>
      <c r="R177" s="205">
        <v>1</v>
      </c>
      <c r="S177" s="26">
        <f t="shared" si="9"/>
        <v>14675.67</v>
      </c>
      <c r="T177" s="30">
        <v>1267.8599999999999</v>
      </c>
      <c r="U177" s="225">
        <v>13407.81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2</v>
      </c>
      <c r="I178" s="57"/>
      <c r="J178" s="57"/>
      <c r="K178" s="43"/>
      <c r="L178" s="44"/>
      <c r="M178" s="43">
        <f t="shared" si="5"/>
        <v>0</v>
      </c>
      <c r="N178" s="43"/>
      <c r="O178" s="41"/>
      <c r="P178" s="115">
        <v>4</v>
      </c>
      <c r="Q178" s="68">
        <v>17865.3</v>
      </c>
      <c r="R178" s="40"/>
      <c r="S178" s="39">
        <f t="shared" si="9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13</v>
      </c>
      <c r="I179" s="62">
        <v>10</v>
      </c>
      <c r="J179" s="204">
        <v>11</v>
      </c>
      <c r="K179" s="30">
        <v>18139.990000000002</v>
      </c>
      <c r="L179" s="27"/>
      <c r="M179" s="26">
        <f t="shared" si="5"/>
        <v>5615.47</v>
      </c>
      <c r="N179" s="26"/>
      <c r="O179" s="225">
        <v>5615.47</v>
      </c>
      <c r="P179" s="108">
        <v>21</v>
      </c>
      <c r="Q179" s="65">
        <v>59851.3</v>
      </c>
      <c r="R179" s="224">
        <v>5</v>
      </c>
      <c r="S179" s="50">
        <f t="shared" si="9"/>
        <v>45597.55</v>
      </c>
      <c r="T179" s="65">
        <v>17249.09</v>
      </c>
      <c r="U179" s="225">
        <v>28348.46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5"/>
        <v>0</v>
      </c>
      <c r="N180" s="211"/>
      <c r="O180" s="212"/>
      <c r="P180" s="262">
        <v>1</v>
      </c>
      <c r="Q180" s="209">
        <v>576.29999999999995</v>
      </c>
      <c r="R180" s="210"/>
      <c r="S180" s="211">
        <f t="shared" si="9"/>
        <v>2497.3000000000002</v>
      </c>
      <c r="T180" s="209">
        <v>1921</v>
      </c>
      <c r="U180" s="212">
        <f>576.3</f>
        <v>576.29999999999995</v>
      </c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104"/>
      <c r="I181" s="25"/>
      <c r="J181" s="25"/>
      <c r="K181" s="162"/>
      <c r="L181" s="163"/>
      <c r="M181" s="162">
        <f t="shared" si="5"/>
        <v>0</v>
      </c>
      <c r="N181" s="162"/>
      <c r="O181" s="28"/>
      <c r="P181" s="275"/>
      <c r="Q181" s="26"/>
      <c r="R181" s="27"/>
      <c r="S181" s="26">
        <f t="shared" si="9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8"/>
      <c r="J182" s="38"/>
      <c r="K182" s="164"/>
      <c r="L182" s="165"/>
      <c r="M182" s="164">
        <f t="shared" si="5"/>
        <v>0</v>
      </c>
      <c r="N182" s="164"/>
      <c r="O182" s="41"/>
      <c r="P182" s="276"/>
      <c r="Q182" s="39"/>
      <c r="R182" s="40"/>
      <c r="S182" s="39">
        <f t="shared" si="9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5"/>
        <v>0</v>
      </c>
      <c r="N183" s="293"/>
      <c r="O183" s="82"/>
      <c r="P183" s="295"/>
      <c r="Q183" s="81"/>
      <c r="R183" s="80"/>
      <c r="S183" s="81">
        <f t="shared" si="9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5"/>
        <v>0</v>
      </c>
      <c r="N184" s="164"/>
      <c r="O184" s="41"/>
      <c r="P184" s="67">
        <v>4</v>
      </c>
      <c r="Q184" s="68">
        <v>19199.810000000001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8</v>
      </c>
      <c r="I185" s="203">
        <v>7</v>
      </c>
      <c r="J185" s="203">
        <v>9</v>
      </c>
      <c r="K185" s="242">
        <v>19967.95</v>
      </c>
      <c r="L185" s="167"/>
      <c r="M185" s="166">
        <f t="shared" si="5"/>
        <v>8798.4699999999993</v>
      </c>
      <c r="N185" s="166"/>
      <c r="O185" s="225">
        <v>8798.4699999999993</v>
      </c>
      <c r="P185" s="108">
        <v>6</v>
      </c>
      <c r="Q185" s="65">
        <v>34185.78</v>
      </c>
      <c r="R185" s="224">
        <v>4</v>
      </c>
      <c r="S185" s="50">
        <f t="shared" ref="S185:S204" si="10">T185+U185</f>
        <v>16635.98</v>
      </c>
      <c r="T185" s="65">
        <v>15452.64</v>
      </c>
      <c r="U185" s="225">
        <v>1183.3399999999999</v>
      </c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5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10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3</v>
      </c>
      <c r="J187" s="62">
        <v>3</v>
      </c>
      <c r="K187" s="30">
        <v>4497.1000000000004</v>
      </c>
      <c r="L187" s="27"/>
      <c r="M187" s="26">
        <f t="shared" si="5"/>
        <v>0</v>
      </c>
      <c r="N187" s="26"/>
      <c r="O187" s="31"/>
      <c r="P187" s="53">
        <v>7</v>
      </c>
      <c r="Q187" s="30">
        <v>16748.509999999998</v>
      </c>
      <c r="R187" s="205">
        <v>1</v>
      </c>
      <c r="S187" s="26">
        <f t="shared" si="10"/>
        <v>10125.48</v>
      </c>
      <c r="T187" s="30">
        <v>3759.09</v>
      </c>
      <c r="U187" s="225">
        <v>6366.39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5"/>
        <v>0</v>
      </c>
      <c r="N188" s="39"/>
      <c r="O188" s="41"/>
      <c r="P188" s="59"/>
      <c r="Q188" s="39"/>
      <c r="R188" s="40"/>
      <c r="S188" s="39">
        <f t="shared" si="10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5"/>
        <v>0</v>
      </c>
      <c r="N189" s="50"/>
      <c r="O189" s="31"/>
      <c r="P189" s="108">
        <v>2</v>
      </c>
      <c r="Q189" s="65">
        <v>14241.9</v>
      </c>
      <c r="R189" s="224">
        <v>1</v>
      </c>
      <c r="S189" s="50">
        <f t="shared" si="10"/>
        <v>11832.5</v>
      </c>
      <c r="T189" s="65">
        <v>11832.5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5"/>
        <v>0</v>
      </c>
      <c r="N190" s="43"/>
      <c r="O190" s="41"/>
      <c r="P190" s="103"/>
      <c r="Q190" s="43"/>
      <c r="R190" s="44"/>
      <c r="S190" s="43">
        <f t="shared" si="10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5"/>
        <v>0</v>
      </c>
      <c r="N191" s="26"/>
      <c r="O191" s="31"/>
      <c r="P191" s="120"/>
      <c r="Q191" s="26"/>
      <c r="R191" s="27"/>
      <c r="S191" s="26">
        <f t="shared" si="10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5"/>
        <v>0</v>
      </c>
      <c r="N192" s="39"/>
      <c r="O192" s="41"/>
      <c r="P192" s="69"/>
      <c r="Q192" s="39"/>
      <c r="R192" s="40"/>
      <c r="S192" s="39">
        <f t="shared" si="10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6</v>
      </c>
      <c r="J193" s="203">
        <v>6</v>
      </c>
      <c r="K193" s="65">
        <v>11123.36</v>
      </c>
      <c r="L193" s="51"/>
      <c r="M193" s="50">
        <f t="shared" si="5"/>
        <v>7557.22</v>
      </c>
      <c r="N193" s="50"/>
      <c r="O193" s="225">
        <v>7557.22</v>
      </c>
      <c r="P193" s="108">
        <v>8</v>
      </c>
      <c r="Q193" s="65">
        <v>20431.349999999999</v>
      </c>
      <c r="R193" s="224">
        <v>1</v>
      </c>
      <c r="S193" s="50">
        <f t="shared" si="10"/>
        <v>8066.2899999999991</v>
      </c>
      <c r="T193" s="65">
        <v>2627.93</v>
      </c>
      <c r="U193" s="225">
        <v>5438.36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8"/>
      <c r="J194" s="38"/>
      <c r="K194" s="39"/>
      <c r="L194" s="40"/>
      <c r="M194" s="39">
        <f t="shared" si="5"/>
        <v>0</v>
      </c>
      <c r="N194" s="39"/>
      <c r="O194" s="41"/>
      <c r="P194" s="59"/>
      <c r="Q194" s="39"/>
      <c r="R194" s="40"/>
      <c r="S194" s="39">
        <f t="shared" si="10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11</v>
      </c>
      <c r="I195" s="203">
        <v>7</v>
      </c>
      <c r="J195" s="203">
        <v>9</v>
      </c>
      <c r="K195" s="65">
        <v>13552.93</v>
      </c>
      <c r="L195" s="51"/>
      <c r="M195" s="50">
        <f t="shared" si="5"/>
        <v>5908.22</v>
      </c>
      <c r="N195" s="50"/>
      <c r="O195" s="225">
        <v>5908.22</v>
      </c>
      <c r="P195" s="108">
        <v>24</v>
      </c>
      <c r="Q195" s="65">
        <v>38241.53</v>
      </c>
      <c r="R195" s="224">
        <v>14</v>
      </c>
      <c r="S195" s="50">
        <f t="shared" si="10"/>
        <v>34472.649999999994</v>
      </c>
      <c r="T195" s="65">
        <v>19941.759999999998</v>
      </c>
      <c r="U195" s="225">
        <v>14530.89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3</v>
      </c>
      <c r="I196" s="130">
        <v>1</v>
      </c>
      <c r="J196" s="130">
        <v>1</v>
      </c>
      <c r="K196" s="114">
        <v>1056.55</v>
      </c>
      <c r="L196" s="128"/>
      <c r="M196" s="50">
        <f t="shared" si="5"/>
        <v>1056.55</v>
      </c>
      <c r="N196" s="43"/>
      <c r="O196" s="41">
        <f>1056.55</f>
        <v>1056.55</v>
      </c>
      <c r="P196" s="113">
        <v>3</v>
      </c>
      <c r="Q196" s="114">
        <v>5551.69</v>
      </c>
      <c r="R196" s="44"/>
      <c r="S196" s="43">
        <f t="shared" si="10"/>
        <v>5551.69</v>
      </c>
      <c r="T196" s="43"/>
      <c r="U196" s="41">
        <f>5551.69</f>
        <v>5551.69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5</v>
      </c>
      <c r="I197" s="25"/>
      <c r="J197" s="25"/>
      <c r="K197" s="26"/>
      <c r="L197" s="27"/>
      <c r="M197" s="26">
        <f t="shared" si="5"/>
        <v>0</v>
      </c>
      <c r="N197" s="26"/>
      <c r="O197" s="31"/>
      <c r="P197" s="53">
        <v>3</v>
      </c>
      <c r="Q197" s="30">
        <v>8280.19</v>
      </c>
      <c r="R197" s="27"/>
      <c r="S197" s="26">
        <f t="shared" si="10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5"/>
        <v>0</v>
      </c>
      <c r="N198" s="39"/>
      <c r="O198" s="41"/>
      <c r="P198" s="59"/>
      <c r="Q198" s="39"/>
      <c r="R198" s="40"/>
      <c r="S198" s="39">
        <f t="shared" si="10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5"/>
        <v>0</v>
      </c>
      <c r="N199" s="50"/>
      <c r="O199" s="31"/>
      <c r="P199" s="123"/>
      <c r="Q199" s="50"/>
      <c r="R199" s="51"/>
      <c r="S199" s="50">
        <f t="shared" si="10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5"/>
        <v>0</v>
      </c>
      <c r="N200" s="50"/>
      <c r="O200" s="45"/>
      <c r="P200" s="123"/>
      <c r="Q200" s="50"/>
      <c r="R200" s="51"/>
      <c r="S200" s="50">
        <f t="shared" si="10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5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10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5"/>
        <v>0</v>
      </c>
      <c r="N202" s="26"/>
      <c r="O202" s="31"/>
      <c r="P202" s="99"/>
      <c r="Q202" s="26"/>
      <c r="R202" s="27"/>
      <c r="S202" s="26">
        <f t="shared" si="10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5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10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5"/>
        <v>0</v>
      </c>
      <c r="N204" s="26"/>
      <c r="O204" s="31"/>
      <c r="P204" s="99"/>
      <c r="Q204" s="26"/>
      <c r="R204" s="27"/>
      <c r="S204" s="26">
        <f t="shared" si="10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5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5"/>
        <v>0</v>
      </c>
      <c r="N206" s="50"/>
      <c r="O206" s="31"/>
      <c r="P206" s="108">
        <v>3</v>
      </c>
      <c r="Q206" s="65">
        <v>12689.15</v>
      </c>
      <c r="R206" s="224">
        <v>2</v>
      </c>
      <c r="S206" s="50">
        <f t="shared" ref="S206:S220" si="11">T206+U206</f>
        <v>12689.150000000001</v>
      </c>
      <c r="T206" s="65">
        <v>2541.1999999999998</v>
      </c>
      <c r="U206" s="225">
        <v>10147.950000000001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5"/>
        <v>0</v>
      </c>
      <c r="N207" s="43"/>
      <c r="O207" s="45"/>
      <c r="P207" s="273"/>
      <c r="Q207" s="211"/>
      <c r="R207" s="210"/>
      <c r="S207" s="211">
        <f t="shared" si="11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7"/>
      <c r="M208" s="26">
        <f t="shared" si="5"/>
        <v>576.29999999999995</v>
      </c>
      <c r="N208" s="26"/>
      <c r="O208" s="308">
        <v>576.29999999999995</v>
      </c>
      <c r="P208" s="99"/>
      <c r="Q208" s="26"/>
      <c r="R208" s="27"/>
      <c r="S208" s="26">
        <f t="shared" si="11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3</v>
      </c>
      <c r="I209" s="37"/>
      <c r="J209" s="37"/>
      <c r="K209" s="39"/>
      <c r="L209" s="40"/>
      <c r="M209" s="39">
        <f t="shared" si="5"/>
        <v>0</v>
      </c>
      <c r="N209" s="39"/>
      <c r="O209" s="309"/>
      <c r="P209" s="310">
        <v>4</v>
      </c>
      <c r="Q209" s="245">
        <v>19651.830000000002</v>
      </c>
      <c r="R209" s="40"/>
      <c r="S209" s="39">
        <f t="shared" si="11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5"/>
        <v>0</v>
      </c>
      <c r="N210" s="50"/>
      <c r="O210" s="31"/>
      <c r="P210" s="277"/>
      <c r="Q210" s="81"/>
      <c r="R210" s="80"/>
      <c r="S210" s="81">
        <f t="shared" si="11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5"/>
        <v>0</v>
      </c>
      <c r="N211" s="43"/>
      <c r="O211" s="41"/>
      <c r="P211" s="113">
        <v>1</v>
      </c>
      <c r="Q211" s="114">
        <v>3842</v>
      </c>
      <c r="R211" s="128"/>
      <c r="S211" s="50">
        <f t="shared" si="11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8</v>
      </c>
      <c r="I212" s="62">
        <v>6</v>
      </c>
      <c r="J212" s="62">
        <v>10</v>
      </c>
      <c r="K212" s="30">
        <v>22151.4</v>
      </c>
      <c r="L212" s="27"/>
      <c r="M212" s="26">
        <f t="shared" si="5"/>
        <v>5413.52</v>
      </c>
      <c r="N212" s="26"/>
      <c r="O212" s="225">
        <v>5413.52</v>
      </c>
      <c r="P212" s="53">
        <v>17</v>
      </c>
      <c r="Q212" s="30">
        <v>46159.82</v>
      </c>
      <c r="R212" s="205">
        <v>8</v>
      </c>
      <c r="S212" s="26">
        <f t="shared" si="11"/>
        <v>34299.050000000003</v>
      </c>
      <c r="T212" s="30">
        <v>20996.46</v>
      </c>
      <c r="U212" s="225">
        <v>13302.59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5"/>
        <v>0</v>
      </c>
      <c r="N213" s="39"/>
      <c r="O213" s="41"/>
      <c r="P213" s="59"/>
      <c r="Q213" s="39"/>
      <c r="R213" s="40"/>
      <c r="S213" s="39">
        <f t="shared" si="11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5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11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5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1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11</v>
      </c>
      <c r="I216" s="62">
        <v>8</v>
      </c>
      <c r="J216" s="62">
        <v>8</v>
      </c>
      <c r="K216" s="30">
        <v>5106.5200000000004</v>
      </c>
      <c r="L216" s="27"/>
      <c r="M216" s="26">
        <f t="shared" si="5"/>
        <v>806.82</v>
      </c>
      <c r="N216" s="26"/>
      <c r="O216" s="225">
        <v>806.82</v>
      </c>
      <c r="P216" s="53">
        <v>27</v>
      </c>
      <c r="Q216" s="30">
        <v>36893.15</v>
      </c>
      <c r="R216" s="205">
        <v>4</v>
      </c>
      <c r="S216" s="26">
        <f t="shared" si="11"/>
        <v>34055.83</v>
      </c>
      <c r="T216" s="30">
        <v>6109.65</v>
      </c>
      <c r="U216" s="30">
        <v>27946.18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5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1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22</v>
      </c>
      <c r="I218" s="25"/>
      <c r="J218" s="25"/>
      <c r="K218" s="26"/>
      <c r="L218" s="27"/>
      <c r="M218" s="26">
        <f t="shared" si="5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1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5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5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1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9</v>
      </c>
      <c r="I220" s="203">
        <v>7</v>
      </c>
      <c r="J220" s="203">
        <v>8</v>
      </c>
      <c r="K220" s="65">
        <v>16934.2</v>
      </c>
      <c r="L220" s="51"/>
      <c r="M220" s="50">
        <f t="shared" si="5"/>
        <v>5845.61</v>
      </c>
      <c r="N220" s="50"/>
      <c r="O220" s="225">
        <v>5845.61</v>
      </c>
      <c r="P220" s="108">
        <v>17</v>
      </c>
      <c r="Q220" s="65">
        <v>54358.97</v>
      </c>
      <c r="R220" s="224">
        <v>5</v>
      </c>
      <c r="S220" s="50">
        <f t="shared" si="11"/>
        <v>48720.17</v>
      </c>
      <c r="T220" s="65">
        <v>24141.61</v>
      </c>
      <c r="U220" s="225">
        <v>24578.560000000001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5"/>
        <v>0</v>
      </c>
      <c r="N221" s="43"/>
      <c r="O221" s="41"/>
      <c r="P221" s="113">
        <v>6</v>
      </c>
      <c r="Q221" s="114">
        <v>32210.18</v>
      </c>
      <c r="R221" s="270">
        <v>5</v>
      </c>
      <c r="S221" s="114">
        <v>24781.439999999999</v>
      </c>
      <c r="T221" s="114">
        <v>24781.439999999999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7"/>
      <c r="M222" s="26">
        <f t="shared" si="5"/>
        <v>1185.45</v>
      </c>
      <c r="N222" s="26"/>
      <c r="O222" s="225">
        <v>1185.45</v>
      </c>
      <c r="P222" s="53">
        <v>14</v>
      </c>
      <c r="Q222" s="30">
        <v>45509.18</v>
      </c>
      <c r="R222" s="205">
        <v>3</v>
      </c>
      <c r="S222" s="26">
        <f t="shared" ref="S222:S244" si="12">T222+U222</f>
        <v>28989.789999999997</v>
      </c>
      <c r="T222" s="30">
        <v>7081.87</v>
      </c>
      <c r="U222" s="225">
        <v>21907.919999999998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5"/>
        <v>0</v>
      </c>
      <c r="N223" s="43"/>
      <c r="O223" s="41"/>
      <c r="P223" s="103"/>
      <c r="Q223" s="43"/>
      <c r="R223" s="44"/>
      <c r="S223" s="43">
        <f t="shared" si="12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2</v>
      </c>
      <c r="I224" s="25"/>
      <c r="J224" s="25"/>
      <c r="K224" s="26"/>
      <c r="L224" s="27"/>
      <c r="M224" s="26">
        <f t="shared" si="5"/>
        <v>0</v>
      </c>
      <c r="N224" s="26"/>
      <c r="O224" s="31"/>
      <c r="P224" s="120"/>
      <c r="Q224" s="26"/>
      <c r="R224" s="27"/>
      <c r="S224" s="26">
        <f t="shared" si="12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5"/>
        <v>0</v>
      </c>
      <c r="N225" s="43"/>
      <c r="O225" s="45"/>
      <c r="P225" s="42"/>
      <c r="Q225" s="43"/>
      <c r="R225" s="44"/>
      <c r="S225" s="43">
        <f t="shared" si="12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5"/>
        <v>0</v>
      </c>
      <c r="N226" s="26"/>
      <c r="O226" s="28"/>
      <c r="P226" s="120"/>
      <c r="Q226" s="26"/>
      <c r="R226" s="27"/>
      <c r="S226" s="26">
        <f t="shared" si="12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5"/>
        <v>0</v>
      </c>
      <c r="N227" s="211"/>
      <c r="O227" s="212"/>
      <c r="P227" s="284"/>
      <c r="Q227" s="211"/>
      <c r="R227" s="210"/>
      <c r="S227" s="211">
        <f t="shared" si="12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4</v>
      </c>
      <c r="I228" s="62"/>
      <c r="J228" s="62"/>
      <c r="K228" s="30"/>
      <c r="L228" s="27"/>
      <c r="M228" s="26">
        <f t="shared" si="5"/>
        <v>0</v>
      </c>
      <c r="N228" s="26"/>
      <c r="O228" s="28"/>
      <c r="P228" s="214"/>
      <c r="Q228" s="30"/>
      <c r="R228" s="205"/>
      <c r="S228" s="26">
        <f t="shared" si="12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5</v>
      </c>
      <c r="I229" s="37"/>
      <c r="J229" s="37"/>
      <c r="K229" s="68"/>
      <c r="L229" s="40"/>
      <c r="M229" s="39">
        <f t="shared" si="5"/>
        <v>0</v>
      </c>
      <c r="N229" s="39"/>
      <c r="O229" s="41"/>
      <c r="P229" s="217"/>
      <c r="Q229" s="68"/>
      <c r="R229" s="285"/>
      <c r="S229" s="39">
        <f t="shared" si="12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7</v>
      </c>
      <c r="K230" s="79">
        <v>5186.71</v>
      </c>
      <c r="L230" s="80"/>
      <c r="M230" s="81">
        <f t="shared" si="5"/>
        <v>0</v>
      </c>
      <c r="N230" s="81"/>
      <c r="O230" s="219"/>
      <c r="P230" s="267">
        <v>13</v>
      </c>
      <c r="Q230" s="79">
        <v>42826.720000000001</v>
      </c>
      <c r="R230" s="268">
        <v>9</v>
      </c>
      <c r="S230" s="81">
        <f t="shared" si="12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5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12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16</v>
      </c>
      <c r="I232" s="62">
        <v>13</v>
      </c>
      <c r="J232" s="62">
        <v>15</v>
      </c>
      <c r="K232" s="30">
        <v>19551.57</v>
      </c>
      <c r="L232" s="27"/>
      <c r="M232" s="26">
        <f t="shared" si="5"/>
        <v>0</v>
      </c>
      <c r="N232" s="26"/>
      <c r="O232" s="31"/>
      <c r="P232" s="53">
        <v>9</v>
      </c>
      <c r="Q232" s="30">
        <v>61174.91</v>
      </c>
      <c r="R232" s="205">
        <v>2</v>
      </c>
      <c r="S232" s="26">
        <f t="shared" si="12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5"/>
        <v>0</v>
      </c>
      <c r="N233" s="39"/>
      <c r="O233" s="41"/>
      <c r="P233" s="115">
        <v>1</v>
      </c>
      <c r="Q233" s="68">
        <v>3073.6</v>
      </c>
      <c r="R233" s="40"/>
      <c r="S233" s="39">
        <f t="shared" si="12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2</v>
      </c>
      <c r="I234" s="49"/>
      <c r="J234" s="49"/>
      <c r="K234" s="50"/>
      <c r="L234" s="51"/>
      <c r="M234" s="50">
        <f t="shared" si="5"/>
        <v>0</v>
      </c>
      <c r="N234" s="50"/>
      <c r="O234" s="31"/>
      <c r="P234" s="108">
        <v>10</v>
      </c>
      <c r="Q234" s="65">
        <v>15519.54</v>
      </c>
      <c r="R234" s="224">
        <v>1</v>
      </c>
      <c r="S234" s="50">
        <f t="shared" si="12"/>
        <v>8094.01</v>
      </c>
      <c r="T234" s="65">
        <v>1319.81</v>
      </c>
      <c r="U234" s="225">
        <v>6774.2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5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12"/>
        <v>4034.1</v>
      </c>
      <c r="T235" s="211">
        <f>4034.1</f>
        <v>4034.1</v>
      </c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61">
        <v>1</v>
      </c>
      <c r="I236" s="25"/>
      <c r="J236" s="25"/>
      <c r="K236" s="26"/>
      <c r="L236" s="27"/>
      <c r="M236" s="26">
        <f t="shared" si="5"/>
        <v>0</v>
      </c>
      <c r="N236" s="26"/>
      <c r="O236" s="28"/>
      <c r="P236" s="275"/>
      <c r="Q236" s="26"/>
      <c r="R236" s="27"/>
      <c r="S236" s="26">
        <f t="shared" si="12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5"/>
        <v>0</v>
      </c>
      <c r="N237" s="39"/>
      <c r="O237" s="41"/>
      <c r="P237" s="276"/>
      <c r="Q237" s="39"/>
      <c r="R237" s="40"/>
      <c r="S237" s="39">
        <f t="shared" si="12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5"/>
        <v>0</v>
      </c>
      <c r="N238" s="81"/>
      <c r="O238" s="219"/>
      <c r="P238" s="277"/>
      <c r="Q238" s="81"/>
      <c r="R238" s="80"/>
      <c r="S238" s="81">
        <f t="shared" si="12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1</v>
      </c>
      <c r="J239" s="130">
        <v>1</v>
      </c>
      <c r="K239" s="114">
        <v>1921</v>
      </c>
      <c r="L239" s="44"/>
      <c r="M239" s="43">
        <f t="shared" si="5"/>
        <v>0</v>
      </c>
      <c r="N239" s="43"/>
      <c r="O239" s="41"/>
      <c r="P239" s="113">
        <v>4</v>
      </c>
      <c r="Q239" s="114">
        <v>7107.7</v>
      </c>
      <c r="R239" s="44"/>
      <c r="S239" s="43">
        <f t="shared" si="12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5"/>
        <v>0</v>
      </c>
      <c r="N240" s="26"/>
      <c r="O240" s="31"/>
      <c r="P240" s="53">
        <v>2</v>
      </c>
      <c r="Q240" s="30">
        <v>2633.4</v>
      </c>
      <c r="R240" s="205">
        <v>1</v>
      </c>
      <c r="S240" s="26">
        <f t="shared" si="12"/>
        <v>2633.4</v>
      </c>
      <c r="T240" s="30">
        <v>1288.7</v>
      </c>
      <c r="U240" s="225">
        <v>1344.7</v>
      </c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2</v>
      </c>
      <c r="I241" s="57"/>
      <c r="J241" s="57"/>
      <c r="K241" s="43"/>
      <c r="L241" s="44"/>
      <c r="M241" s="43">
        <f t="shared" si="5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12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5</v>
      </c>
      <c r="I242" s="62">
        <v>4</v>
      </c>
      <c r="J242" s="62">
        <v>4</v>
      </c>
      <c r="K242" s="30">
        <v>7196.58</v>
      </c>
      <c r="L242" s="27"/>
      <c r="M242" s="26">
        <f t="shared" si="5"/>
        <v>0</v>
      </c>
      <c r="N242" s="26"/>
      <c r="O242" s="31"/>
      <c r="P242" s="53">
        <v>12</v>
      </c>
      <c r="Q242" s="30">
        <v>25258.31</v>
      </c>
      <c r="R242" s="205">
        <v>3</v>
      </c>
      <c r="S242" s="26">
        <f t="shared" si="12"/>
        <v>18348.190000000002</v>
      </c>
      <c r="T242" s="30">
        <v>6447.76</v>
      </c>
      <c r="U242" s="225">
        <v>11900.43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6</v>
      </c>
      <c r="I243" s="38"/>
      <c r="J243" s="38"/>
      <c r="K243" s="39"/>
      <c r="L243" s="40"/>
      <c r="M243" s="39">
        <f t="shared" si="5"/>
        <v>0</v>
      </c>
      <c r="N243" s="39"/>
      <c r="O243" s="41"/>
      <c r="P243" s="59"/>
      <c r="Q243" s="39"/>
      <c r="R243" s="40"/>
      <c r="S243" s="39">
        <f t="shared" si="12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11</v>
      </c>
      <c r="I244" s="203">
        <v>8</v>
      </c>
      <c r="J244" s="203">
        <v>10</v>
      </c>
      <c r="K244" s="65">
        <v>11647.22</v>
      </c>
      <c r="L244" s="51"/>
      <c r="M244" s="50">
        <f t="shared" si="5"/>
        <v>7297.6</v>
      </c>
      <c r="N244" s="50"/>
      <c r="O244" s="225">
        <v>7297.6</v>
      </c>
      <c r="P244" s="108">
        <v>17</v>
      </c>
      <c r="Q244" s="65">
        <v>44479.839999999997</v>
      </c>
      <c r="R244" s="224">
        <v>4</v>
      </c>
      <c r="S244" s="50">
        <f t="shared" si="12"/>
        <v>32281.949999999997</v>
      </c>
      <c r="T244" s="65">
        <v>11573.35</v>
      </c>
      <c r="U244" s="225">
        <v>20708.599999999999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5"/>
        <v>0</v>
      </c>
      <c r="N245" s="43"/>
      <c r="O245" s="41"/>
      <c r="P245" s="113">
        <v>2</v>
      </c>
      <c r="Q245" s="114">
        <v>15252.74</v>
      </c>
      <c r="R245" s="270">
        <v>2</v>
      </c>
      <c r="S245" s="114">
        <v>15252.74</v>
      </c>
      <c r="T245" s="114">
        <v>15252.74</v>
      </c>
      <c r="U245" s="23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429</v>
      </c>
      <c r="C246" s="374" t="s">
        <v>22</v>
      </c>
      <c r="D246" s="374"/>
      <c r="E246" s="374" t="s">
        <v>27</v>
      </c>
      <c r="F246" s="22"/>
      <c r="G246" s="176" t="s">
        <v>24</v>
      </c>
      <c r="H246" s="151"/>
      <c r="I246" s="25"/>
      <c r="J246" s="25"/>
      <c r="K246" s="26"/>
      <c r="L246" s="27"/>
      <c r="M246" s="26">
        <f t="shared" si="5"/>
        <v>0</v>
      </c>
      <c r="N246" s="26"/>
      <c r="O246" s="31"/>
      <c r="P246" s="53">
        <v>1</v>
      </c>
      <c r="Q246" s="30">
        <v>36784.050000000003</v>
      </c>
      <c r="R246" s="27"/>
      <c r="S246" s="26">
        <f t="shared" ref="S246:S272" si="13">T246+U246</f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/>
      <c r="G247" s="229" t="s">
        <v>28</v>
      </c>
      <c r="H247" s="56"/>
      <c r="I247" s="57"/>
      <c r="J247" s="57"/>
      <c r="K247" s="43"/>
      <c r="L247" s="44"/>
      <c r="M247" s="43">
        <f t="shared" si="5"/>
        <v>0</v>
      </c>
      <c r="N247" s="43"/>
      <c r="O247" s="45"/>
      <c r="P247" s="113"/>
      <c r="Q247" s="114"/>
      <c r="R247" s="44"/>
      <c r="S247" s="43">
        <f t="shared" si="13"/>
        <v>0</v>
      </c>
      <c r="T247" s="114"/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188</v>
      </c>
      <c r="C248" s="374" t="s">
        <v>39</v>
      </c>
      <c r="D248" s="374"/>
      <c r="E248" s="374" t="s">
        <v>27</v>
      </c>
      <c r="F248" s="22"/>
      <c r="G248" s="176" t="s">
        <v>24</v>
      </c>
      <c r="H248" s="151">
        <v>1</v>
      </c>
      <c r="I248" s="25"/>
      <c r="J248" s="25"/>
      <c r="K248" s="26"/>
      <c r="L248" s="27"/>
      <c r="M248" s="26">
        <f t="shared" si="5"/>
        <v>0</v>
      </c>
      <c r="N248" s="26"/>
      <c r="O248" s="31"/>
      <c r="P248" s="99"/>
      <c r="Q248" s="26"/>
      <c r="R248" s="27"/>
      <c r="S248" s="26">
        <f t="shared" si="13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20.25" customHeight="1">
      <c r="A249" s="373"/>
      <c r="B249" s="375"/>
      <c r="C249" s="375"/>
      <c r="D249" s="375"/>
      <c r="E249" s="375"/>
      <c r="F249" s="220" t="s">
        <v>344</v>
      </c>
      <c r="G249" s="229" t="s">
        <v>28</v>
      </c>
      <c r="H249" s="56">
        <v>3</v>
      </c>
      <c r="I249" s="57"/>
      <c r="J249" s="57"/>
      <c r="K249" s="43"/>
      <c r="L249" s="44"/>
      <c r="M249" s="43">
        <f t="shared" si="5"/>
        <v>0</v>
      </c>
      <c r="N249" s="43"/>
      <c r="O249" s="45"/>
      <c r="P249" s="113">
        <v>11</v>
      </c>
      <c r="Q249" s="114">
        <v>13054.9</v>
      </c>
      <c r="R249" s="44"/>
      <c r="S249" s="43">
        <f t="shared" si="13"/>
        <v>4050.2</v>
      </c>
      <c r="T249" s="114">
        <v>4050.2</v>
      </c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189</v>
      </c>
      <c r="C250" s="374" t="s">
        <v>39</v>
      </c>
      <c r="D250" s="374" t="s">
        <v>427</v>
      </c>
      <c r="E250" s="374" t="s">
        <v>27</v>
      </c>
      <c r="F250" s="232" t="s">
        <v>428</v>
      </c>
      <c r="G250" s="23" t="s">
        <v>24</v>
      </c>
      <c r="H250" s="24">
        <v>12</v>
      </c>
      <c r="I250" s="62">
        <v>6</v>
      </c>
      <c r="J250" s="62">
        <v>8</v>
      </c>
      <c r="K250" s="30">
        <v>12276.73</v>
      </c>
      <c r="L250" s="27"/>
      <c r="M250" s="26">
        <f t="shared" si="5"/>
        <v>6835.88</v>
      </c>
      <c r="N250" s="26"/>
      <c r="O250" s="241">
        <v>6835.88</v>
      </c>
      <c r="P250" s="29">
        <v>2</v>
      </c>
      <c r="Q250" s="30">
        <v>1870.81</v>
      </c>
      <c r="R250" s="27"/>
      <c r="S250" s="26">
        <f t="shared" si="13"/>
        <v>1870.81</v>
      </c>
      <c r="T250" s="26"/>
      <c r="U250" s="241">
        <v>1870.81</v>
      </c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256</v>
      </c>
      <c r="G251" s="35" t="s">
        <v>28</v>
      </c>
      <c r="H251" s="66">
        <v>3</v>
      </c>
      <c r="I251" s="38"/>
      <c r="J251" s="38"/>
      <c r="K251" s="39"/>
      <c r="L251" s="40"/>
      <c r="M251" s="39">
        <f t="shared" si="5"/>
        <v>0</v>
      </c>
      <c r="N251" s="39"/>
      <c r="O251" s="41"/>
      <c r="P251" s="69"/>
      <c r="Q251" s="39"/>
      <c r="R251" s="40"/>
      <c r="S251" s="39">
        <f t="shared" si="13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190</v>
      </c>
      <c r="C252" s="381" t="s">
        <v>39</v>
      </c>
      <c r="D252" s="381" t="s">
        <v>191</v>
      </c>
      <c r="E252" s="381" t="s">
        <v>27</v>
      </c>
      <c r="F252" s="46"/>
      <c r="G252" s="47" t="s">
        <v>24</v>
      </c>
      <c r="H252" s="98"/>
      <c r="I252" s="49"/>
      <c r="J252" s="49"/>
      <c r="K252" s="50"/>
      <c r="L252" s="51"/>
      <c r="M252" s="50">
        <f t="shared" si="5"/>
        <v>0</v>
      </c>
      <c r="N252" s="50"/>
      <c r="O252" s="31"/>
      <c r="P252" s="123"/>
      <c r="Q252" s="50"/>
      <c r="R252" s="51"/>
      <c r="S252" s="50">
        <f t="shared" si="13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345</v>
      </c>
      <c r="G253" s="35" t="s">
        <v>28</v>
      </c>
      <c r="H253" s="112">
        <v>2</v>
      </c>
      <c r="I253" s="57"/>
      <c r="J253" s="57"/>
      <c r="K253" s="43"/>
      <c r="L253" s="44"/>
      <c r="M253" s="43">
        <f t="shared" si="5"/>
        <v>0</v>
      </c>
      <c r="N253" s="43"/>
      <c r="O253" s="45"/>
      <c r="P253" s="115">
        <v>4</v>
      </c>
      <c r="Q253" s="68">
        <v>5106.7</v>
      </c>
      <c r="R253" s="40"/>
      <c r="S253" s="39">
        <f t="shared" si="13"/>
        <v>6739.58</v>
      </c>
      <c r="T253" s="68">
        <f>3818+2921.58</f>
        <v>6739.58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192</v>
      </c>
      <c r="C254" s="374" t="s">
        <v>22</v>
      </c>
      <c r="D254" s="374"/>
      <c r="E254" s="374" t="s">
        <v>193</v>
      </c>
      <c r="F254" s="204" t="s">
        <v>318</v>
      </c>
      <c r="G254" s="176" t="s">
        <v>24</v>
      </c>
      <c r="H254" s="61">
        <v>5</v>
      </c>
      <c r="I254" s="62">
        <v>5</v>
      </c>
      <c r="J254" s="62">
        <v>5</v>
      </c>
      <c r="K254" s="30">
        <v>6361.1</v>
      </c>
      <c r="L254" s="27"/>
      <c r="M254" s="26">
        <f t="shared" si="5"/>
        <v>0</v>
      </c>
      <c r="N254" s="26"/>
      <c r="O254" s="100"/>
      <c r="P254" s="64">
        <v>19</v>
      </c>
      <c r="Q254" s="65">
        <v>50291.24</v>
      </c>
      <c r="R254" s="224">
        <v>11</v>
      </c>
      <c r="S254" s="50">
        <f t="shared" si="13"/>
        <v>32753.78</v>
      </c>
      <c r="T254" s="65">
        <v>26877.439999999999</v>
      </c>
      <c r="U254" s="225">
        <v>5876.34</v>
      </c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346</v>
      </c>
      <c r="G255" s="229" t="s">
        <v>28</v>
      </c>
      <c r="H255" s="133">
        <v>1</v>
      </c>
      <c r="I255" s="37">
        <v>1</v>
      </c>
      <c r="J255" s="37">
        <v>1</v>
      </c>
      <c r="K255" s="68">
        <v>1728.9</v>
      </c>
      <c r="L255" s="40"/>
      <c r="M255" s="39">
        <f t="shared" si="5"/>
        <v>1728.9</v>
      </c>
      <c r="N255" s="39"/>
      <c r="O255" s="41">
        <f>1728.9</f>
        <v>1728.9</v>
      </c>
      <c r="P255" s="42"/>
      <c r="Q255" s="43"/>
      <c r="R255" s="44"/>
      <c r="S255" s="43">
        <f t="shared" si="13"/>
        <v>0</v>
      </c>
      <c r="T255" s="43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194</v>
      </c>
      <c r="C256" s="377" t="s">
        <v>39</v>
      </c>
      <c r="D256" s="377" t="s">
        <v>319</v>
      </c>
      <c r="E256" s="374" t="s">
        <v>160</v>
      </c>
      <c r="F256" s="232" t="s">
        <v>320</v>
      </c>
      <c r="G256" s="23" t="s">
        <v>24</v>
      </c>
      <c r="H256" s="48">
        <v>5</v>
      </c>
      <c r="I256" s="203">
        <v>3</v>
      </c>
      <c r="J256" s="203">
        <v>3</v>
      </c>
      <c r="K256" s="65">
        <v>2090.2399999999998</v>
      </c>
      <c r="L256" s="128"/>
      <c r="M256" s="129">
        <f t="shared" si="5"/>
        <v>288.14999999999998</v>
      </c>
      <c r="N256" s="50"/>
      <c r="O256" s="225">
        <v>288.14999999999998</v>
      </c>
      <c r="P256" s="29">
        <v>3</v>
      </c>
      <c r="Q256" s="30">
        <v>6107.21</v>
      </c>
      <c r="R256" s="205">
        <v>2</v>
      </c>
      <c r="S256" s="26">
        <f t="shared" si="13"/>
        <v>6107.21</v>
      </c>
      <c r="T256" s="30">
        <v>2951.62</v>
      </c>
      <c r="U256" s="225">
        <v>3155.59</v>
      </c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347</v>
      </c>
      <c r="G257" s="35" t="s">
        <v>28</v>
      </c>
      <c r="H257" s="117">
        <v>1</v>
      </c>
      <c r="I257" s="37"/>
      <c r="J257" s="37"/>
      <c r="K257" s="39"/>
      <c r="L257" s="44"/>
      <c r="M257" s="43">
        <f t="shared" si="5"/>
        <v>0</v>
      </c>
      <c r="N257" s="39"/>
      <c r="O257" s="41"/>
      <c r="P257" s="37">
        <v>5</v>
      </c>
      <c r="Q257" s="37">
        <v>12038.63</v>
      </c>
      <c r="R257" s="40"/>
      <c r="S257" s="39">
        <f t="shared" si="13"/>
        <v>4621.6400000000003</v>
      </c>
      <c r="T257" s="68">
        <f>576.3+4045.34</f>
        <v>4621.6400000000003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195</v>
      </c>
      <c r="C258" s="377" t="s">
        <v>39</v>
      </c>
      <c r="D258" s="377" t="s">
        <v>231</v>
      </c>
      <c r="E258" s="381" t="s">
        <v>27</v>
      </c>
      <c r="F258" s="204" t="s">
        <v>232</v>
      </c>
      <c r="G258" s="47" t="s">
        <v>24</v>
      </c>
      <c r="H258" s="61">
        <v>1</v>
      </c>
      <c r="I258" s="25"/>
      <c r="J258" s="25"/>
      <c r="K258" s="26"/>
      <c r="L258" s="27"/>
      <c r="M258" s="26">
        <f t="shared" si="5"/>
        <v>0</v>
      </c>
      <c r="N258" s="26"/>
      <c r="O258" s="31"/>
      <c r="P258" s="64">
        <v>7</v>
      </c>
      <c r="Q258" s="65">
        <v>46859.35</v>
      </c>
      <c r="R258" s="224">
        <v>4</v>
      </c>
      <c r="S258" s="50">
        <f t="shared" si="13"/>
        <v>46859.35</v>
      </c>
      <c r="T258" s="65">
        <v>38298.17</v>
      </c>
      <c r="U258" s="225">
        <v>8561.18</v>
      </c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260</v>
      </c>
      <c r="G259" s="55" t="s">
        <v>28</v>
      </c>
      <c r="H259" s="178">
        <v>5</v>
      </c>
      <c r="I259" s="130">
        <v>1</v>
      </c>
      <c r="J259" s="130">
        <v>1</v>
      </c>
      <c r="K259" s="114">
        <v>1152.5999999999999</v>
      </c>
      <c r="L259" s="44"/>
      <c r="M259" s="43">
        <f t="shared" si="5"/>
        <v>1728.8999999999999</v>
      </c>
      <c r="N259" s="43">
        <f>1152.6</f>
        <v>1152.5999999999999</v>
      </c>
      <c r="O259" s="222">
        <f>576.3</f>
        <v>576.29999999999995</v>
      </c>
      <c r="P259" s="130">
        <v>5</v>
      </c>
      <c r="Q259" s="130">
        <v>17217.55</v>
      </c>
      <c r="R259" s="44"/>
      <c r="S259" s="43">
        <f t="shared" si="13"/>
        <v>17673.2</v>
      </c>
      <c r="T259" s="114">
        <f>4994.6+12678.6</f>
        <v>17673.2</v>
      </c>
      <c r="U259" s="222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196</v>
      </c>
      <c r="C260" s="381" t="s">
        <v>22</v>
      </c>
      <c r="D260" s="374"/>
      <c r="E260" s="381" t="s">
        <v>27</v>
      </c>
      <c r="F260" s="22"/>
      <c r="G260" s="23" t="s">
        <v>24</v>
      </c>
      <c r="H260" s="119"/>
      <c r="I260" s="25"/>
      <c r="J260" s="25"/>
      <c r="K260" s="26"/>
      <c r="L260" s="27"/>
      <c r="M260" s="26">
        <f t="shared" si="5"/>
        <v>0</v>
      </c>
      <c r="N260" s="26"/>
      <c r="O260" s="28"/>
      <c r="P260" s="120"/>
      <c r="Q260" s="26"/>
      <c r="R260" s="27"/>
      <c r="S260" s="26">
        <f t="shared" si="13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348</v>
      </c>
      <c r="G261" s="35" t="s">
        <v>28</v>
      </c>
      <c r="H261" s="66">
        <v>4</v>
      </c>
      <c r="I261" s="38"/>
      <c r="J261" s="38"/>
      <c r="K261" s="39"/>
      <c r="L261" s="40"/>
      <c r="M261" s="39">
        <f t="shared" si="5"/>
        <v>0</v>
      </c>
      <c r="N261" s="39"/>
      <c r="O261" s="41"/>
      <c r="P261" s="67">
        <v>4</v>
      </c>
      <c r="Q261" s="68">
        <v>11282.42</v>
      </c>
      <c r="R261" s="40"/>
      <c r="S261" s="39">
        <f t="shared" si="13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197</v>
      </c>
      <c r="C262" s="381" t="s">
        <v>39</v>
      </c>
      <c r="D262" s="381" t="s">
        <v>381</v>
      </c>
      <c r="E262" s="381" t="s">
        <v>27</v>
      </c>
      <c r="F262" s="204" t="s">
        <v>382</v>
      </c>
      <c r="G262" s="47" t="s">
        <v>24</v>
      </c>
      <c r="H262" s="98"/>
      <c r="I262" s="49"/>
      <c r="J262" s="49"/>
      <c r="K262" s="50"/>
      <c r="L262" s="51"/>
      <c r="M262" s="50">
        <f t="shared" si="5"/>
        <v>0</v>
      </c>
      <c r="N262" s="50"/>
      <c r="O262" s="31"/>
      <c r="P262" s="108">
        <v>1</v>
      </c>
      <c r="Q262" s="65">
        <v>748.24</v>
      </c>
      <c r="R262" s="224">
        <v>1</v>
      </c>
      <c r="S262" s="50">
        <f t="shared" si="13"/>
        <v>748.24</v>
      </c>
      <c r="T262" s="65">
        <v>748.24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9"/>
      <c r="B263" s="380"/>
      <c r="C263" s="380"/>
      <c r="D263" s="380"/>
      <c r="E263" s="380"/>
      <c r="F263" s="221" t="s">
        <v>349</v>
      </c>
      <c r="G263" s="55" t="s">
        <v>28</v>
      </c>
      <c r="H263" s="153">
        <v>3</v>
      </c>
      <c r="I263" s="130">
        <v>2</v>
      </c>
      <c r="J263" s="130">
        <v>2</v>
      </c>
      <c r="K263" s="114">
        <v>3265.7</v>
      </c>
      <c r="L263" s="44"/>
      <c r="M263" s="43">
        <f t="shared" si="5"/>
        <v>1056.55</v>
      </c>
      <c r="N263" s="43"/>
      <c r="O263" s="41">
        <f>1056.55</f>
        <v>1056.55</v>
      </c>
      <c r="P263" s="103"/>
      <c r="Q263" s="43"/>
      <c r="R263" s="44"/>
      <c r="S263" s="43">
        <f t="shared" si="13"/>
        <v>3765.16</v>
      </c>
      <c r="T263" s="114">
        <f>1440.75+2324.41</f>
        <v>3765.16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198</v>
      </c>
      <c r="C264" s="374" t="s">
        <v>22</v>
      </c>
      <c r="D264" s="374"/>
      <c r="E264" s="374" t="s">
        <v>112</v>
      </c>
      <c r="F264" s="204" t="s">
        <v>383</v>
      </c>
      <c r="G264" s="23" t="s">
        <v>24</v>
      </c>
      <c r="H264" s="48">
        <v>5</v>
      </c>
      <c r="I264" s="62">
        <v>3</v>
      </c>
      <c r="J264" s="62">
        <v>3</v>
      </c>
      <c r="K264" s="30">
        <v>4187.78</v>
      </c>
      <c r="L264" s="27"/>
      <c r="M264" s="26">
        <f t="shared" si="5"/>
        <v>0</v>
      </c>
      <c r="N264" s="26"/>
      <c r="O264" s="31"/>
      <c r="P264" s="53">
        <v>9</v>
      </c>
      <c r="Q264" s="30">
        <v>35504.269999999997</v>
      </c>
      <c r="R264" s="205">
        <v>3</v>
      </c>
      <c r="S264" s="26">
        <f t="shared" si="13"/>
        <v>25614.959999999999</v>
      </c>
      <c r="T264" s="30">
        <v>10703.11</v>
      </c>
      <c r="U264" s="225">
        <v>14911.85</v>
      </c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350</v>
      </c>
      <c r="G265" s="35" t="s">
        <v>28</v>
      </c>
      <c r="H265" s="153">
        <v>1</v>
      </c>
      <c r="I265" s="38"/>
      <c r="J265" s="38"/>
      <c r="K265" s="39"/>
      <c r="L265" s="40"/>
      <c r="M265" s="39">
        <f t="shared" si="5"/>
        <v>0</v>
      </c>
      <c r="N265" s="39"/>
      <c r="O265" s="41"/>
      <c r="P265" s="59"/>
      <c r="Q265" s="39"/>
      <c r="R265" s="40"/>
      <c r="S265" s="39">
        <f t="shared" si="13"/>
        <v>0</v>
      </c>
      <c r="T265" s="39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199</v>
      </c>
      <c r="C266" s="381" t="s">
        <v>22</v>
      </c>
      <c r="D266" s="381"/>
      <c r="E266" s="381" t="s">
        <v>131</v>
      </c>
      <c r="F266" s="46"/>
      <c r="G266" s="23" t="s">
        <v>24</v>
      </c>
      <c r="H266" s="98"/>
      <c r="I266" s="49"/>
      <c r="J266" s="49"/>
      <c r="K266" s="50"/>
      <c r="L266" s="51"/>
      <c r="M266" s="50">
        <f t="shared" si="5"/>
        <v>0</v>
      </c>
      <c r="N266" s="50"/>
      <c r="O266" s="31"/>
      <c r="P266" s="123"/>
      <c r="Q266" s="50"/>
      <c r="R266" s="51"/>
      <c r="S266" s="50">
        <f t="shared" si="13"/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126"/>
      <c r="G267" s="55" t="s">
        <v>25</v>
      </c>
      <c r="H267" s="118"/>
      <c r="I267" s="57"/>
      <c r="J267" s="57"/>
      <c r="K267" s="43"/>
      <c r="L267" s="44"/>
      <c r="M267" s="43">
        <f t="shared" si="5"/>
        <v>0</v>
      </c>
      <c r="N267" s="43"/>
      <c r="O267" s="41"/>
      <c r="P267" s="103"/>
      <c r="Q267" s="43"/>
      <c r="R267" s="44"/>
      <c r="S267" s="43">
        <f t="shared" si="13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200</v>
      </c>
      <c r="C268" s="374" t="s">
        <v>22</v>
      </c>
      <c r="D268" s="374"/>
      <c r="E268" s="374" t="s">
        <v>27</v>
      </c>
      <c r="F268" s="204" t="s">
        <v>384</v>
      </c>
      <c r="G268" s="23" t="s">
        <v>24</v>
      </c>
      <c r="H268" s="61">
        <v>1</v>
      </c>
      <c r="I268" s="25"/>
      <c r="J268" s="25"/>
      <c r="K268" s="26"/>
      <c r="L268" s="27"/>
      <c r="M268" s="26">
        <f t="shared" si="5"/>
        <v>0</v>
      </c>
      <c r="N268" s="26"/>
      <c r="O268" s="31"/>
      <c r="P268" s="29">
        <v>5</v>
      </c>
      <c r="Q268" s="30">
        <v>20287.48</v>
      </c>
      <c r="R268" s="205">
        <v>1</v>
      </c>
      <c r="S268" s="26">
        <f t="shared" si="13"/>
        <v>12991.56</v>
      </c>
      <c r="T268" s="30">
        <v>1911.09</v>
      </c>
      <c r="U268" s="225">
        <v>11080.47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33" t="s">
        <v>351</v>
      </c>
      <c r="G269" s="227" t="s">
        <v>28</v>
      </c>
      <c r="H269" s="207">
        <v>1</v>
      </c>
      <c r="I269" s="208">
        <v>1</v>
      </c>
      <c r="J269" s="208">
        <v>1</v>
      </c>
      <c r="K269" s="209">
        <v>1056.55</v>
      </c>
      <c r="L269" s="210"/>
      <c r="M269" s="211">
        <f t="shared" si="5"/>
        <v>0</v>
      </c>
      <c r="N269" s="211"/>
      <c r="O269" s="212"/>
      <c r="P269" s="284"/>
      <c r="Q269" s="211"/>
      <c r="R269" s="210"/>
      <c r="S269" s="211">
        <f t="shared" si="13"/>
        <v>1921</v>
      </c>
      <c r="T269" s="209">
        <v>1921</v>
      </c>
      <c r="U269" s="212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430</v>
      </c>
      <c r="C270" s="374" t="s">
        <v>39</v>
      </c>
      <c r="D270" s="374" t="s">
        <v>439</v>
      </c>
      <c r="E270" s="374" t="s">
        <v>27</v>
      </c>
      <c r="F270" s="204" t="s">
        <v>440</v>
      </c>
      <c r="G270" s="213" t="s">
        <v>24</v>
      </c>
      <c r="H270" s="61"/>
      <c r="I270" s="62"/>
      <c r="J270" s="62"/>
      <c r="K270" s="30"/>
      <c r="L270" s="27"/>
      <c r="M270" s="26">
        <f t="shared" si="5"/>
        <v>0</v>
      </c>
      <c r="N270" s="26"/>
      <c r="O270" s="241"/>
      <c r="P270" s="214"/>
      <c r="Q270" s="30"/>
      <c r="R270" s="205"/>
      <c r="S270" s="26">
        <f t="shared" si="13"/>
        <v>0</v>
      </c>
      <c r="T270" s="30"/>
      <c r="U270" s="28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0"/>
      <c r="G271" s="215" t="s">
        <v>28</v>
      </c>
      <c r="H271" s="117"/>
      <c r="I271" s="37"/>
      <c r="J271" s="37"/>
      <c r="K271" s="68"/>
      <c r="L271" s="40"/>
      <c r="M271" s="39">
        <f t="shared" si="5"/>
        <v>0</v>
      </c>
      <c r="N271" s="39"/>
      <c r="O271" s="234"/>
      <c r="P271" s="217"/>
      <c r="Q271" s="68"/>
      <c r="R271" s="285"/>
      <c r="S271" s="39">
        <f t="shared" si="13"/>
        <v>0</v>
      </c>
      <c r="T271" s="68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6"/>
      <c r="B272" s="377" t="s">
        <v>201</v>
      </c>
      <c r="C272" s="377" t="s">
        <v>39</v>
      </c>
      <c r="D272" s="377" t="s">
        <v>385</v>
      </c>
      <c r="E272" s="377" t="s">
        <v>386</v>
      </c>
      <c r="F272" s="232" t="s">
        <v>387</v>
      </c>
      <c r="G272" s="95" t="s">
        <v>24</v>
      </c>
      <c r="H272" s="265">
        <v>10</v>
      </c>
      <c r="I272" s="266">
        <v>9</v>
      </c>
      <c r="J272" s="266">
        <v>12</v>
      </c>
      <c r="K272" s="79">
        <v>15909.92</v>
      </c>
      <c r="L272" s="80"/>
      <c r="M272" s="81">
        <f t="shared" si="5"/>
        <v>8145.22</v>
      </c>
      <c r="N272" s="81"/>
      <c r="O272" s="313">
        <v>8145.22</v>
      </c>
      <c r="P272" s="267">
        <v>2</v>
      </c>
      <c r="Q272" s="79">
        <v>4356.83</v>
      </c>
      <c r="R272" s="268">
        <v>2</v>
      </c>
      <c r="S272" s="81">
        <f t="shared" si="13"/>
        <v>4356.83</v>
      </c>
      <c r="T272" s="79">
        <v>4356.83</v>
      </c>
      <c r="U272" s="8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105"/>
      <c r="G273" s="35" t="s">
        <v>25</v>
      </c>
      <c r="H273" s="106"/>
      <c r="I273" s="38"/>
      <c r="J273" s="38"/>
      <c r="K273" s="39"/>
      <c r="L273" s="40"/>
      <c r="M273" s="39">
        <f t="shared" si="5"/>
        <v>0</v>
      </c>
      <c r="N273" s="39"/>
      <c r="O273" s="58"/>
      <c r="P273" s="115">
        <v>2</v>
      </c>
      <c r="Q273" s="68">
        <v>4418.3</v>
      </c>
      <c r="R273" s="285">
        <v>2</v>
      </c>
      <c r="S273" s="68">
        <v>4418.3</v>
      </c>
      <c r="T273" s="68">
        <v>4418.3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202</v>
      </c>
      <c r="C274" s="381" t="s">
        <v>39</v>
      </c>
      <c r="D274" s="377" t="s">
        <v>441</v>
      </c>
      <c r="E274" s="381" t="s">
        <v>27</v>
      </c>
      <c r="F274" s="204" t="s">
        <v>442</v>
      </c>
      <c r="G274" s="47" t="s">
        <v>24</v>
      </c>
      <c r="H274" s="48">
        <v>2</v>
      </c>
      <c r="I274" s="203">
        <v>1</v>
      </c>
      <c r="J274" s="203">
        <v>1</v>
      </c>
      <c r="K274" s="65">
        <v>1690.48</v>
      </c>
      <c r="L274" s="51"/>
      <c r="M274" s="50">
        <f t="shared" si="5"/>
        <v>0</v>
      </c>
      <c r="N274" s="50"/>
      <c r="O274" s="31"/>
      <c r="P274" s="108">
        <v>2</v>
      </c>
      <c r="Q274" s="65">
        <v>4082.51</v>
      </c>
      <c r="R274" s="51"/>
      <c r="S274" s="50">
        <f t="shared" ref="S274:S278" si="14">T274+U274</f>
        <v>1124.17</v>
      </c>
      <c r="T274" s="50"/>
      <c r="U274" s="225">
        <v>1124.17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1" t="s">
        <v>262</v>
      </c>
      <c r="G275" s="55" t="s">
        <v>28</v>
      </c>
      <c r="H275" s="112">
        <v>2</v>
      </c>
      <c r="I275" s="57"/>
      <c r="J275" s="57"/>
      <c r="K275" s="43"/>
      <c r="L275" s="128"/>
      <c r="M275" s="129">
        <f t="shared" si="5"/>
        <v>0</v>
      </c>
      <c r="N275" s="43"/>
      <c r="O275" s="45"/>
      <c r="P275" s="113">
        <v>2</v>
      </c>
      <c r="Q275" s="114">
        <v>8452.4</v>
      </c>
      <c r="R275" s="128"/>
      <c r="S275" s="129">
        <f t="shared" si="14"/>
        <v>4994.6000000000004</v>
      </c>
      <c r="T275" s="114">
        <f>3649.9+1344.7</f>
        <v>4994.6000000000004</v>
      </c>
      <c r="U275" s="4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203</v>
      </c>
      <c r="C276" s="374"/>
      <c r="D276" s="374"/>
      <c r="E276" s="374" t="s">
        <v>27</v>
      </c>
      <c r="F276" s="60"/>
      <c r="G276" s="23" t="s">
        <v>24</v>
      </c>
      <c r="H276" s="104"/>
      <c r="I276" s="25"/>
      <c r="J276" s="25"/>
      <c r="K276" s="26"/>
      <c r="L276" s="27"/>
      <c r="M276" s="26">
        <f t="shared" si="5"/>
        <v>0</v>
      </c>
      <c r="N276" s="26"/>
      <c r="O276" s="28"/>
      <c r="P276" s="120"/>
      <c r="Q276" s="26"/>
      <c r="R276" s="27"/>
      <c r="S276" s="26">
        <f t="shared" si="14"/>
        <v>0</v>
      </c>
      <c r="T276" s="26"/>
      <c r="U276" s="28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28</v>
      </c>
      <c r="H277" s="117"/>
      <c r="I277" s="38"/>
      <c r="J277" s="38"/>
      <c r="K277" s="39"/>
      <c r="L277" s="40"/>
      <c r="M277" s="39">
        <f t="shared" si="5"/>
        <v>0</v>
      </c>
      <c r="N277" s="39"/>
      <c r="O277" s="41"/>
      <c r="P277" s="69"/>
      <c r="Q277" s="39"/>
      <c r="R277" s="40"/>
      <c r="S277" s="39">
        <f t="shared" si="14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204</v>
      </c>
      <c r="C278" s="381" t="s">
        <v>22</v>
      </c>
      <c r="D278" s="381"/>
      <c r="E278" s="381" t="s">
        <v>23</v>
      </c>
      <c r="F278" s="204" t="s">
        <v>431</v>
      </c>
      <c r="G278" s="47" t="s">
        <v>24</v>
      </c>
      <c r="H278" s="48">
        <v>8</v>
      </c>
      <c r="I278" s="203">
        <v>5</v>
      </c>
      <c r="J278" s="203">
        <v>6</v>
      </c>
      <c r="K278" s="65">
        <v>7650.47</v>
      </c>
      <c r="L278" s="51"/>
      <c r="M278" s="50">
        <f t="shared" si="5"/>
        <v>384.2</v>
      </c>
      <c r="N278" s="50"/>
      <c r="O278" s="225">
        <v>384.2</v>
      </c>
      <c r="P278" s="108">
        <v>4</v>
      </c>
      <c r="Q278" s="65">
        <v>3363.11</v>
      </c>
      <c r="R278" s="51"/>
      <c r="S278" s="50">
        <f t="shared" si="14"/>
        <v>3363.11</v>
      </c>
      <c r="T278" s="50"/>
      <c r="U278" s="225">
        <v>3363.11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25</v>
      </c>
      <c r="H279" s="111"/>
      <c r="I279" s="38"/>
      <c r="J279" s="38"/>
      <c r="K279" s="39"/>
      <c r="L279" s="40"/>
      <c r="M279" s="39">
        <f t="shared" si="5"/>
        <v>0</v>
      </c>
      <c r="N279" s="39"/>
      <c r="O279" s="41"/>
      <c r="P279" s="115">
        <v>1</v>
      </c>
      <c r="Q279" s="68">
        <v>2305.1999999999998</v>
      </c>
      <c r="R279" s="285">
        <v>1</v>
      </c>
      <c r="S279" s="68">
        <v>2305.1999999999998</v>
      </c>
      <c r="T279" s="68">
        <v>2305.1999999999998</v>
      </c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179"/>
      <c r="B280" s="180" t="s">
        <v>205</v>
      </c>
      <c r="C280" s="180"/>
      <c r="D280" s="180"/>
      <c r="E280" s="180"/>
      <c r="F280" s="180"/>
      <c r="G280" s="181"/>
      <c r="H280" s="182">
        <f t="shared" ref="H280:U280" si="15">SUM(H9:H279)</f>
        <v>851</v>
      </c>
      <c r="I280" s="183">
        <f t="shared" si="15"/>
        <v>398</v>
      </c>
      <c r="J280" s="183">
        <f t="shared" si="15"/>
        <v>457</v>
      </c>
      <c r="K280" s="184">
        <f t="shared" si="15"/>
        <v>713296.71999999986</v>
      </c>
      <c r="L280" s="185">
        <f t="shared" si="15"/>
        <v>34</v>
      </c>
      <c r="M280" s="184">
        <f t="shared" si="15"/>
        <v>270811.0199999999</v>
      </c>
      <c r="N280" s="184">
        <f t="shared" si="15"/>
        <v>48832.62</v>
      </c>
      <c r="O280" s="186">
        <f t="shared" si="15"/>
        <v>221978.39999999994</v>
      </c>
      <c r="P280" s="187">
        <f t="shared" si="15"/>
        <v>1039</v>
      </c>
      <c r="Q280" s="188">
        <f t="shared" si="15"/>
        <v>3231844.3099999996</v>
      </c>
      <c r="R280" s="185">
        <f t="shared" si="15"/>
        <v>375</v>
      </c>
      <c r="S280" s="188">
        <f t="shared" si="15"/>
        <v>2270685.6100000008</v>
      </c>
      <c r="T280" s="188">
        <f t="shared" si="15"/>
        <v>1314117.3900000004</v>
      </c>
      <c r="U280" s="189">
        <f t="shared" si="15"/>
        <v>956568.22000000009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I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 t="s">
        <v>206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27.75" customHeight="1">
      <c r="A284" s="4"/>
      <c r="B284" s="4"/>
      <c r="C284" s="4"/>
      <c r="D284" s="4"/>
      <c r="E284" s="4"/>
      <c r="F284" s="394"/>
      <c r="G284" s="395" t="s">
        <v>5</v>
      </c>
      <c r="H284" s="396"/>
      <c r="I284" s="396"/>
      <c r="J284" s="396"/>
      <c r="K284" s="396"/>
      <c r="L284" s="396"/>
      <c r="M284" s="396"/>
      <c r="N284" s="397"/>
      <c r="O284" s="395" t="s">
        <v>6</v>
      </c>
      <c r="P284" s="396"/>
      <c r="Q284" s="396"/>
      <c r="R284" s="396"/>
      <c r="S284" s="396"/>
      <c r="T284" s="397"/>
      <c r="U284" s="393" t="s">
        <v>207</v>
      </c>
      <c r="V284" s="393" t="s">
        <v>208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386"/>
      <c r="G285" s="190" t="s">
        <v>13</v>
      </c>
      <c r="H285" s="190" t="s">
        <v>14</v>
      </c>
      <c r="I285" s="190" t="s">
        <v>15</v>
      </c>
      <c r="J285" s="190" t="s">
        <v>16</v>
      </c>
      <c r="K285" s="191" t="s">
        <v>17</v>
      </c>
      <c r="L285" s="190" t="s">
        <v>18</v>
      </c>
      <c r="M285" s="190" t="s">
        <v>19</v>
      </c>
      <c r="N285" s="190" t="s">
        <v>20</v>
      </c>
      <c r="O285" s="190" t="s">
        <v>15</v>
      </c>
      <c r="P285" s="190" t="s">
        <v>16</v>
      </c>
      <c r="Q285" s="191" t="s">
        <v>17</v>
      </c>
      <c r="R285" s="190" t="s">
        <v>18</v>
      </c>
      <c r="S285" s="190" t="s">
        <v>19</v>
      </c>
      <c r="T285" s="190" t="s">
        <v>20</v>
      </c>
      <c r="U285" s="392"/>
      <c r="V285" s="392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24</v>
      </c>
      <c r="G286" s="193">
        <f t="shared" ref="G286:I286" si="16">SUMIF($G$9:$G$279,$F$286,H9:H279)</f>
        <v>587</v>
      </c>
      <c r="H286" s="193">
        <f t="shared" si="16"/>
        <v>334</v>
      </c>
      <c r="I286" s="193">
        <f t="shared" si="16"/>
        <v>393</v>
      </c>
      <c r="J286" s="194">
        <f t="shared" ref="J286:J288" si="17">SUMIF($G$9:$G$279,F286,$K$9:$K$279)</f>
        <v>619820.47999999986</v>
      </c>
      <c r="K286" s="195">
        <f t="shared" ref="K286:K288" si="18">SUMIF($G$9:$G$279,F286,$L$9:$L$279)</f>
        <v>18</v>
      </c>
      <c r="L286" s="194">
        <f t="shared" ref="L286:L288" si="19">SUMIF($G$9:$G$279,F286,$M$9:$M$279)</f>
        <v>216395.61000000002</v>
      </c>
      <c r="M286" s="194">
        <f t="shared" ref="M286:O286" si="20">SUMIF($G$9:$G$279,$F$286,N9:N279)</f>
        <v>19802.73</v>
      </c>
      <c r="N286" s="194">
        <f t="shared" si="20"/>
        <v>196592.88</v>
      </c>
      <c r="O286" s="193">
        <f t="shared" si="20"/>
        <v>869</v>
      </c>
      <c r="P286" s="194">
        <f t="shared" ref="P286:P288" si="21">SUMIF($G$9:$G$279,F286,$Q$9:$Q$279)</f>
        <v>2731567.4899999998</v>
      </c>
      <c r="Q286" s="195">
        <f t="shared" ref="Q286:Q288" si="22">SUMIF($G$9:$G$279,F286,$R$9:$R$279)</f>
        <v>339</v>
      </c>
      <c r="R286" s="194">
        <f t="shared" ref="R286:R288" si="23">SUMIF($G$9:$G$279,F286,$S$9:$S$279)</f>
        <v>1875897.6500000001</v>
      </c>
      <c r="S286" s="194">
        <f t="shared" ref="S286:T286" si="24">SUMIF($G$9:$G$279,$F$286,T9:T279)</f>
        <v>969208.07</v>
      </c>
      <c r="T286" s="194">
        <f t="shared" si="24"/>
        <v>906689.58000000019</v>
      </c>
      <c r="U286" s="194">
        <f t="shared" ref="U286:U288" si="25">S286+M286</f>
        <v>989010.79999999993</v>
      </c>
      <c r="V286" s="196">
        <f t="shared" ref="V286:V288" si="26">J286-M286+P286-S286</f>
        <v>2362377.17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192" t="s">
        <v>28</v>
      </c>
      <c r="G287" s="236">
        <f t="shared" ref="G287:I287" si="27">SUMIF($G$9:$G$279,$F$287,H9:H279)</f>
        <v>221</v>
      </c>
      <c r="H287" s="193">
        <f t="shared" si="27"/>
        <v>49</v>
      </c>
      <c r="I287" s="193">
        <f t="shared" si="27"/>
        <v>49</v>
      </c>
      <c r="J287" s="194">
        <f t="shared" si="17"/>
        <v>73709.149999999994</v>
      </c>
      <c r="K287" s="195">
        <f t="shared" si="18"/>
        <v>1</v>
      </c>
      <c r="L287" s="194">
        <f t="shared" si="19"/>
        <v>34648.32</v>
      </c>
      <c r="M287" s="194">
        <f t="shared" ref="M287:O287" si="28">SUMIF($G$9:$G$279,$F$287,N9:N279)</f>
        <v>9262.8000000000011</v>
      </c>
      <c r="N287" s="194">
        <f t="shared" si="28"/>
        <v>25385.519999999997</v>
      </c>
      <c r="O287" s="193">
        <f t="shared" si="28"/>
        <v>130</v>
      </c>
      <c r="P287" s="194">
        <f t="shared" si="21"/>
        <v>366792.72999999992</v>
      </c>
      <c r="Q287" s="195">
        <f t="shared" si="22"/>
        <v>0</v>
      </c>
      <c r="R287" s="194">
        <f t="shared" si="23"/>
        <v>279828.39</v>
      </c>
      <c r="S287" s="194">
        <f t="shared" ref="S287:T287" si="29">SUMIF($G$9:$G$279,$F$287,T9:T279)</f>
        <v>229949.75000000009</v>
      </c>
      <c r="T287" s="194">
        <f t="shared" si="29"/>
        <v>49878.64</v>
      </c>
      <c r="U287" s="194">
        <f t="shared" si="25"/>
        <v>239212.55000000008</v>
      </c>
      <c r="V287" s="196">
        <f t="shared" si="26"/>
        <v>201289.32999999981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25</v>
      </c>
      <c r="G288" s="193">
        <f t="shared" ref="G288:I288" si="30">SUMIF($G$9:$G$279,$F$288,H9:H279)</f>
        <v>43</v>
      </c>
      <c r="H288" s="193">
        <f t="shared" si="30"/>
        <v>15</v>
      </c>
      <c r="I288" s="193">
        <f t="shared" si="30"/>
        <v>15</v>
      </c>
      <c r="J288" s="194">
        <f t="shared" si="17"/>
        <v>19767.09</v>
      </c>
      <c r="K288" s="195">
        <f t="shared" si="18"/>
        <v>15</v>
      </c>
      <c r="L288" s="194">
        <f t="shared" si="19"/>
        <v>19767.09</v>
      </c>
      <c r="M288" s="194">
        <f t="shared" ref="M288:O288" si="31">SUMIF($G$9:$G$279,$F$288,N9:N279)</f>
        <v>19767.09</v>
      </c>
      <c r="N288" s="194">
        <f t="shared" si="31"/>
        <v>0</v>
      </c>
      <c r="O288" s="193">
        <f t="shared" si="31"/>
        <v>40</v>
      </c>
      <c r="P288" s="194">
        <f t="shared" si="21"/>
        <v>133484.09000000003</v>
      </c>
      <c r="Q288" s="195">
        <f t="shared" si="22"/>
        <v>36</v>
      </c>
      <c r="R288" s="194">
        <f t="shared" si="23"/>
        <v>114959.57000000002</v>
      </c>
      <c r="S288" s="194">
        <f t="shared" ref="S288:T288" si="32">SUMIF($G$9:$G$279,$F$288,T9:T279)</f>
        <v>114959.57000000002</v>
      </c>
      <c r="T288" s="194">
        <f t="shared" si="32"/>
        <v>0</v>
      </c>
      <c r="U288" s="194">
        <f t="shared" si="25"/>
        <v>134726.66000000003</v>
      </c>
      <c r="V288" s="196">
        <f t="shared" si="26"/>
        <v>18524.520000000004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197">
        <f t="shared" ref="G289:V289" si="33">G288+G287+G286</f>
        <v>851</v>
      </c>
      <c r="H289" s="197">
        <f t="shared" si="33"/>
        <v>398</v>
      </c>
      <c r="I289" s="197">
        <f t="shared" si="33"/>
        <v>457</v>
      </c>
      <c r="J289" s="198">
        <f t="shared" si="33"/>
        <v>713296.71999999986</v>
      </c>
      <c r="K289" s="199">
        <f t="shared" si="33"/>
        <v>34</v>
      </c>
      <c r="L289" s="198">
        <f t="shared" si="33"/>
        <v>270811.02</v>
      </c>
      <c r="M289" s="198">
        <f t="shared" si="33"/>
        <v>48832.619999999995</v>
      </c>
      <c r="N289" s="198">
        <f t="shared" si="33"/>
        <v>221978.4</v>
      </c>
      <c r="O289" s="197">
        <f t="shared" si="33"/>
        <v>1039</v>
      </c>
      <c r="P289" s="198">
        <f t="shared" si="33"/>
        <v>3231844.3099999996</v>
      </c>
      <c r="Q289" s="200">
        <f t="shared" si="33"/>
        <v>375</v>
      </c>
      <c r="R289" s="198">
        <f t="shared" si="33"/>
        <v>2270685.6100000003</v>
      </c>
      <c r="S289" s="198">
        <f t="shared" si="33"/>
        <v>1314117.3900000001</v>
      </c>
      <c r="T289" s="198">
        <f t="shared" si="33"/>
        <v>956568.2200000002</v>
      </c>
      <c r="U289" s="198">
        <f t="shared" si="33"/>
        <v>1362950.01</v>
      </c>
      <c r="V289" s="198">
        <f t="shared" si="33"/>
        <v>2582191.0199999996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K290" s="201"/>
      <c r="L290" s="201"/>
      <c r="R290" s="2"/>
    </row>
    <row r="291" spans="1:32" ht="15.75" customHeight="1">
      <c r="K291" s="201"/>
      <c r="L291" s="201"/>
      <c r="R291" s="2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</sheetData>
  <mergeCells count="67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C165:C166"/>
    <mergeCell ref="A167:A168"/>
    <mergeCell ref="B167:B168"/>
    <mergeCell ref="C167:C168"/>
    <mergeCell ref="B169:B170"/>
    <mergeCell ref="C169:C170"/>
    <mergeCell ref="A169:A170"/>
    <mergeCell ref="A171:A172"/>
    <mergeCell ref="B171:B172"/>
    <mergeCell ref="C171:C172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D274:D275"/>
    <mergeCell ref="E274:E275"/>
    <mergeCell ref="A276:A277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B276:B277"/>
    <mergeCell ref="C276:C277"/>
    <mergeCell ref="A278:A279"/>
    <mergeCell ref="B278:B279"/>
    <mergeCell ref="C278:C279"/>
    <mergeCell ref="A272:A273"/>
    <mergeCell ref="A274:A275"/>
    <mergeCell ref="B274:B275"/>
    <mergeCell ref="C274:C275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4:U285"/>
    <mergeCell ref="V284:V285"/>
    <mergeCell ref="D276:D277"/>
    <mergeCell ref="E276:E277"/>
    <mergeCell ref="D278:D279"/>
    <mergeCell ref="E278:E279"/>
    <mergeCell ref="F284:F285"/>
    <mergeCell ref="G284:N284"/>
    <mergeCell ref="O284:T284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2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36"/>
      <c r="I10" s="37"/>
      <c r="J10" s="38"/>
      <c r="K10" s="39"/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46"/>
      <c r="G11" s="47" t="s">
        <v>24</v>
      </c>
      <c r="H11" s="107"/>
      <c r="I11" s="49"/>
      <c r="J11" s="49"/>
      <c r="K11" s="50"/>
      <c r="L11" s="51"/>
      <c r="M11" s="50">
        <f t="shared" si="0"/>
        <v>0</v>
      </c>
      <c r="N11" s="50"/>
      <c r="O11" s="52"/>
      <c r="P11" s="53">
        <v>2</v>
      </c>
      <c r="Q11" s="30">
        <v>38389.050000000003</v>
      </c>
      <c r="R11" s="27"/>
      <c r="S11" s="26">
        <f t="shared" si="1"/>
        <v>0</v>
      </c>
      <c r="T11" s="26"/>
      <c r="U11" s="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54"/>
      <c r="G12" s="55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60"/>
      <c r="G13" s="23" t="s">
        <v>24</v>
      </c>
      <c r="H13" s="61">
        <v>1</v>
      </c>
      <c r="I13" s="62">
        <v>1</v>
      </c>
      <c r="J13" s="62">
        <v>1</v>
      </c>
      <c r="K13" s="30">
        <v>1855.69</v>
      </c>
      <c r="L13" s="27"/>
      <c r="M13" s="26">
        <f t="shared" si="0"/>
        <v>0</v>
      </c>
      <c r="N13" s="26"/>
      <c r="O13" s="63"/>
      <c r="P13" s="64">
        <v>6</v>
      </c>
      <c r="Q13" s="65">
        <v>13737.84</v>
      </c>
      <c r="R13" s="51"/>
      <c r="S13" s="50">
        <f t="shared" si="1"/>
        <v>0</v>
      </c>
      <c r="T13" s="50"/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34"/>
      <c r="G14" s="35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82"/>
      <c r="B15" s="381" t="s">
        <v>31</v>
      </c>
      <c r="C15" s="381" t="s">
        <v>22</v>
      </c>
      <c r="D15" s="381" t="s">
        <v>32</v>
      </c>
      <c r="E15" s="381" t="s">
        <v>27</v>
      </c>
      <c r="F15" s="46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54"/>
      <c r="G16" s="101" t="s">
        <v>28</v>
      </c>
      <c r="H16" s="102"/>
      <c r="I16" s="57"/>
      <c r="J16" s="57"/>
      <c r="K16" s="43"/>
      <c r="L16" s="44"/>
      <c r="M16" s="43">
        <f t="shared" si="0"/>
        <v>0</v>
      </c>
      <c r="N16" s="43"/>
      <c r="O16" s="45"/>
      <c r="P16" s="103"/>
      <c r="Q16" s="43"/>
      <c r="R16" s="44"/>
      <c r="S16" s="43">
        <f t="shared" si="1"/>
        <v>0</v>
      </c>
      <c r="T16" s="43"/>
      <c r="U16" s="45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107"/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22</v>
      </c>
      <c r="D21" s="381" t="s">
        <v>36</v>
      </c>
      <c r="E21" s="381" t="s">
        <v>37</v>
      </c>
      <c r="F21" s="110"/>
      <c r="G21" s="47" t="s">
        <v>24</v>
      </c>
      <c r="H21" s="107"/>
      <c r="I21" s="49"/>
      <c r="J21" s="49"/>
      <c r="K21" s="50"/>
      <c r="L21" s="51"/>
      <c r="M21" s="50">
        <f t="shared" si="0"/>
        <v>0</v>
      </c>
      <c r="N21" s="50"/>
      <c r="O21" s="31"/>
      <c r="P21" s="108">
        <v>1</v>
      </c>
      <c r="Q21" s="65">
        <v>1045.98</v>
      </c>
      <c r="R21" s="51"/>
      <c r="S21" s="50">
        <f t="shared" si="1"/>
        <v>0</v>
      </c>
      <c r="T21" s="50"/>
      <c r="U21" s="31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59"/>
      <c r="Q22" s="39"/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46"/>
      <c r="G23" s="23" t="s">
        <v>24</v>
      </c>
      <c r="H23" s="48">
        <v>1</v>
      </c>
      <c r="I23" s="49"/>
      <c r="J23" s="49"/>
      <c r="K23" s="50"/>
      <c r="L23" s="51"/>
      <c r="M23" s="50">
        <f t="shared" si="0"/>
        <v>0</v>
      </c>
      <c r="N23" s="50"/>
      <c r="O23" s="31"/>
      <c r="P23" s="53">
        <v>3</v>
      </c>
      <c r="Q23" s="30">
        <v>4567.24</v>
      </c>
      <c r="R23" s="27"/>
      <c r="S23" s="26">
        <f t="shared" si="1"/>
        <v>0</v>
      </c>
      <c r="T23" s="26"/>
      <c r="U23" s="100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54"/>
      <c r="G24" s="55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/>
      <c r="D25" s="374"/>
      <c r="E25" s="374"/>
      <c r="F25" s="22"/>
      <c r="G25" s="23" t="s">
        <v>24</v>
      </c>
      <c r="H25" s="104"/>
      <c r="I25" s="25"/>
      <c r="J25" s="25"/>
      <c r="K25" s="25"/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0</v>
      </c>
      <c r="T25" s="26"/>
      <c r="U25" s="31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105"/>
      <c r="G26" s="35" t="s">
        <v>28</v>
      </c>
      <c r="H26" s="106"/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82"/>
      <c r="B27" s="381" t="s">
        <v>44</v>
      </c>
      <c r="C27" s="381" t="s">
        <v>22</v>
      </c>
      <c r="D27" s="381"/>
      <c r="E27" s="381" t="s">
        <v>27</v>
      </c>
      <c r="F27" s="46"/>
      <c r="G27" s="47" t="s">
        <v>24</v>
      </c>
      <c r="H27" s="48">
        <v>2</v>
      </c>
      <c r="I27" s="49"/>
      <c r="J27" s="49"/>
      <c r="K27" s="50"/>
      <c r="L27" s="51"/>
      <c r="M27" s="50">
        <f t="shared" si="0"/>
        <v>0</v>
      </c>
      <c r="N27" s="50"/>
      <c r="O27" s="31"/>
      <c r="P27" s="53">
        <v>5</v>
      </c>
      <c r="Q27" s="30">
        <v>7620.87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54"/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59"/>
      <c r="Q28" s="39"/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54"/>
      <c r="G30" s="55" t="s">
        <v>28</v>
      </c>
      <c r="H30" s="118"/>
      <c r="I30" s="57"/>
      <c r="J30" s="57"/>
      <c r="K30" s="43"/>
      <c r="L30" s="44"/>
      <c r="M30" s="43">
        <f t="shared" si="0"/>
        <v>0</v>
      </c>
      <c r="N30" s="43"/>
      <c r="O30" s="45"/>
      <c r="P30" s="103"/>
      <c r="Q30" s="43"/>
      <c r="R30" s="44"/>
      <c r="S30" s="43">
        <f t="shared" si="1"/>
        <v>0</v>
      </c>
      <c r="T30" s="43"/>
      <c r="U30" s="45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46"/>
      <c r="G33" s="47" t="s">
        <v>24</v>
      </c>
      <c r="H33" s="98"/>
      <c r="I33" s="49"/>
      <c r="J33" s="49"/>
      <c r="K33" s="50"/>
      <c r="L33" s="51"/>
      <c r="M33" s="50">
        <f t="shared" si="0"/>
        <v>0</v>
      </c>
      <c r="N33" s="50"/>
      <c r="O33" s="31"/>
      <c r="P33" s="108">
        <v>8</v>
      </c>
      <c r="Q33" s="65">
        <v>23443.62</v>
      </c>
      <c r="R33" s="51"/>
      <c r="S33" s="50">
        <f t="shared" si="1"/>
        <v>0</v>
      </c>
      <c r="T33" s="50"/>
      <c r="U33" s="31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2"/>
      <c r="I34" s="57"/>
      <c r="J34" s="57"/>
      <c r="K34" s="43"/>
      <c r="L34" s="44"/>
      <c r="M34" s="43">
        <f t="shared" si="0"/>
        <v>0</v>
      </c>
      <c r="N34" s="43"/>
      <c r="O34" s="45"/>
      <c r="P34" s="103"/>
      <c r="Q34" s="43"/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/>
      <c r="D37" s="381"/>
      <c r="E37" s="381"/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2</v>
      </c>
      <c r="Q37" s="65">
        <v>3647.94</v>
      </c>
      <c r="R37" s="51"/>
      <c r="S37" s="50">
        <f t="shared" si="1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34"/>
      <c r="G38" s="35" t="s">
        <v>28</v>
      </c>
      <c r="H38" s="36"/>
      <c r="I38" s="38"/>
      <c r="J38" s="38"/>
      <c r="K38" s="39"/>
      <c r="L38" s="40"/>
      <c r="M38" s="39">
        <f t="shared" si="0"/>
        <v>0</v>
      </c>
      <c r="N38" s="39"/>
      <c r="O38" s="41"/>
      <c r="P38" s="69"/>
      <c r="Q38" s="39"/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57</v>
      </c>
      <c r="E41" s="381" t="s">
        <v>58</v>
      </c>
      <c r="F41" s="46"/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0</v>
      </c>
      <c r="T41" s="26"/>
      <c r="U41" s="100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46"/>
      <c r="G43" s="23" t="s">
        <v>24</v>
      </c>
      <c r="H43" s="107"/>
      <c r="I43" s="49"/>
      <c r="J43" s="49"/>
      <c r="K43" s="50"/>
      <c r="L43" s="51"/>
      <c r="M43" s="50">
        <f t="shared" si="0"/>
        <v>0</v>
      </c>
      <c r="N43" s="50"/>
      <c r="O43" s="52"/>
      <c r="P43" s="53">
        <v>12</v>
      </c>
      <c r="Q43" s="30">
        <v>53218.61</v>
      </c>
      <c r="R43" s="27"/>
      <c r="S43" s="26">
        <f t="shared" si="1"/>
        <v>0</v>
      </c>
      <c r="T43" s="26"/>
      <c r="U43" s="2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119"/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3481.82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36"/>
      <c r="I48" s="38"/>
      <c r="J48" s="38"/>
      <c r="K48" s="39"/>
      <c r="L48" s="40"/>
      <c r="M48" s="39">
        <f t="shared" si="0"/>
        <v>0</v>
      </c>
      <c r="N48" s="39"/>
      <c r="O48" s="41"/>
      <c r="P48" s="59"/>
      <c r="Q48" s="39"/>
      <c r="R48" s="40"/>
      <c r="S48" s="39">
        <f t="shared" si="1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105"/>
      <c r="G50" s="35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82"/>
      <c r="B51" s="381" t="s">
        <v>66</v>
      </c>
      <c r="C51" s="381" t="s">
        <v>22</v>
      </c>
      <c r="D51" s="381"/>
      <c r="E51" s="381" t="s">
        <v>67</v>
      </c>
      <c r="F51" s="46"/>
      <c r="G51" s="23" t="s">
        <v>24</v>
      </c>
      <c r="H51" s="9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9"/>
      <c r="B52" s="380"/>
      <c r="C52" s="380"/>
      <c r="D52" s="380"/>
      <c r="E52" s="380"/>
      <c r="F52" s="126"/>
      <c r="G52" s="55" t="s">
        <v>28</v>
      </c>
      <c r="H52" s="118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68</v>
      </c>
      <c r="C53" s="374"/>
      <c r="D53" s="374" t="s">
        <v>69</v>
      </c>
      <c r="E53" s="374"/>
      <c r="F53" s="22"/>
      <c r="G53" s="23" t="s">
        <v>24</v>
      </c>
      <c r="H53" s="61">
        <v>2</v>
      </c>
      <c r="I53" s="62">
        <v>2</v>
      </c>
      <c r="J53" s="62">
        <v>2</v>
      </c>
      <c r="K53" s="30">
        <v>4712.22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7"/>
      <c r="S53" s="26">
        <f t="shared" si="1"/>
        <v>0</v>
      </c>
      <c r="T53" s="26"/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106"/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71</v>
      </c>
      <c r="E55" s="381" t="s">
        <v>55</v>
      </c>
      <c r="F55" s="46"/>
      <c r="G55" s="47" t="s">
        <v>24</v>
      </c>
      <c r="H55" s="48">
        <v>1</v>
      </c>
      <c r="I55" s="49"/>
      <c r="J55" s="49"/>
      <c r="K55" s="50"/>
      <c r="L55" s="51"/>
      <c r="M55" s="50">
        <f t="shared" si="0"/>
        <v>0</v>
      </c>
      <c r="N55" s="50"/>
      <c r="O55" s="31"/>
      <c r="P55" s="53">
        <v>21</v>
      </c>
      <c r="Q55" s="30">
        <v>40412.06</v>
      </c>
      <c r="R55" s="27"/>
      <c r="S55" s="26">
        <f t="shared" si="1"/>
        <v>0</v>
      </c>
      <c r="T55" s="26"/>
      <c r="U55" s="10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98"/>
      <c r="I57" s="49"/>
      <c r="J57" s="49"/>
      <c r="K57" s="50"/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54"/>
      <c r="G58" s="55" t="s">
        <v>28</v>
      </c>
      <c r="H58" s="102"/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/>
      <c r="D59" s="374"/>
      <c r="E59" s="374" t="s">
        <v>27</v>
      </c>
      <c r="F59" s="22"/>
      <c r="G59" s="23" t="s">
        <v>24</v>
      </c>
      <c r="H59" s="104"/>
      <c r="I59" s="25"/>
      <c r="J59" s="25"/>
      <c r="K59" s="26"/>
      <c r="L59" s="27"/>
      <c r="M59" s="26">
        <f t="shared" si="0"/>
        <v>0</v>
      </c>
      <c r="N59" s="26"/>
      <c r="O59" s="28"/>
      <c r="P59" s="29">
        <v>7</v>
      </c>
      <c r="Q59" s="30">
        <v>13580.02</v>
      </c>
      <c r="R59" s="27"/>
      <c r="S59" s="26">
        <f t="shared" si="1"/>
        <v>0</v>
      </c>
      <c r="T59" s="26"/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35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82"/>
      <c r="B61" s="381" t="s">
        <v>74</v>
      </c>
      <c r="C61" s="381" t="s">
        <v>39</v>
      </c>
      <c r="D61" s="381" t="s">
        <v>75</v>
      </c>
      <c r="E61" s="381" t="s">
        <v>27</v>
      </c>
      <c r="F61" s="46"/>
      <c r="G61" s="47" t="s">
        <v>24</v>
      </c>
      <c r="H61" s="107"/>
      <c r="I61" s="49"/>
      <c r="J61" s="49"/>
      <c r="K61" s="50"/>
      <c r="L61" s="51"/>
      <c r="M61" s="50">
        <f t="shared" si="0"/>
        <v>0</v>
      </c>
      <c r="N61" s="50"/>
      <c r="O61" s="31"/>
      <c r="P61" s="108">
        <v>3</v>
      </c>
      <c r="Q61" s="65">
        <v>4484.32</v>
      </c>
      <c r="R61" s="51"/>
      <c r="S61" s="50">
        <f t="shared" si="1"/>
        <v>0</v>
      </c>
      <c r="T61" s="50"/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54"/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1</v>
      </c>
      <c r="I63" s="25"/>
      <c r="J63" s="25"/>
      <c r="K63" s="26"/>
      <c r="L63" s="27"/>
      <c r="M63" s="26">
        <f t="shared" si="0"/>
        <v>0</v>
      </c>
      <c r="N63" s="26"/>
      <c r="O63" s="31"/>
      <c r="P63" s="29">
        <v>3</v>
      </c>
      <c r="Q63" s="30">
        <v>2561.66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34"/>
      <c r="G64" s="35" t="s">
        <v>28</v>
      </c>
      <c r="H64" s="106"/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49"/>
      <c r="J65" s="49"/>
      <c r="K65" s="50"/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104"/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107"/>
      <c r="I69" s="49"/>
      <c r="J69" s="49"/>
      <c r="K69" s="50"/>
      <c r="L69" s="51"/>
      <c r="M69" s="50">
        <f t="shared" si="0"/>
        <v>0</v>
      </c>
      <c r="N69" s="50"/>
      <c r="O69" s="31"/>
      <c r="P69" s="123"/>
      <c r="Q69" s="50"/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126"/>
      <c r="G70" s="55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/>
      <c r="D71" s="378"/>
      <c r="E71" s="374"/>
      <c r="F71" s="60"/>
      <c r="G71" s="23" t="s">
        <v>24</v>
      </c>
      <c r="H71" s="24">
        <v>2</v>
      </c>
      <c r="I71" s="25"/>
      <c r="J71" s="25"/>
      <c r="K71" s="26"/>
      <c r="L71" s="27"/>
      <c r="M71" s="26">
        <f t="shared" si="0"/>
        <v>0</v>
      </c>
      <c r="N71" s="26"/>
      <c r="O71" s="31"/>
      <c r="P71" s="29">
        <v>10</v>
      </c>
      <c r="Q71" s="30">
        <v>23648.400000000001</v>
      </c>
      <c r="R71" s="27"/>
      <c r="S71" s="26">
        <f t="shared" si="1"/>
        <v>0</v>
      </c>
      <c r="T71" s="26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28</v>
      </c>
      <c r="H72" s="36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82</v>
      </c>
      <c r="C73" s="381" t="s">
        <v>22</v>
      </c>
      <c r="D73" s="385"/>
      <c r="E73" s="381" t="s">
        <v>83</v>
      </c>
      <c r="F73" s="127"/>
      <c r="G73" s="47" t="s">
        <v>24</v>
      </c>
      <c r="H73" s="98"/>
      <c r="I73" s="49"/>
      <c r="J73" s="49"/>
      <c r="K73" s="50"/>
      <c r="L73" s="51"/>
      <c r="M73" s="50">
        <f t="shared" si="0"/>
        <v>0</v>
      </c>
      <c r="N73" s="50"/>
      <c r="O73" s="31"/>
      <c r="P73" s="108">
        <v>1</v>
      </c>
      <c r="Q73" s="65">
        <v>1104.5999999999999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2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126"/>
      <c r="G78" s="55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22</v>
      </c>
      <c r="D79" s="374"/>
      <c r="E79" s="374" t="s">
        <v>23</v>
      </c>
      <c r="F79" s="60"/>
      <c r="G79" s="23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99"/>
      <c r="Q79" s="26"/>
      <c r="R79" s="27"/>
      <c r="S79" s="26">
        <f t="shared" si="1"/>
        <v>0</v>
      </c>
      <c r="T79" s="26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26"/>
      <c r="G80" s="55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2"/>
      <c r="G81" s="23" t="s">
        <v>24</v>
      </c>
      <c r="H81" s="104"/>
      <c r="I81" s="25"/>
      <c r="J81" s="25"/>
      <c r="K81" s="26"/>
      <c r="L81" s="27"/>
      <c r="M81" s="26">
        <f t="shared" si="0"/>
        <v>0</v>
      </c>
      <c r="N81" s="26"/>
      <c r="O81" s="31"/>
      <c r="P81" s="53">
        <v>2</v>
      </c>
      <c r="Q81" s="30">
        <v>5094.8</v>
      </c>
      <c r="R81" s="27"/>
      <c r="S81" s="26">
        <f t="shared" si="1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35" t="s">
        <v>25</v>
      </c>
      <c r="H82" s="117">
        <v>1</v>
      </c>
      <c r="I82" s="38"/>
      <c r="J82" s="38"/>
      <c r="K82" s="39"/>
      <c r="L82" s="40"/>
      <c r="M82" s="39">
        <f t="shared" si="0"/>
        <v>0</v>
      </c>
      <c r="N82" s="39"/>
      <c r="O82" s="41"/>
      <c r="P82" s="59"/>
      <c r="Q82" s="39"/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90</v>
      </c>
      <c r="C83" s="381" t="s">
        <v>39</v>
      </c>
      <c r="D83" s="381" t="s">
        <v>91</v>
      </c>
      <c r="E83" s="381" t="s">
        <v>27</v>
      </c>
      <c r="F83" s="46"/>
      <c r="G83" s="47" t="s">
        <v>24</v>
      </c>
      <c r="H83" s="107"/>
      <c r="I83" s="49"/>
      <c r="J83" s="49"/>
      <c r="K83" s="50"/>
      <c r="L83" s="51"/>
      <c r="M83" s="50">
        <f t="shared" si="0"/>
        <v>0</v>
      </c>
      <c r="N83" s="50"/>
      <c r="O83" s="31"/>
      <c r="P83" s="108">
        <v>1</v>
      </c>
      <c r="Q83" s="65">
        <v>4050.2</v>
      </c>
      <c r="R83" s="51"/>
      <c r="S83" s="50">
        <f t="shared" si="1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75"/>
      <c r="E84" s="380"/>
      <c r="F84" s="54"/>
      <c r="G84" s="55" t="s">
        <v>28</v>
      </c>
      <c r="H84" s="116"/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2"/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3</v>
      </c>
      <c r="Q85" s="30">
        <v>12637.19</v>
      </c>
      <c r="R85" s="27"/>
      <c r="S85" s="26">
        <f t="shared" si="1"/>
        <v>0</v>
      </c>
      <c r="T85" s="26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54"/>
      <c r="G86" s="55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126"/>
      <c r="G88" s="55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2"/>
      <c r="G89" s="23" t="s">
        <v>24</v>
      </c>
      <c r="H89" s="107"/>
      <c r="I89" s="25"/>
      <c r="J89" s="25"/>
      <c r="K89" s="26"/>
      <c r="L89" s="27"/>
      <c r="M89" s="26">
        <f t="shared" si="0"/>
        <v>0</v>
      </c>
      <c r="N89" s="26"/>
      <c r="O89" s="31"/>
      <c r="P89" s="53">
        <v>11</v>
      </c>
      <c r="Q89" s="30">
        <v>22045.33</v>
      </c>
      <c r="R89" s="27"/>
      <c r="S89" s="26">
        <f t="shared" si="1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54"/>
      <c r="G90" s="55" t="s">
        <v>25</v>
      </c>
      <c r="H90" s="102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134"/>
      <c r="G91" s="23" t="s">
        <v>24</v>
      </c>
      <c r="H91" s="119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3</v>
      </c>
      <c r="Q91" s="30">
        <v>5075.07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35"/>
      <c r="G92" s="55" t="s">
        <v>28</v>
      </c>
      <c r="H92" s="121">
        <v>1</v>
      </c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1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98</v>
      </c>
      <c r="C93" s="374" t="s">
        <v>22</v>
      </c>
      <c r="D93" s="374"/>
      <c r="E93" s="374" t="s">
        <v>99</v>
      </c>
      <c r="F93" s="60"/>
      <c r="G93" s="23" t="s">
        <v>24</v>
      </c>
      <c r="H93" s="24">
        <v>1</v>
      </c>
      <c r="I93" s="25"/>
      <c r="J93" s="25"/>
      <c r="K93" s="26"/>
      <c r="L93" s="27"/>
      <c r="M93" s="26">
        <f t="shared" si="0"/>
        <v>0</v>
      </c>
      <c r="N93" s="26"/>
      <c r="O93" s="31"/>
      <c r="P93" s="53">
        <v>7</v>
      </c>
      <c r="Q93" s="30">
        <v>6588.72</v>
      </c>
      <c r="R93" s="27"/>
      <c r="S93" s="26">
        <f t="shared" si="1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34"/>
      <c r="G94" s="35" t="s">
        <v>28</v>
      </c>
      <c r="H94" s="116"/>
      <c r="I94" s="136"/>
      <c r="J94" s="136"/>
      <c r="K94" s="137"/>
      <c r="L94" s="138"/>
      <c r="M94" s="39">
        <f t="shared" si="0"/>
        <v>0</v>
      </c>
      <c r="N94" s="39"/>
      <c r="O94" s="41"/>
      <c r="P94" s="37">
        <v>1</v>
      </c>
      <c r="Q94" s="37">
        <v>2305.1999999999998</v>
      </c>
      <c r="R94" s="40"/>
      <c r="S94" s="39">
        <f t="shared" si="1"/>
        <v>0</v>
      </c>
      <c r="T94" s="39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81" t="s">
        <v>22</v>
      </c>
      <c r="D95" s="381" t="s">
        <v>101</v>
      </c>
      <c r="E95" s="381" t="s">
        <v>27</v>
      </c>
      <c r="F95" s="46"/>
      <c r="G95" s="47" t="s">
        <v>24</v>
      </c>
      <c r="H95" s="98"/>
      <c r="I95" s="139"/>
      <c r="J95" s="139"/>
      <c r="K95" s="50"/>
      <c r="L95" s="51"/>
      <c r="M95" s="50">
        <f t="shared" si="0"/>
        <v>0</v>
      </c>
      <c r="N95" s="50"/>
      <c r="O95" s="31"/>
      <c r="P95" s="108">
        <v>2</v>
      </c>
      <c r="Q95" s="65">
        <v>22972.83</v>
      </c>
      <c r="R95" s="51"/>
      <c r="S95" s="50">
        <f t="shared" si="1"/>
        <v>0</v>
      </c>
      <c r="T95" s="50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16"/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46"/>
      <c r="G97" s="23" t="s">
        <v>24</v>
      </c>
      <c r="H97" s="107"/>
      <c r="I97" s="49"/>
      <c r="J97" s="49"/>
      <c r="K97" s="50"/>
      <c r="L97" s="51"/>
      <c r="M97" s="50">
        <f t="shared" si="0"/>
        <v>0</v>
      </c>
      <c r="N97" s="50"/>
      <c r="O97" s="31"/>
      <c r="P97" s="108">
        <v>3</v>
      </c>
      <c r="Q97" s="65">
        <v>5698.39</v>
      </c>
      <c r="R97" s="51"/>
      <c r="S97" s="50">
        <f t="shared" si="1"/>
        <v>0</v>
      </c>
      <c r="T97" s="50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54"/>
      <c r="G98" s="55" t="s">
        <v>28</v>
      </c>
      <c r="H98" s="111"/>
      <c r="I98" s="57"/>
      <c r="J98" s="57"/>
      <c r="K98" s="43"/>
      <c r="L98" s="128"/>
      <c r="M98" s="50">
        <f t="shared" si="0"/>
        <v>0</v>
      </c>
      <c r="N98" s="43"/>
      <c r="O98" s="41"/>
      <c r="P98" s="103"/>
      <c r="Q98" s="43"/>
      <c r="R98" s="44"/>
      <c r="S98" s="43">
        <f t="shared" si="1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107"/>
      <c r="I99" s="25"/>
      <c r="J99" s="25"/>
      <c r="K99" s="26"/>
      <c r="L99" s="27"/>
      <c r="M99" s="26">
        <f t="shared" si="0"/>
        <v>0</v>
      </c>
      <c r="N99" s="26"/>
      <c r="O99" s="31"/>
      <c r="P99" s="53">
        <v>3</v>
      </c>
      <c r="Q99" s="30">
        <v>2229.92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34"/>
      <c r="G100" s="35" t="s">
        <v>28</v>
      </c>
      <c r="H100" s="116"/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105</v>
      </c>
      <c r="E101" s="381" t="s">
        <v>27</v>
      </c>
      <c r="F101" s="46"/>
      <c r="G101" s="23" t="s">
        <v>24</v>
      </c>
      <c r="H101" s="107"/>
      <c r="I101" s="49"/>
      <c r="J101" s="49"/>
      <c r="K101" s="50"/>
      <c r="L101" s="51"/>
      <c r="M101" s="50">
        <f t="shared" si="0"/>
        <v>0</v>
      </c>
      <c r="N101" s="50"/>
      <c r="O101" s="31"/>
      <c r="P101" s="108">
        <v>5</v>
      </c>
      <c r="Q101" s="65">
        <v>8664.0400000000009</v>
      </c>
      <c r="R101" s="51"/>
      <c r="S101" s="50">
        <f t="shared" si="1"/>
        <v>0</v>
      </c>
      <c r="T101" s="50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107"/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16685.68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54"/>
      <c r="G104" s="55" t="s">
        <v>28</v>
      </c>
      <c r="H104" s="111"/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60"/>
      <c r="G105" s="23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3</v>
      </c>
      <c r="Q105" s="30">
        <v>13843.77</v>
      </c>
      <c r="R105" s="27"/>
      <c r="S105" s="26">
        <f t="shared" si="1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140"/>
      <c r="G106" s="141" t="s">
        <v>28</v>
      </c>
      <c r="H106" s="107"/>
      <c r="I106" s="139"/>
      <c r="J106" s="139"/>
      <c r="K106" s="142"/>
      <c r="L106" s="143"/>
      <c r="M106" s="142">
        <f t="shared" si="0"/>
        <v>0</v>
      </c>
      <c r="N106" s="142"/>
      <c r="O106" s="45"/>
      <c r="P106" s="144"/>
      <c r="Q106" s="142"/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146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2"/>
      <c r="B108" s="381" t="s">
        <v>110</v>
      </c>
      <c r="C108" s="381" t="s">
        <v>22</v>
      </c>
      <c r="D108" s="381"/>
      <c r="E108" s="381" t="s">
        <v>67</v>
      </c>
      <c r="F108" s="127"/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0</v>
      </c>
      <c r="T108" s="50"/>
      <c r="U108" s="3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99"/>
      <c r="Q110" s="26"/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54"/>
      <c r="G111" s="55" t="s">
        <v>28</v>
      </c>
      <c r="H111" s="116"/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22</v>
      </c>
      <c r="D112" s="374" t="s">
        <v>114</v>
      </c>
      <c r="E112" s="374" t="s">
        <v>27</v>
      </c>
      <c r="F112" s="60"/>
      <c r="G112" s="23" t="s">
        <v>24</v>
      </c>
      <c r="H112" s="48">
        <v>1</v>
      </c>
      <c r="I112" s="25"/>
      <c r="J112" s="25"/>
      <c r="K112" s="26"/>
      <c r="L112" s="27"/>
      <c r="M112" s="26">
        <f t="shared" si="0"/>
        <v>0</v>
      </c>
      <c r="N112" s="26"/>
      <c r="O112" s="31"/>
      <c r="P112" s="53">
        <v>5</v>
      </c>
      <c r="Q112" s="30">
        <v>14530.2</v>
      </c>
      <c r="R112" s="27"/>
      <c r="S112" s="26">
        <f t="shared" si="1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54"/>
      <c r="G113" s="55" t="s">
        <v>28</v>
      </c>
      <c r="H113" s="118"/>
      <c r="I113" s="57"/>
      <c r="J113" s="57"/>
      <c r="K113" s="43"/>
      <c r="L113" s="44"/>
      <c r="M113" s="43">
        <f t="shared" si="0"/>
        <v>0</v>
      </c>
      <c r="N113" s="43"/>
      <c r="O113" s="45"/>
      <c r="P113" s="103"/>
      <c r="Q113" s="43"/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46"/>
      <c r="G116" s="47" t="s">
        <v>24</v>
      </c>
      <c r="H116" s="104"/>
      <c r="I116" s="25"/>
      <c r="J116" s="25"/>
      <c r="K116" s="26"/>
      <c r="L116" s="27"/>
      <c r="M116" s="26">
        <f t="shared" si="0"/>
        <v>0</v>
      </c>
      <c r="N116" s="26"/>
      <c r="O116" s="100"/>
      <c r="P116" s="64">
        <v>1</v>
      </c>
      <c r="Q116" s="65">
        <v>2272.3200000000002</v>
      </c>
      <c r="R116" s="51"/>
      <c r="S116" s="50">
        <f t="shared" si="1"/>
        <v>0</v>
      </c>
      <c r="T116" s="50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46"/>
      <c r="G118" s="23" t="s">
        <v>24</v>
      </c>
      <c r="H118" s="48">
        <v>1</v>
      </c>
      <c r="I118" s="49"/>
      <c r="J118" s="49"/>
      <c r="K118" s="50"/>
      <c r="L118" s="51"/>
      <c r="M118" s="50">
        <f t="shared" si="0"/>
        <v>0</v>
      </c>
      <c r="N118" s="50"/>
      <c r="O118" s="31"/>
      <c r="P118" s="108">
        <v>17</v>
      </c>
      <c r="Q118" s="65">
        <v>55454.879999999997</v>
      </c>
      <c r="R118" s="51"/>
      <c r="S118" s="50">
        <f t="shared" si="1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126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22</v>
      </c>
      <c r="D120" s="374"/>
      <c r="E120" s="374" t="s">
        <v>27</v>
      </c>
      <c r="F120" s="150"/>
      <c r="G120" s="23" t="s">
        <v>24</v>
      </c>
      <c r="H120" s="151">
        <v>1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5</v>
      </c>
      <c r="Q120" s="30">
        <v>20346.849999999999</v>
      </c>
      <c r="R120" s="27"/>
      <c r="S120" s="26">
        <f t="shared" si="1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120</v>
      </c>
      <c r="E122" s="374" t="s">
        <v>121</v>
      </c>
      <c r="F122" s="22"/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10</v>
      </c>
      <c r="Q122" s="30">
        <v>11693.04</v>
      </c>
      <c r="R122" s="27"/>
      <c r="S122" s="26">
        <f t="shared" si="1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54"/>
      <c r="G123" s="55" t="s">
        <v>25</v>
      </c>
      <c r="H123" s="111"/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22</v>
      </c>
      <c r="D124" s="374" t="s">
        <v>123</v>
      </c>
      <c r="E124" s="374" t="s">
        <v>55</v>
      </c>
      <c r="F124" s="22"/>
      <c r="G124" s="23" t="s">
        <v>24</v>
      </c>
      <c r="H124" s="107"/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7</v>
      </c>
      <c r="Q124" s="30">
        <v>17418.47</v>
      </c>
      <c r="R124" s="27"/>
      <c r="S124" s="26">
        <f t="shared" si="1"/>
        <v>0</v>
      </c>
      <c r="T124" s="26"/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124</v>
      </c>
      <c r="C126" s="381" t="s">
        <v>39</v>
      </c>
      <c r="D126" s="381" t="s">
        <v>125</v>
      </c>
      <c r="E126" s="381" t="s">
        <v>27</v>
      </c>
      <c r="F126" s="127"/>
      <c r="G126" s="23" t="s">
        <v>24</v>
      </c>
      <c r="H126" s="107"/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25</v>
      </c>
      <c r="Q126" s="65">
        <v>170243.14</v>
      </c>
      <c r="R126" s="51"/>
      <c r="S126" s="50">
        <f t="shared" si="1"/>
        <v>0</v>
      </c>
      <c r="T126" s="50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129"/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152"/>
      <c r="G130" s="35" t="s">
        <v>28</v>
      </c>
      <c r="H130" s="153">
        <v>1</v>
      </c>
      <c r="I130" s="38"/>
      <c r="J130" s="38"/>
      <c r="K130" s="39"/>
      <c r="L130" s="40"/>
      <c r="M130" s="39">
        <f t="shared" si="0"/>
        <v>0</v>
      </c>
      <c r="N130" s="39"/>
      <c r="O130" s="41"/>
      <c r="P130" s="59"/>
      <c r="Q130" s="39"/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107"/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3</v>
      </c>
      <c r="Q131" s="65">
        <v>9508.6200000000008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54"/>
      <c r="G132" s="55" t="s">
        <v>28</v>
      </c>
      <c r="H132" s="111"/>
      <c r="I132" s="38"/>
      <c r="J132" s="38"/>
      <c r="K132" s="39"/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25</v>
      </c>
      <c r="H134" s="111"/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23" t="s">
        <v>24</v>
      </c>
      <c r="H135" s="107"/>
      <c r="I135" s="25"/>
      <c r="J135" s="25"/>
      <c r="K135" s="26"/>
      <c r="L135" s="27"/>
      <c r="M135" s="26">
        <f t="shared" si="0"/>
        <v>0</v>
      </c>
      <c r="N135" s="26"/>
      <c r="O135" s="31"/>
      <c r="P135" s="99"/>
      <c r="Q135" s="26"/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02"/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/>
      <c r="D137" s="374"/>
      <c r="E137" s="374"/>
      <c r="F137" s="22"/>
      <c r="G137" s="23" t="s">
        <v>24</v>
      </c>
      <c r="H137" s="104"/>
      <c r="I137" s="25"/>
      <c r="J137" s="25"/>
      <c r="K137" s="26"/>
      <c r="L137" s="27"/>
      <c r="M137" s="26">
        <f t="shared" si="0"/>
        <v>0</v>
      </c>
      <c r="N137" s="26"/>
      <c r="O137" s="31"/>
      <c r="P137" s="53">
        <v>8</v>
      </c>
      <c r="Q137" s="30">
        <v>18419.52</v>
      </c>
      <c r="R137" s="27"/>
      <c r="S137" s="26">
        <f t="shared" si="1"/>
        <v>0</v>
      </c>
      <c r="T137" s="26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135"/>
      <c r="G138" s="154" t="s">
        <v>28</v>
      </c>
      <c r="H138" s="102"/>
      <c r="I138" s="155"/>
      <c r="J138" s="155"/>
      <c r="K138" s="129"/>
      <c r="L138" s="128"/>
      <c r="M138" s="129">
        <f t="shared" si="0"/>
        <v>0</v>
      </c>
      <c r="N138" s="129"/>
      <c r="O138" s="45"/>
      <c r="P138" s="156"/>
      <c r="Q138" s="129"/>
      <c r="R138" s="128"/>
      <c r="S138" s="129">
        <f t="shared" si="1"/>
        <v>0</v>
      </c>
      <c r="T138" s="129"/>
      <c r="U138" s="45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74"/>
      <c r="F140" s="22"/>
      <c r="G140" s="23" t="s">
        <v>24</v>
      </c>
      <c r="H140" s="61">
        <v>3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2"/>
      <c r="B142" s="381" t="s">
        <v>134</v>
      </c>
      <c r="C142" s="381" t="s">
        <v>39</v>
      </c>
      <c r="D142" s="381" t="s">
        <v>135</v>
      </c>
      <c r="E142" s="381" t="s">
        <v>136</v>
      </c>
      <c r="F142" s="46"/>
      <c r="G142" s="47" t="s">
        <v>24</v>
      </c>
      <c r="H142" s="48">
        <v>1</v>
      </c>
      <c r="I142" s="49"/>
      <c r="J142" s="49"/>
      <c r="K142" s="50"/>
      <c r="L142" s="51"/>
      <c r="M142" s="50">
        <f t="shared" si="0"/>
        <v>0</v>
      </c>
      <c r="N142" s="50"/>
      <c r="O142" s="31"/>
      <c r="P142" s="108">
        <v>2</v>
      </c>
      <c r="Q142" s="65">
        <v>3694.33</v>
      </c>
      <c r="R142" s="51"/>
      <c r="S142" s="50">
        <f t="shared" si="1"/>
        <v>0</v>
      </c>
      <c r="T142" s="50"/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140"/>
      <c r="G143" s="141" t="s">
        <v>28</v>
      </c>
      <c r="H143" s="151">
        <v>1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44"/>
      <c r="Q143" s="142"/>
      <c r="R143" s="51"/>
      <c r="S143" s="50">
        <f t="shared" si="1"/>
        <v>0</v>
      </c>
      <c r="T143" s="142"/>
      <c r="U143" s="4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54"/>
      <c r="G144" s="55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4"/>
      <c r="D145" s="374"/>
      <c r="E145" s="374"/>
      <c r="F145" s="22"/>
      <c r="G145" s="23" t="s">
        <v>24</v>
      </c>
      <c r="H145" s="119"/>
      <c r="I145" s="25"/>
      <c r="J145" s="25"/>
      <c r="K145" s="26"/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0</v>
      </c>
      <c r="T145" s="26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35" t="s">
        <v>28</v>
      </c>
      <c r="H146" s="66">
        <v>1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59"/>
      <c r="Q146" s="39"/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2"/>
      <c r="B147" s="381" t="s">
        <v>138</v>
      </c>
      <c r="C147" s="381" t="s">
        <v>22</v>
      </c>
      <c r="D147" s="381"/>
      <c r="E147" s="381" t="s">
        <v>27</v>
      </c>
      <c r="F147" s="46"/>
      <c r="G147" s="47" t="s">
        <v>24</v>
      </c>
      <c r="H147" s="98"/>
      <c r="I147" s="49"/>
      <c r="J147" s="49"/>
      <c r="K147" s="50"/>
      <c r="L147" s="51"/>
      <c r="M147" s="50">
        <f t="shared" si="0"/>
        <v>0</v>
      </c>
      <c r="N147" s="50"/>
      <c r="O147" s="31"/>
      <c r="P147" s="108">
        <v>7</v>
      </c>
      <c r="Q147" s="65">
        <v>11686.89</v>
      </c>
      <c r="R147" s="51"/>
      <c r="S147" s="50">
        <f t="shared" si="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9"/>
      <c r="B148" s="380"/>
      <c r="C148" s="380"/>
      <c r="D148" s="380"/>
      <c r="E148" s="380"/>
      <c r="F148" s="54"/>
      <c r="G148" s="55" t="s">
        <v>28</v>
      </c>
      <c r="H148" s="13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03"/>
      <c r="Q148" s="43"/>
      <c r="R148" s="44"/>
      <c r="S148" s="43">
        <f t="shared" si="1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2"/>
      <c r="G149" s="23" t="s">
        <v>24</v>
      </c>
      <c r="H149" s="151">
        <v>1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4</v>
      </c>
      <c r="Q149" s="30">
        <v>9342.81</v>
      </c>
      <c r="R149" s="27"/>
      <c r="S149" s="26">
        <f t="shared" si="1"/>
        <v>0</v>
      </c>
      <c r="T149" s="26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54"/>
      <c r="G150" s="55" t="s">
        <v>28</v>
      </c>
      <c r="H150" s="102"/>
      <c r="I150" s="57"/>
      <c r="J150" s="57"/>
      <c r="K150" s="43"/>
      <c r="L150" s="44"/>
      <c r="M150" s="43">
        <f t="shared" si="0"/>
        <v>0</v>
      </c>
      <c r="N150" s="43"/>
      <c r="O150" s="45"/>
      <c r="P150" s="103"/>
      <c r="Q150" s="43"/>
      <c r="R150" s="44"/>
      <c r="S150" s="43">
        <f t="shared" si="1"/>
        <v>0</v>
      </c>
      <c r="T150" s="43"/>
      <c r="U150" s="4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19717.96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35" t="s">
        <v>28</v>
      </c>
      <c r="H152" s="36"/>
      <c r="I152" s="38"/>
      <c r="J152" s="38"/>
      <c r="K152" s="39"/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119"/>
      <c r="I155" s="25"/>
      <c r="J155" s="25"/>
      <c r="K155" s="26"/>
      <c r="L155" s="27"/>
      <c r="M155" s="26">
        <f t="shared" si="0"/>
        <v>0</v>
      </c>
      <c r="N155" s="26"/>
      <c r="O155" s="28"/>
      <c r="P155" s="99"/>
      <c r="Q155" s="26"/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144</v>
      </c>
      <c r="E157" s="381" t="s">
        <v>145</v>
      </c>
      <c r="F157" s="46"/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8</v>
      </c>
      <c r="Q157" s="65">
        <v>27662.38</v>
      </c>
      <c r="R157" s="51"/>
      <c r="S157" s="50">
        <f t="shared" si="1"/>
        <v>0</v>
      </c>
      <c r="T157" s="50"/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54"/>
      <c r="G158" s="55" t="s">
        <v>28</v>
      </c>
      <c r="H158" s="116"/>
      <c r="I158" s="57"/>
      <c r="J158" s="57"/>
      <c r="K158" s="43"/>
      <c r="L158" s="128"/>
      <c r="M158" s="50">
        <f t="shared" si="0"/>
        <v>0</v>
      </c>
      <c r="N158" s="43"/>
      <c r="O158" s="41"/>
      <c r="P158" s="103"/>
      <c r="Q158" s="43"/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147</v>
      </c>
      <c r="E159" s="374" t="s">
        <v>27</v>
      </c>
      <c r="F159" s="22"/>
      <c r="G159" s="23" t="s">
        <v>24</v>
      </c>
      <c r="H159" s="107"/>
      <c r="I159" s="25"/>
      <c r="J159" s="25"/>
      <c r="K159" s="26"/>
      <c r="L159" s="27"/>
      <c r="M159" s="26">
        <f t="shared" si="0"/>
        <v>0</v>
      </c>
      <c r="N159" s="26"/>
      <c r="O159" s="31"/>
      <c r="P159" s="53">
        <v>3</v>
      </c>
      <c r="Q159" s="30">
        <v>7527.38</v>
      </c>
      <c r="R159" s="27"/>
      <c r="S159" s="26">
        <f t="shared" si="1"/>
        <v>0</v>
      </c>
      <c r="T159" s="26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1"/>
      <c r="I160" s="57"/>
      <c r="J160" s="57"/>
      <c r="K160" s="43"/>
      <c r="L160" s="44"/>
      <c r="M160" s="43">
        <f t="shared" si="0"/>
        <v>0</v>
      </c>
      <c r="N160" s="43"/>
      <c r="O160" s="41"/>
      <c r="P160" s="59"/>
      <c r="Q160" s="39"/>
      <c r="R160" s="40"/>
      <c r="S160" s="39">
        <f t="shared" si="1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2"/>
      <c r="G161" s="23" t="s">
        <v>24</v>
      </c>
      <c r="H161" s="48">
        <v>1</v>
      </c>
      <c r="I161" s="25"/>
      <c r="J161" s="60"/>
      <c r="K161" s="26"/>
      <c r="L161" s="27"/>
      <c r="M161" s="26">
        <f t="shared" si="0"/>
        <v>0</v>
      </c>
      <c r="N161" s="26"/>
      <c r="O161" s="31"/>
      <c r="P161" s="108">
        <v>7</v>
      </c>
      <c r="Q161" s="65">
        <v>22932.53</v>
      </c>
      <c r="R161" s="51"/>
      <c r="S161" s="50">
        <f t="shared" si="1"/>
        <v>0</v>
      </c>
      <c r="T161" s="50"/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34"/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9"/>
      <c r="Q164" s="39"/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81" t="s">
        <v>22</v>
      </c>
      <c r="D165" s="381" t="s">
        <v>154</v>
      </c>
      <c r="E165" s="381" t="s">
        <v>27</v>
      </c>
      <c r="F165" s="46"/>
      <c r="G165" s="47" t="s">
        <v>24</v>
      </c>
      <c r="H165" s="107"/>
      <c r="I165" s="49"/>
      <c r="J165" s="49"/>
      <c r="K165" s="166"/>
      <c r="L165" s="167"/>
      <c r="M165" s="166">
        <f t="shared" si="0"/>
        <v>0</v>
      </c>
      <c r="N165" s="166"/>
      <c r="O165" s="31"/>
      <c r="P165" s="108">
        <v>4</v>
      </c>
      <c r="Q165" s="65">
        <v>15452.64</v>
      </c>
      <c r="R165" s="51"/>
      <c r="S165" s="50">
        <f t="shared" si="1"/>
        <v>0</v>
      </c>
      <c r="T165" s="50"/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46"/>
      <c r="G167" s="23" t="s">
        <v>24</v>
      </c>
      <c r="H167" s="107"/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1</v>
      </c>
      <c r="Q167" s="30">
        <v>3759.09</v>
      </c>
      <c r="R167" s="27"/>
      <c r="S167" s="26">
        <f t="shared" si="1"/>
        <v>0</v>
      </c>
      <c r="T167" s="26"/>
      <c r="U167" s="3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158</v>
      </c>
      <c r="C173" s="391"/>
      <c r="D173" s="381"/>
      <c r="E173" s="381"/>
      <c r="F173" s="46"/>
      <c r="G173" s="47" t="s">
        <v>24</v>
      </c>
      <c r="H173" s="107"/>
      <c r="I173" s="49"/>
      <c r="J173" s="49"/>
      <c r="K173" s="50"/>
      <c r="L173" s="51"/>
      <c r="M173" s="50">
        <f t="shared" si="0"/>
        <v>0</v>
      </c>
      <c r="N173" s="50"/>
      <c r="O173" s="31"/>
      <c r="P173" s="108">
        <v>3</v>
      </c>
      <c r="Q173" s="65">
        <v>4741.03</v>
      </c>
      <c r="R173" s="51"/>
      <c r="S173" s="50">
        <f t="shared" si="1"/>
        <v>0</v>
      </c>
      <c r="T173" s="50"/>
      <c r="U173" s="3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105"/>
      <c r="G174" s="35" t="s">
        <v>28</v>
      </c>
      <c r="H174" s="106"/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159</v>
      </c>
      <c r="C175" s="381" t="s">
        <v>22</v>
      </c>
      <c r="D175" s="381"/>
      <c r="E175" s="381" t="s">
        <v>160</v>
      </c>
      <c r="F175" s="46"/>
      <c r="G175" s="47" t="s">
        <v>24</v>
      </c>
      <c r="H175" s="107"/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10</v>
      </c>
      <c r="Q175" s="65">
        <v>13795.27</v>
      </c>
      <c r="R175" s="51"/>
      <c r="S175" s="50">
        <f t="shared" si="1"/>
        <v>0</v>
      </c>
      <c r="T175" s="50"/>
      <c r="U175" s="3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02"/>
      <c r="I176" s="57"/>
      <c r="J176" s="57"/>
      <c r="K176" s="43"/>
      <c r="L176" s="128"/>
      <c r="M176" s="50">
        <f t="shared" si="0"/>
        <v>0</v>
      </c>
      <c r="N176" s="43"/>
      <c r="O176" s="41"/>
      <c r="P176" s="103"/>
      <c r="Q176" s="43"/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119"/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36"/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03"/>
      <c r="Q181" s="43"/>
      <c r="R181" s="44"/>
      <c r="S181" s="43">
        <f t="shared" si="1"/>
        <v>0</v>
      </c>
      <c r="T181" s="43"/>
      <c r="U181" s="4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54"/>
      <c r="G183" s="55" t="s">
        <v>28</v>
      </c>
      <c r="H183" s="118"/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1</v>
      </c>
      <c r="Q183" s="114">
        <v>1056.55</v>
      </c>
      <c r="R183" s="44"/>
      <c r="S183" s="43">
        <f t="shared" si="1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23"/>
      <c r="Q186" s="50"/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119"/>
      <c r="I188" s="25"/>
      <c r="J188" s="25"/>
      <c r="K188" s="26"/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173"/>
      <c r="G189" s="35" t="s">
        <v>28</v>
      </c>
      <c r="H189" s="36"/>
      <c r="I189" s="37"/>
      <c r="J189" s="37"/>
      <c r="K189" s="39"/>
      <c r="L189" s="40"/>
      <c r="M189" s="39">
        <f t="shared" si="0"/>
        <v>0</v>
      </c>
      <c r="N189" s="39"/>
      <c r="O189" s="58"/>
      <c r="P189" s="174">
        <v>1</v>
      </c>
      <c r="Q189" s="175">
        <v>1152.5999999999999</v>
      </c>
      <c r="R189" s="40"/>
      <c r="S189" s="39">
        <f t="shared" si="1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169</v>
      </c>
      <c r="C190" s="381" t="s">
        <v>22</v>
      </c>
      <c r="D190" s="381"/>
      <c r="E190" s="381" t="s">
        <v>27</v>
      </c>
      <c r="F190" s="46"/>
      <c r="G190" s="47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1"/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2"/>
      <c r="G192" s="23" t="s">
        <v>24</v>
      </c>
      <c r="H192" s="107"/>
      <c r="I192" s="25"/>
      <c r="J192" s="25"/>
      <c r="K192" s="26"/>
      <c r="L192" s="27"/>
      <c r="M192" s="26">
        <f t="shared" si="0"/>
        <v>0</v>
      </c>
      <c r="N192" s="26"/>
      <c r="O192" s="31"/>
      <c r="P192" s="53">
        <v>11</v>
      </c>
      <c r="Q192" s="30">
        <v>29205.8</v>
      </c>
      <c r="R192" s="27"/>
      <c r="S192" s="26">
        <f t="shared" si="1"/>
        <v>0</v>
      </c>
      <c r="T192" s="26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171</v>
      </c>
      <c r="C194" s="381" t="s">
        <v>22</v>
      </c>
      <c r="D194" s="381"/>
      <c r="E194" s="381" t="s">
        <v>27</v>
      </c>
      <c r="F194" s="46"/>
      <c r="G194" s="23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4</v>
      </c>
      <c r="Q194" s="65">
        <v>15550.04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54"/>
      <c r="G195" s="55" t="s">
        <v>28</v>
      </c>
      <c r="H195" s="116"/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4" t="s">
        <v>22</v>
      </c>
      <c r="D196" s="374"/>
      <c r="E196" s="374" t="s">
        <v>121</v>
      </c>
      <c r="F196" s="22"/>
      <c r="G196" s="23" t="s">
        <v>24</v>
      </c>
      <c r="H196" s="107"/>
      <c r="I196" s="25"/>
      <c r="J196" s="25"/>
      <c r="K196" s="26"/>
      <c r="L196" s="27"/>
      <c r="M196" s="26">
        <f t="shared" si="0"/>
        <v>0</v>
      </c>
      <c r="N196" s="26"/>
      <c r="O196" s="31"/>
      <c r="P196" s="53">
        <v>20</v>
      </c>
      <c r="Q196" s="30">
        <v>29001.87</v>
      </c>
      <c r="R196" s="27"/>
      <c r="S196" s="26">
        <f t="shared" si="1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/>
      <c r="E198" s="25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8"/>
      <c r="F199" s="34"/>
      <c r="G199" s="35" t="s">
        <v>25</v>
      </c>
      <c r="H199" s="106"/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174</v>
      </c>
      <c r="C200" s="381" t="s">
        <v>39</v>
      </c>
      <c r="D200" s="381" t="s">
        <v>175</v>
      </c>
      <c r="E200" s="381" t="s">
        <v>176</v>
      </c>
      <c r="F200" s="46"/>
      <c r="G200" s="47" t="s">
        <v>24</v>
      </c>
      <c r="H200" s="107"/>
      <c r="I200" s="49"/>
      <c r="J200" s="49"/>
      <c r="K200" s="50"/>
      <c r="L200" s="51"/>
      <c r="M200" s="50">
        <f t="shared" si="0"/>
        <v>0</v>
      </c>
      <c r="N200" s="50"/>
      <c r="O200" s="31"/>
      <c r="P200" s="108">
        <v>7</v>
      </c>
      <c r="Q200" s="65">
        <v>29316.959999999999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03"/>
      <c r="Q201" s="43"/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74" t="s">
        <v>22</v>
      </c>
      <c r="D202" s="374"/>
      <c r="E202" s="374" t="s">
        <v>27</v>
      </c>
      <c r="F202" s="22"/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7</v>
      </c>
      <c r="Q202" s="30">
        <v>19117.28</v>
      </c>
      <c r="R202" s="27"/>
      <c r="S202" s="26">
        <f t="shared" si="1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104"/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104"/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46"/>
      <c r="G208" s="47" t="s">
        <v>24</v>
      </c>
      <c r="H208" s="48">
        <v>1</v>
      </c>
      <c r="I208" s="49"/>
      <c r="J208" s="49"/>
      <c r="K208" s="50"/>
      <c r="L208" s="51"/>
      <c r="M208" s="50">
        <f t="shared" si="0"/>
        <v>0</v>
      </c>
      <c r="N208" s="50"/>
      <c r="O208" s="31"/>
      <c r="P208" s="108">
        <v>9</v>
      </c>
      <c r="Q208" s="65">
        <v>31034.59</v>
      </c>
      <c r="R208" s="51"/>
      <c r="S208" s="50">
        <f t="shared" si="1"/>
        <v>0</v>
      </c>
      <c r="T208" s="50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03"/>
      <c r="Q209" s="43"/>
      <c r="R209" s="44"/>
      <c r="S209" s="43">
        <f t="shared" si="1"/>
        <v>0</v>
      </c>
      <c r="T209" s="43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2</v>
      </c>
      <c r="I210" s="25"/>
      <c r="J210" s="25"/>
      <c r="K210" s="26"/>
      <c r="L210" s="27"/>
      <c r="M210" s="26">
        <f t="shared" si="0"/>
        <v>0</v>
      </c>
      <c r="N210" s="26"/>
      <c r="O210" s="31"/>
      <c r="P210" s="53">
        <v>3</v>
      </c>
      <c r="Q210" s="30">
        <v>18152.009999999998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107"/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54"/>
      <c r="G213" s="55" t="s">
        <v>28</v>
      </c>
      <c r="H213" s="116"/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54"/>
      <c r="G215" s="55" t="s">
        <v>28</v>
      </c>
      <c r="H215" s="111"/>
      <c r="I215" s="57"/>
      <c r="J215" s="57"/>
      <c r="K215" s="43"/>
      <c r="L215" s="44"/>
      <c r="M215" s="43">
        <f t="shared" si="0"/>
        <v>0</v>
      </c>
      <c r="N215" s="43"/>
      <c r="O215" s="41"/>
      <c r="P215" s="103"/>
      <c r="Q215" s="43"/>
      <c r="R215" s="44"/>
      <c r="S215" s="43">
        <f t="shared" si="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2"/>
      <c r="G216" s="23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03"/>
      <c r="Q217" s="43"/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60"/>
      <c r="G218" s="23" t="s">
        <v>24</v>
      </c>
      <c r="H218" s="107"/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10828.63</v>
      </c>
      <c r="R218" s="27"/>
      <c r="S218" s="26">
        <f t="shared" si="1"/>
        <v>0</v>
      </c>
      <c r="T218" s="26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35" t="s">
        <v>28</v>
      </c>
      <c r="H219" s="111"/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46"/>
      <c r="G220" s="23" t="s">
        <v>24</v>
      </c>
      <c r="H220" s="107"/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6</v>
      </c>
      <c r="Q220" s="65">
        <v>16079.31</v>
      </c>
      <c r="R220" s="51"/>
      <c r="S220" s="50">
        <f t="shared" si="1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54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0</v>
      </c>
      <c r="T223" s="43"/>
      <c r="U223" s="45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119"/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105"/>
      <c r="G225" s="35" t="s">
        <v>28</v>
      </c>
      <c r="H225" s="36"/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4"/>
      <c r="G227" s="35" t="s">
        <v>28</v>
      </c>
      <c r="H227" s="102"/>
      <c r="I227" s="57"/>
      <c r="J227" s="57"/>
      <c r="K227" s="43"/>
      <c r="L227" s="44"/>
      <c r="M227" s="43">
        <f t="shared" si="0"/>
        <v>0</v>
      </c>
      <c r="N227" s="43"/>
      <c r="O227" s="45"/>
      <c r="P227" s="59"/>
      <c r="Q227" s="39"/>
      <c r="R227" s="40"/>
      <c r="S227" s="39">
        <f t="shared" si="1"/>
        <v>0</v>
      </c>
      <c r="T227" s="39"/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192</v>
      </c>
      <c r="C228" s="381" t="s">
        <v>22</v>
      </c>
      <c r="D228" s="381"/>
      <c r="E228" s="381" t="s">
        <v>193</v>
      </c>
      <c r="F228" s="46"/>
      <c r="G228" s="23" t="s">
        <v>24</v>
      </c>
      <c r="H228" s="104"/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10</v>
      </c>
      <c r="Q228" s="65">
        <v>17890.599999999999</v>
      </c>
      <c r="R228" s="51"/>
      <c r="S228" s="50">
        <f t="shared" si="1"/>
        <v>0</v>
      </c>
      <c r="T228" s="50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4" t="s">
        <v>22</v>
      </c>
      <c r="D230" s="374"/>
      <c r="E230" s="374" t="s">
        <v>160</v>
      </c>
      <c r="F230" s="22"/>
      <c r="G230" s="23" t="s">
        <v>24</v>
      </c>
      <c r="H230" s="107"/>
      <c r="I230" s="49"/>
      <c r="J230" s="49"/>
      <c r="K230" s="50"/>
      <c r="L230" s="128"/>
      <c r="M230" s="129">
        <f t="shared" si="0"/>
        <v>0</v>
      </c>
      <c r="N230" s="50"/>
      <c r="O230" s="31"/>
      <c r="P230" s="29">
        <v>4</v>
      </c>
      <c r="Q230" s="30">
        <v>6785.32</v>
      </c>
      <c r="R230" s="27"/>
      <c r="S230" s="26">
        <f t="shared" si="1"/>
        <v>0</v>
      </c>
      <c r="T230" s="26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34"/>
      <c r="G231" s="35" t="s">
        <v>28</v>
      </c>
      <c r="H231" s="106"/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81" t="s">
        <v>22</v>
      </c>
      <c r="D232" s="381"/>
      <c r="E232" s="381" t="s">
        <v>27</v>
      </c>
      <c r="F232" s="46"/>
      <c r="G232" s="47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4</v>
      </c>
      <c r="Q232" s="65">
        <v>42230.46</v>
      </c>
      <c r="R232" s="51"/>
      <c r="S232" s="50">
        <f t="shared" si="1"/>
        <v>0</v>
      </c>
      <c r="T232" s="50"/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54"/>
      <c r="G233" s="55" t="s">
        <v>28</v>
      </c>
      <c r="H233" s="178">
        <v>1</v>
      </c>
      <c r="I233" s="130"/>
      <c r="J233" s="130"/>
      <c r="K233" s="43"/>
      <c r="L233" s="44"/>
      <c r="M233" s="43">
        <f t="shared" si="0"/>
        <v>0</v>
      </c>
      <c r="N233" s="43"/>
      <c r="O233" s="45"/>
      <c r="P233" s="130">
        <v>1</v>
      </c>
      <c r="Q233" s="130">
        <v>1056.55</v>
      </c>
      <c r="R233" s="44"/>
      <c r="S233" s="43">
        <f t="shared" si="1"/>
        <v>0</v>
      </c>
      <c r="T233" s="43"/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34"/>
      <c r="G235" s="35" t="s">
        <v>28</v>
      </c>
      <c r="H235" s="36"/>
      <c r="I235" s="38"/>
      <c r="J235" s="38"/>
      <c r="K235" s="39"/>
      <c r="L235" s="40"/>
      <c r="M235" s="39">
        <f t="shared" si="0"/>
        <v>0</v>
      </c>
      <c r="N235" s="39"/>
      <c r="O235" s="41"/>
      <c r="P235" s="69"/>
      <c r="Q235" s="39"/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23"/>
      <c r="Q236" s="50"/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54"/>
      <c r="G237" s="55" t="s">
        <v>28</v>
      </c>
      <c r="H237" s="111"/>
      <c r="I237" s="57"/>
      <c r="J237" s="57"/>
      <c r="K237" s="43"/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107"/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4</v>
      </c>
      <c r="Q238" s="30">
        <v>13493.49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34"/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1</v>
      </c>
      <c r="Q242" s="30">
        <v>1911.09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54"/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0</v>
      </c>
      <c r="T243" s="43"/>
      <c r="U243" s="45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59"/>
      <c r="Q245" s="39"/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107"/>
      <c r="I246" s="49"/>
      <c r="J246" s="49"/>
      <c r="K246" s="50"/>
      <c r="L246" s="51"/>
      <c r="M246" s="50">
        <f t="shared" si="0"/>
        <v>0</v>
      </c>
      <c r="N246" s="50"/>
      <c r="O246" s="31"/>
      <c r="P246" s="123"/>
      <c r="Q246" s="50"/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54"/>
      <c r="G247" s="55" t="s">
        <v>28</v>
      </c>
      <c r="H247" s="102"/>
      <c r="I247" s="57"/>
      <c r="J247" s="57"/>
      <c r="K247" s="43"/>
      <c r="L247" s="128"/>
      <c r="M247" s="129">
        <f t="shared" si="0"/>
        <v>0</v>
      </c>
      <c r="N247" s="43"/>
      <c r="O247" s="45"/>
      <c r="P247" s="103"/>
      <c r="Q247" s="43"/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06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1</v>
      </c>
      <c r="I250" s="49"/>
      <c r="J250" s="49"/>
      <c r="K250" s="50"/>
      <c r="L250" s="51"/>
      <c r="M250" s="50">
        <f t="shared" si="0"/>
        <v>0</v>
      </c>
      <c r="N250" s="50"/>
      <c r="O250" s="31"/>
      <c r="P250" s="123"/>
      <c r="Q250" s="50"/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41</v>
      </c>
      <c r="I252" s="183">
        <f t="shared" si="2"/>
        <v>3</v>
      </c>
      <c r="J252" s="183">
        <f t="shared" si="2"/>
        <v>3</v>
      </c>
      <c r="K252" s="184">
        <f t="shared" si="2"/>
        <v>6567.91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426</v>
      </c>
      <c r="Q252" s="188">
        <f t="shared" si="2"/>
        <v>1257305.5300000005</v>
      </c>
      <c r="R252" s="185">
        <f t="shared" si="2"/>
        <v>0</v>
      </c>
      <c r="S252" s="188">
        <f t="shared" si="2"/>
        <v>0</v>
      </c>
      <c r="T252" s="188">
        <f t="shared" si="2"/>
        <v>0</v>
      </c>
      <c r="U252" s="189">
        <f t="shared" si="2"/>
        <v>0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30</v>
      </c>
      <c r="H258" s="193">
        <f t="shared" si="3"/>
        <v>3</v>
      </c>
      <c r="I258" s="193">
        <f t="shared" si="3"/>
        <v>3</v>
      </c>
      <c r="J258" s="194">
        <f t="shared" ref="J258:J260" si="4">SUMIF($G$9:$G$251,F258,$K$9:$K$251)</f>
        <v>6567.91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416</v>
      </c>
      <c r="P258" s="194">
        <f t="shared" ref="P258:P260" si="8">SUMIF($G$9:$G$251,F258,$Q$9:$Q$251)</f>
        <v>1228339.4800000004</v>
      </c>
      <c r="Q258" s="195">
        <f t="shared" ref="Q258:Q260" si="9">SUMIF($G$9:$G$251,F258,$R$9:$R$251)</f>
        <v>0</v>
      </c>
      <c r="R258" s="194">
        <f t="shared" ref="R258:R260" si="10">SUMIF($G$9:$G$251,F258,$S$9:$S$251)</f>
        <v>0</v>
      </c>
      <c r="S258" s="194">
        <f t="shared" ref="S258:T258" si="11">SUMIF($G$9:$G$251,$F$258,T9:T251)</f>
        <v>0</v>
      </c>
      <c r="T258" s="194">
        <f t="shared" si="11"/>
        <v>0</v>
      </c>
      <c r="U258" s="194">
        <f t="shared" ref="U258:U260" si="12">S258+M258</f>
        <v>0</v>
      </c>
      <c r="V258" s="196">
        <f t="shared" ref="V258:V260" si="13">J258-M258+P258-S258</f>
        <v>1234907.3900000004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193">
        <f t="shared" ref="G259:I259" si="14">SUMIF($G$9:$G$251,$F$259,H9:H251)</f>
        <v>10</v>
      </c>
      <c r="H259" s="193">
        <f t="shared" si="14"/>
        <v>0</v>
      </c>
      <c r="I259" s="193">
        <f t="shared" si="14"/>
        <v>0</v>
      </c>
      <c r="J259" s="194">
        <f t="shared" si="4"/>
        <v>0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9</v>
      </c>
      <c r="P259" s="194">
        <f t="shared" si="8"/>
        <v>28677.899999999998</v>
      </c>
      <c r="Q259" s="195">
        <f t="shared" si="9"/>
        <v>0</v>
      </c>
      <c r="R259" s="194">
        <f t="shared" si="10"/>
        <v>0</v>
      </c>
      <c r="S259" s="194">
        <f t="shared" ref="S259:T259" si="16">SUMIF($G$9:$G$251,$F$259,T9:T251)</f>
        <v>0</v>
      </c>
      <c r="T259" s="194">
        <f t="shared" si="16"/>
        <v>0</v>
      </c>
      <c r="U259" s="194">
        <f t="shared" si="12"/>
        <v>0</v>
      </c>
      <c r="V259" s="196">
        <f t="shared" si="13"/>
        <v>28677.899999999998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1</v>
      </c>
      <c r="H260" s="193">
        <f t="shared" si="17"/>
        <v>0</v>
      </c>
      <c r="I260" s="193">
        <f t="shared" si="17"/>
        <v>0</v>
      </c>
      <c r="J260" s="194">
        <f t="shared" si="4"/>
        <v>0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1</v>
      </c>
      <c r="P260" s="194">
        <f t="shared" si="8"/>
        <v>288.14999999999998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288.14999999999998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41</v>
      </c>
      <c r="H261" s="197">
        <f t="shared" si="20"/>
        <v>3</v>
      </c>
      <c r="I261" s="197">
        <f t="shared" si="20"/>
        <v>3</v>
      </c>
      <c r="J261" s="198">
        <f t="shared" si="20"/>
        <v>6567.91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426</v>
      </c>
      <c r="P261" s="198">
        <f t="shared" si="20"/>
        <v>1257305.5300000005</v>
      </c>
      <c r="Q261" s="200">
        <f t="shared" si="20"/>
        <v>0</v>
      </c>
      <c r="R261" s="198">
        <f t="shared" si="20"/>
        <v>0</v>
      </c>
      <c r="S261" s="198">
        <f t="shared" si="20"/>
        <v>0</v>
      </c>
      <c r="T261" s="198">
        <f t="shared" si="20"/>
        <v>0</v>
      </c>
      <c r="U261" s="198">
        <f t="shared" si="20"/>
        <v>0</v>
      </c>
      <c r="V261" s="198">
        <f t="shared" si="20"/>
        <v>1263873.4400000004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2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8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2</v>
      </c>
      <c r="J9" s="62">
        <v>2</v>
      </c>
      <c r="K9" s="62">
        <v>4367.01</v>
      </c>
      <c r="L9" s="27"/>
      <c r="M9" s="26">
        <f t="shared" ref="M9:M31" si="0">N9+O9</f>
        <v>0</v>
      </c>
      <c r="N9" s="26"/>
      <c r="O9" s="28"/>
      <c r="P9" s="29">
        <v>14</v>
      </c>
      <c r="Q9" s="30">
        <v>40163.040000000001</v>
      </c>
      <c r="R9" s="205">
        <v>5</v>
      </c>
      <c r="S9" s="26">
        <f t="shared" ref="S9:S31" si="1">T9+U9</f>
        <v>11294.810000000001</v>
      </c>
      <c r="T9" s="30">
        <v>7969.55</v>
      </c>
      <c r="U9" s="225">
        <v>3325.26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6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9</v>
      </c>
      <c r="I11" s="203">
        <v>7</v>
      </c>
      <c r="J11" s="203">
        <v>8</v>
      </c>
      <c r="K11" s="65">
        <v>16836.45</v>
      </c>
      <c r="L11" s="51"/>
      <c r="M11" s="50">
        <f t="shared" si="0"/>
        <v>0</v>
      </c>
      <c r="N11" s="50"/>
      <c r="O11" s="52"/>
      <c r="P11" s="53">
        <v>11</v>
      </c>
      <c r="Q11" s="30">
        <v>77623.600000000006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9</v>
      </c>
      <c r="I13" s="62">
        <v>7</v>
      </c>
      <c r="J13" s="62">
        <v>12</v>
      </c>
      <c r="K13" s="30">
        <v>30978.39</v>
      </c>
      <c r="L13" s="205">
        <v>4</v>
      </c>
      <c r="M13" s="26">
        <f t="shared" si="0"/>
        <v>11503.800000000001</v>
      </c>
      <c r="N13" s="30">
        <v>8982.8700000000008</v>
      </c>
      <c r="O13" s="299">
        <v>2520.9299999999998</v>
      </c>
      <c r="P13" s="64">
        <v>15</v>
      </c>
      <c r="Q13" s="65">
        <v>68385.73</v>
      </c>
      <c r="R13" s="224">
        <v>11</v>
      </c>
      <c r="S13" s="50">
        <f t="shared" si="1"/>
        <v>52910.82</v>
      </c>
      <c r="T13" s="65">
        <v>32231.02</v>
      </c>
      <c r="U13" s="225">
        <v>20679.8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6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10</v>
      </c>
      <c r="Q17" s="30">
        <v>23125.88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6</v>
      </c>
      <c r="I19" s="266">
        <v>2</v>
      </c>
      <c r="J19" s="266">
        <v>3</v>
      </c>
      <c r="K19" s="79">
        <v>3431.39</v>
      </c>
      <c r="L19" s="268">
        <v>1</v>
      </c>
      <c r="M19" s="81">
        <f t="shared" si="0"/>
        <v>633.92999999999995</v>
      </c>
      <c r="N19" s="81"/>
      <c r="O19" s="269">
        <v>633.92999999999995</v>
      </c>
      <c r="P19" s="267">
        <v>10</v>
      </c>
      <c r="Q19" s="79">
        <v>21035.62</v>
      </c>
      <c r="R19" s="268">
        <v>5</v>
      </c>
      <c r="S19" s="81">
        <f t="shared" si="1"/>
        <v>7296.52</v>
      </c>
      <c r="T19" s="79">
        <v>1045.98</v>
      </c>
      <c r="U19" s="269">
        <v>6250.54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7</v>
      </c>
      <c r="I21" s="203">
        <v>5</v>
      </c>
      <c r="J21" s="203">
        <v>10</v>
      </c>
      <c r="K21" s="65">
        <v>16224.89</v>
      </c>
      <c r="L21" s="224">
        <v>4</v>
      </c>
      <c r="M21" s="50">
        <f t="shared" si="0"/>
        <v>4057.17</v>
      </c>
      <c r="N21" s="65">
        <v>4057.17</v>
      </c>
      <c r="O21" s="225"/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4454.6099999999997</v>
      </c>
      <c r="L23" s="27"/>
      <c r="M23" s="26">
        <f t="shared" si="0"/>
        <v>2554.9299999999998</v>
      </c>
      <c r="N23" s="26"/>
      <c r="O23" s="225">
        <v>2554.9299999999998</v>
      </c>
      <c r="P23" s="53">
        <v>6</v>
      </c>
      <c r="Q23" s="30">
        <v>6346.45</v>
      </c>
      <c r="R23" s="205">
        <v>1</v>
      </c>
      <c r="S23" s="26">
        <f t="shared" si="1"/>
        <v>4222.78</v>
      </c>
      <c r="T23" s="30">
        <v>1979.72</v>
      </c>
      <c r="U23" s="225">
        <v>2243.06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40"/>
      <c r="S24" s="39">
        <f t="shared" si="1"/>
        <v>1921</v>
      </c>
      <c r="T24" s="39">
        <f>1921</f>
        <v>1921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15</v>
      </c>
      <c r="K25" s="65">
        <v>26674.51</v>
      </c>
      <c r="L25" s="224">
        <v>5</v>
      </c>
      <c r="M25" s="50">
        <f t="shared" si="0"/>
        <v>14144.25</v>
      </c>
      <c r="N25" s="65">
        <v>6428.44</v>
      </c>
      <c r="O25" s="225">
        <v>7715.81</v>
      </c>
      <c r="P25" s="53">
        <v>13</v>
      </c>
      <c r="Q25" s="30">
        <v>20738.62</v>
      </c>
      <c r="R25" s="205">
        <v>8</v>
      </c>
      <c r="S25" s="26">
        <f t="shared" si="1"/>
        <v>16636.439999999999</v>
      </c>
      <c r="T25" s="30">
        <v>12316.99</v>
      </c>
      <c r="U25" s="243">
        <v>4319.45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285">
        <v>4</v>
      </c>
      <c r="S26" s="39">
        <f t="shared" si="1"/>
        <v>16672.2</v>
      </c>
      <c r="T26" s="68">
        <f>4302+3533.6+960.5+7876.1</f>
        <v>16672.2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1</v>
      </c>
      <c r="S27" s="26">
        <f t="shared" si="1"/>
        <v>13138.099999999999</v>
      </c>
      <c r="T27" s="30">
        <v>2497.3000000000002</v>
      </c>
      <c r="U27" s="243">
        <v>10640.8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3</v>
      </c>
      <c r="Q28" s="114">
        <v>8452.4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5</v>
      </c>
      <c r="I31" s="203">
        <v>2</v>
      </c>
      <c r="J31" s="203">
        <v>2</v>
      </c>
      <c r="K31" s="65">
        <v>2091.96</v>
      </c>
      <c r="L31" s="51"/>
      <c r="M31" s="50">
        <f t="shared" si="0"/>
        <v>2091.96</v>
      </c>
      <c r="N31" s="50"/>
      <c r="O31" s="225">
        <v>2091.96</v>
      </c>
      <c r="P31" s="108">
        <v>9</v>
      </c>
      <c r="Q31" s="65">
        <v>26163.18</v>
      </c>
      <c r="R31" s="224">
        <v>7</v>
      </c>
      <c r="S31" s="50">
        <f t="shared" si="1"/>
        <v>26163.18</v>
      </c>
      <c r="T31" s="65">
        <v>19258.7</v>
      </c>
      <c r="U31" s="225">
        <v>6904.48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4</v>
      </c>
      <c r="J32" s="130">
        <v>4</v>
      </c>
      <c r="K32" s="114">
        <v>11526</v>
      </c>
      <c r="L32" s="270">
        <v>3</v>
      </c>
      <c r="M32" s="114">
        <v>6147.2</v>
      </c>
      <c r="N32" s="114">
        <v>6147.2</v>
      </c>
      <c r="O32" s="222"/>
      <c r="P32" s="113">
        <v>5</v>
      </c>
      <c r="Q32" s="114">
        <v>13543.05</v>
      </c>
      <c r="R32" s="270">
        <v>4</v>
      </c>
      <c r="S32" s="114">
        <v>8548.4500000000007</v>
      </c>
      <c r="T32" s="114">
        <v>8548.4500000000007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4</v>
      </c>
      <c r="I35" s="203">
        <v>3</v>
      </c>
      <c r="J35" s="203">
        <v>3</v>
      </c>
      <c r="K35" s="65">
        <v>1796.46</v>
      </c>
      <c r="L35" s="51"/>
      <c r="M35" s="50">
        <f t="shared" si="2"/>
        <v>0</v>
      </c>
      <c r="N35" s="50"/>
      <c r="O35" s="31"/>
      <c r="P35" s="64">
        <v>4</v>
      </c>
      <c r="Q35" s="65">
        <v>14213.44</v>
      </c>
      <c r="R35" s="290">
        <v>3</v>
      </c>
      <c r="S35" s="50">
        <f t="shared" si="3"/>
        <v>8719.3799999999992</v>
      </c>
      <c r="T35" s="65">
        <v>3647.94</v>
      </c>
      <c r="U35" s="225">
        <v>5071.4399999999996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2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9</v>
      </c>
      <c r="I43" s="266">
        <v>7</v>
      </c>
      <c r="J43" s="266">
        <v>7</v>
      </c>
      <c r="K43" s="79">
        <v>8433.7800000000007</v>
      </c>
      <c r="L43" s="80"/>
      <c r="M43" s="81">
        <f t="shared" si="2"/>
        <v>1537</v>
      </c>
      <c r="N43" s="81"/>
      <c r="O43" s="314">
        <v>1537</v>
      </c>
      <c r="P43" s="53">
        <v>20</v>
      </c>
      <c r="Q43" s="30">
        <v>79577.89</v>
      </c>
      <c r="R43" s="205">
        <v>12</v>
      </c>
      <c r="S43" s="26">
        <f t="shared" si="3"/>
        <v>79577.89</v>
      </c>
      <c r="T43" s="30">
        <v>53218.61</v>
      </c>
      <c r="U43" s="241">
        <v>26359.279999999999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6</v>
      </c>
      <c r="I45" s="62">
        <v>1</v>
      </c>
      <c r="J45" s="62">
        <v>1</v>
      </c>
      <c r="K45" s="30">
        <v>631.82000000000005</v>
      </c>
      <c r="L45" s="27"/>
      <c r="M45" s="26">
        <f t="shared" si="2"/>
        <v>0</v>
      </c>
      <c r="N45" s="26"/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5</v>
      </c>
      <c r="I46" s="261"/>
      <c r="J46" s="261"/>
      <c r="K46" s="211"/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7"/>
      <c r="M53" s="26">
        <f t="shared" si="2"/>
        <v>0</v>
      </c>
      <c r="N53" s="26"/>
      <c r="O53" s="31"/>
      <c r="P53" s="108">
        <v>3</v>
      </c>
      <c r="Q53" s="65">
        <v>9057.6299999999992</v>
      </c>
      <c r="R53" s="224">
        <v>2</v>
      </c>
      <c r="S53" s="50">
        <f t="shared" si="3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8</v>
      </c>
      <c r="S54" s="39">
        <f t="shared" si="3"/>
        <v>16424.599999999999</v>
      </c>
      <c r="T54" s="68">
        <f>2209.2+576.3+13639.1</f>
        <v>16424.599999999999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3</v>
      </c>
      <c r="J55" s="203">
        <v>3</v>
      </c>
      <c r="K55" s="65">
        <v>3998.34</v>
      </c>
      <c r="L55" s="51"/>
      <c r="M55" s="50">
        <f t="shared" si="2"/>
        <v>0</v>
      </c>
      <c r="N55" s="50"/>
      <c r="O55" s="31"/>
      <c r="P55" s="53">
        <v>3</v>
      </c>
      <c r="Q55" s="30">
        <v>9783.23</v>
      </c>
      <c r="R55" s="205">
        <v>1</v>
      </c>
      <c r="S55" s="26">
        <f t="shared" si="3"/>
        <v>5899.35</v>
      </c>
      <c r="T55" s="30">
        <v>1854.88</v>
      </c>
      <c r="U55" s="243">
        <v>4044.47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14217.9</v>
      </c>
      <c r="L57" s="205">
        <v>5</v>
      </c>
      <c r="M57" s="26">
        <f t="shared" si="2"/>
        <v>10625.63</v>
      </c>
      <c r="N57" s="26"/>
      <c r="O57" s="225">
        <v>10625.63</v>
      </c>
      <c r="P57" s="53">
        <v>6</v>
      </c>
      <c r="Q57" s="30">
        <v>45189.01</v>
      </c>
      <c r="R57" s="205">
        <v>4</v>
      </c>
      <c r="S57" s="26">
        <f t="shared" si="3"/>
        <v>45189.009999999995</v>
      </c>
      <c r="T57" s="30">
        <v>1997.49</v>
      </c>
      <c r="U57" s="225">
        <v>43191.519999999997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3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12</v>
      </c>
      <c r="I59" s="203">
        <v>10</v>
      </c>
      <c r="J59" s="203">
        <v>11</v>
      </c>
      <c r="K59" s="65">
        <v>13748.69</v>
      </c>
      <c r="L59" s="51"/>
      <c r="M59" s="50">
        <f t="shared" si="2"/>
        <v>3534.63</v>
      </c>
      <c r="N59" s="50"/>
      <c r="O59" s="225">
        <v>3534.63</v>
      </c>
      <c r="P59" s="53">
        <v>34</v>
      </c>
      <c r="Q59" s="30">
        <v>80148.39</v>
      </c>
      <c r="R59" s="205">
        <v>20</v>
      </c>
      <c r="S59" s="26">
        <f t="shared" si="3"/>
        <v>69874.789999999994</v>
      </c>
      <c r="T59" s="30">
        <v>39611.06</v>
      </c>
      <c r="U59" s="243">
        <v>30263.73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5</v>
      </c>
      <c r="I61" s="62">
        <v>2</v>
      </c>
      <c r="J61" s="62">
        <v>2</v>
      </c>
      <c r="K61" s="30">
        <v>3714.93</v>
      </c>
      <c r="L61" s="27"/>
      <c r="M61" s="26">
        <f t="shared" si="2"/>
        <v>0</v>
      </c>
      <c r="N61" s="26"/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3</v>
      </c>
      <c r="I63" s="62">
        <v>1</v>
      </c>
      <c r="J63" s="62">
        <v>1</v>
      </c>
      <c r="K63" s="30">
        <v>2531.11</v>
      </c>
      <c r="L63" s="27"/>
      <c r="M63" s="26">
        <f t="shared" si="2"/>
        <v>0</v>
      </c>
      <c r="N63" s="26"/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576.29999999999995</v>
      </c>
      <c r="L65" s="80"/>
      <c r="M65" s="81">
        <f t="shared" si="2"/>
        <v>0</v>
      </c>
      <c r="N65" s="81"/>
      <c r="O65" s="219"/>
      <c r="P65" s="267">
        <v>4</v>
      </c>
      <c r="Q65" s="79">
        <v>5093.67</v>
      </c>
      <c r="R65" s="268">
        <v>2</v>
      </c>
      <c r="S65" s="81">
        <f t="shared" si="3"/>
        <v>3104.71</v>
      </c>
      <c r="T65" s="79">
        <v>3104.71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2"/>
        <v>0</v>
      </c>
      <c r="N66" s="43"/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4</v>
      </c>
      <c r="I67" s="62">
        <v>2</v>
      </c>
      <c r="J67" s="62">
        <v>2</v>
      </c>
      <c r="K67" s="30">
        <v>4562.99</v>
      </c>
      <c r="L67" s="27"/>
      <c r="M67" s="26">
        <f t="shared" si="2"/>
        <v>0</v>
      </c>
      <c r="N67" s="26"/>
      <c r="O67" s="28"/>
      <c r="P67" s="29">
        <v>8</v>
      </c>
      <c r="Q67" s="30">
        <v>15651.3</v>
      </c>
      <c r="R67" s="205">
        <v>7</v>
      </c>
      <c r="S67" s="26">
        <f t="shared" si="3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18</v>
      </c>
      <c r="Q69" s="65">
        <v>59443.27</v>
      </c>
      <c r="R69" s="224">
        <v>5</v>
      </c>
      <c r="S69" s="50">
        <f t="shared" si="3"/>
        <v>44267.369999999995</v>
      </c>
      <c r="T69" s="65">
        <v>19918.689999999999</v>
      </c>
      <c r="U69" s="225">
        <v>24348.68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2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44"/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8</v>
      </c>
      <c r="I71" s="62">
        <v>2</v>
      </c>
      <c r="J71" s="62">
        <v>3</v>
      </c>
      <c r="K71" s="30">
        <v>6129.52</v>
      </c>
      <c r="L71" s="205">
        <v>2</v>
      </c>
      <c r="M71" s="26">
        <f t="shared" si="2"/>
        <v>6129.52</v>
      </c>
      <c r="N71" s="30">
        <v>2309.04</v>
      </c>
      <c r="O71" s="225">
        <v>3820.48</v>
      </c>
      <c r="P71" s="29">
        <v>4</v>
      </c>
      <c r="Q71" s="30">
        <v>2984.28</v>
      </c>
      <c r="R71" s="205">
        <v>3</v>
      </c>
      <c r="S71" s="26">
        <f t="shared" si="3"/>
        <v>2984.2799999999997</v>
      </c>
      <c r="T71" s="30">
        <v>2681.72</v>
      </c>
      <c r="U71" s="225">
        <v>302.56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62">
        <v>3</v>
      </c>
      <c r="J75" s="62">
        <v>3</v>
      </c>
      <c r="K75" s="30">
        <v>3685.15</v>
      </c>
      <c r="L75" s="27"/>
      <c r="M75" s="26">
        <f t="shared" si="2"/>
        <v>0</v>
      </c>
      <c r="N75" s="26"/>
      <c r="O75" s="31"/>
      <c r="P75" s="53">
        <v>1</v>
      </c>
      <c r="Q75" s="30">
        <v>1505.87</v>
      </c>
      <c r="R75" s="27"/>
      <c r="S75" s="26">
        <f t="shared" si="3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5</v>
      </c>
      <c r="J77" s="203">
        <v>6</v>
      </c>
      <c r="K77" s="114">
        <v>8554.2099999999991</v>
      </c>
      <c r="L77" s="51"/>
      <c r="M77" s="50">
        <f t="shared" ref="M77:M93" si="4">N77+O77</f>
        <v>3878.5</v>
      </c>
      <c r="N77" s="50"/>
      <c r="O77" s="225">
        <v>3878.5</v>
      </c>
      <c r="P77" s="108">
        <v>9</v>
      </c>
      <c r="Q77" s="65">
        <v>35662.49</v>
      </c>
      <c r="R77" s="224">
        <v>4</v>
      </c>
      <c r="S77" s="50">
        <f t="shared" si="3"/>
        <v>19829.79</v>
      </c>
      <c r="T77" s="65">
        <v>16789.810000000001</v>
      </c>
      <c r="U77" s="225">
        <v>3039.98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25</v>
      </c>
      <c r="I79" s="62">
        <v>19</v>
      </c>
      <c r="J79" s="62">
        <v>29</v>
      </c>
      <c r="K79" s="30">
        <v>57740.62</v>
      </c>
      <c r="L79" s="27"/>
      <c r="M79" s="26">
        <f t="shared" si="4"/>
        <v>28236.43</v>
      </c>
      <c r="N79" s="26"/>
      <c r="O79" s="225">
        <v>28236.43</v>
      </c>
      <c r="P79" s="29">
        <v>23</v>
      </c>
      <c r="Q79" s="30">
        <v>68475.47</v>
      </c>
      <c r="R79" s="205">
        <v>10</v>
      </c>
      <c r="S79" s="26">
        <f t="shared" si="3"/>
        <v>62883.15</v>
      </c>
      <c r="T79" s="30">
        <v>23648.47</v>
      </c>
      <c r="U79" s="225">
        <v>39234.68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3</v>
      </c>
      <c r="I81" s="62">
        <v>2</v>
      </c>
      <c r="J81" s="62">
        <v>2</v>
      </c>
      <c r="K81" s="30">
        <v>768.4</v>
      </c>
      <c r="L81" s="27"/>
      <c r="M81" s="26">
        <f t="shared" si="4"/>
        <v>0</v>
      </c>
      <c r="N81" s="26"/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8</v>
      </c>
      <c r="I85" s="266">
        <v>3</v>
      </c>
      <c r="J85" s="266">
        <v>4</v>
      </c>
      <c r="K85" s="79">
        <v>5917.36</v>
      </c>
      <c r="L85" s="268">
        <v>4</v>
      </c>
      <c r="M85" s="81">
        <f t="shared" si="4"/>
        <v>5917.36</v>
      </c>
      <c r="N85" s="79">
        <v>5917.36</v>
      </c>
      <c r="O85" s="269"/>
      <c r="P85" s="267">
        <v>9</v>
      </c>
      <c r="Q85" s="79">
        <v>14307.26</v>
      </c>
      <c r="R85" s="268">
        <v>7</v>
      </c>
      <c r="S85" s="81">
        <f t="shared" si="3"/>
        <v>10924.74</v>
      </c>
      <c r="T85" s="79">
        <v>10924.74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12652.33</v>
      </c>
      <c r="R91" s="205">
        <v>3</v>
      </c>
      <c r="S91" s="26">
        <f t="shared" si="3"/>
        <v>7652.33</v>
      </c>
      <c r="T91" s="30">
        <v>7652.33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13</v>
      </c>
      <c r="I93" s="62">
        <v>8</v>
      </c>
      <c r="J93" s="62">
        <v>9</v>
      </c>
      <c r="K93" s="30">
        <v>16530.419999999998</v>
      </c>
      <c r="L93" s="27"/>
      <c r="M93" s="26">
        <f t="shared" si="4"/>
        <v>0</v>
      </c>
      <c r="N93" s="26"/>
      <c r="O93" s="31"/>
      <c r="P93" s="53">
        <v>8</v>
      </c>
      <c r="Q93" s="30">
        <v>31399.9</v>
      </c>
      <c r="R93" s="205">
        <v>5</v>
      </c>
      <c r="S93" s="26">
        <f t="shared" si="3"/>
        <v>14914.91</v>
      </c>
      <c r="T93" s="30">
        <v>5094.8</v>
      </c>
      <c r="U93" s="225">
        <v>9820.11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2</v>
      </c>
      <c r="J94" s="37">
        <v>2</v>
      </c>
      <c r="K94" s="68">
        <v>2958.34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2</v>
      </c>
      <c r="J95" s="203">
        <v>2</v>
      </c>
      <c r="K95" s="65">
        <v>2731.66</v>
      </c>
      <c r="L95" s="51"/>
      <c r="M95" s="50">
        <f t="shared" ref="M95:M279" si="5">N95+O95</f>
        <v>0</v>
      </c>
      <c r="N95" s="50"/>
      <c r="O95" s="31"/>
      <c r="P95" s="108">
        <v>8</v>
      </c>
      <c r="Q95" s="65">
        <v>93924.24</v>
      </c>
      <c r="R95" s="224">
        <v>2</v>
      </c>
      <c r="S95" s="50">
        <f t="shared" ref="S95:S101" si="6">T95+U95</f>
        <v>32117.38</v>
      </c>
      <c r="T95" s="65">
        <v>4050.2</v>
      </c>
      <c r="U95" s="225">
        <v>28067.18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1</v>
      </c>
      <c r="J97" s="62">
        <v>1</v>
      </c>
      <c r="K97" s="30">
        <v>4374.12</v>
      </c>
      <c r="L97" s="27"/>
      <c r="M97" s="26">
        <f t="shared" si="5"/>
        <v>0</v>
      </c>
      <c r="N97" s="26"/>
      <c r="O97" s="31"/>
      <c r="P97" s="53">
        <v>7</v>
      </c>
      <c r="Q97" s="30">
        <v>37669.07</v>
      </c>
      <c r="R97" s="205">
        <v>5</v>
      </c>
      <c r="S97" s="26">
        <f t="shared" si="6"/>
        <v>23473.01</v>
      </c>
      <c r="T97" s="30">
        <v>23473.01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2</v>
      </c>
      <c r="J99" s="62">
        <v>3</v>
      </c>
      <c r="K99" s="30">
        <v>4738.63</v>
      </c>
      <c r="L99" s="27"/>
      <c r="M99" s="26">
        <f t="shared" si="5"/>
        <v>4354.43</v>
      </c>
      <c r="N99" s="26"/>
      <c r="O99" s="225">
        <v>4354.43</v>
      </c>
      <c r="P99" s="53">
        <v>3</v>
      </c>
      <c r="Q99" s="30">
        <v>15479.57</v>
      </c>
      <c r="R99" s="205">
        <v>1</v>
      </c>
      <c r="S99" s="26">
        <f t="shared" si="6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3</v>
      </c>
      <c r="J101" s="62">
        <v>3</v>
      </c>
      <c r="K101" s="30">
        <v>9652.17</v>
      </c>
      <c r="L101" s="27"/>
      <c r="M101" s="26">
        <f t="shared" si="5"/>
        <v>0</v>
      </c>
      <c r="N101" s="26"/>
      <c r="O101" s="31"/>
      <c r="P101" s="53">
        <v>20</v>
      </c>
      <c r="Q101" s="30">
        <v>47266.68</v>
      </c>
      <c r="R101" s="205">
        <v>9</v>
      </c>
      <c r="S101" s="26">
        <f t="shared" si="6"/>
        <v>34494.42</v>
      </c>
      <c r="T101" s="30">
        <v>15992.85</v>
      </c>
      <c r="U101" s="225">
        <v>18501.57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4</v>
      </c>
      <c r="J102" s="130">
        <v>4</v>
      </c>
      <c r="K102" s="114">
        <v>4994.6000000000004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7</v>
      </c>
      <c r="Q102" s="114">
        <v>19417.740000000002</v>
      </c>
      <c r="R102" s="270">
        <v>4</v>
      </c>
      <c r="S102" s="114">
        <v>11577.6</v>
      </c>
      <c r="T102" s="114">
        <v>11577.6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5</v>
      </c>
      <c r="I103" s="62">
        <v>3</v>
      </c>
      <c r="J103" s="62">
        <v>3</v>
      </c>
      <c r="K103" s="30">
        <v>1118.98</v>
      </c>
      <c r="L103" s="205">
        <v>1</v>
      </c>
      <c r="M103" s="26">
        <f t="shared" si="5"/>
        <v>614.72</v>
      </c>
      <c r="N103" s="30">
        <v>614.72</v>
      </c>
      <c r="O103" s="225"/>
      <c r="P103" s="53">
        <v>7</v>
      </c>
      <c r="Q103" s="30">
        <v>12035.94</v>
      </c>
      <c r="R103" s="205">
        <v>5</v>
      </c>
      <c r="S103" s="26">
        <f t="shared" ref="S103:S134" si="7">T103+U103</f>
        <v>7679.11</v>
      </c>
      <c r="T103" s="30">
        <v>7679.11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44"/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8</v>
      </c>
      <c r="I105" s="62">
        <v>6</v>
      </c>
      <c r="J105" s="62">
        <v>7</v>
      </c>
      <c r="K105" s="30">
        <v>10146.31</v>
      </c>
      <c r="L105" s="205">
        <v>3</v>
      </c>
      <c r="M105" s="26">
        <f t="shared" si="5"/>
        <v>4316.49</v>
      </c>
      <c r="N105" s="30">
        <v>2852.69</v>
      </c>
      <c r="O105" s="241">
        <v>1463.8</v>
      </c>
      <c r="P105" s="214">
        <v>11</v>
      </c>
      <c r="Q105" s="30">
        <v>49430.98</v>
      </c>
      <c r="R105" s="205">
        <v>7</v>
      </c>
      <c r="S105" s="26">
        <f t="shared" si="7"/>
        <v>49430.979999999996</v>
      </c>
      <c r="T105" s="30">
        <v>42354.03</v>
      </c>
      <c r="U105" s="225">
        <v>7076.95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5</v>
      </c>
      <c r="I106" s="286">
        <v>3</v>
      </c>
      <c r="J106" s="286">
        <v>3</v>
      </c>
      <c r="K106" s="287">
        <v>6915.6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40"/>
      <c r="S106" s="39">
        <f t="shared" si="7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4</v>
      </c>
      <c r="Q107" s="65">
        <v>32263.11</v>
      </c>
      <c r="R107" s="224">
        <v>1</v>
      </c>
      <c r="S107" s="50">
        <f t="shared" si="7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5"/>
        <v>0</v>
      </c>
      <c r="N108" s="39"/>
      <c r="O108" s="41"/>
      <c r="P108" s="59"/>
      <c r="Q108" s="39"/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6</v>
      </c>
      <c r="I109" s="203">
        <v>5</v>
      </c>
      <c r="J109" s="203">
        <v>6</v>
      </c>
      <c r="K109" s="65">
        <v>10235.59</v>
      </c>
      <c r="L109" s="224">
        <v>2</v>
      </c>
      <c r="M109" s="50">
        <f t="shared" si="5"/>
        <v>1916.98</v>
      </c>
      <c r="N109" s="50"/>
      <c r="O109" s="225">
        <v>1916.98</v>
      </c>
      <c r="P109" s="108">
        <v>9</v>
      </c>
      <c r="Q109" s="65">
        <v>19656.830000000002</v>
      </c>
      <c r="R109" s="224">
        <v>6</v>
      </c>
      <c r="S109" s="50">
        <f t="shared" si="7"/>
        <v>17533.16</v>
      </c>
      <c r="T109" s="65">
        <v>2175.5100000000002</v>
      </c>
      <c r="U109" s="225">
        <v>15357.65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316">
        <v>3</v>
      </c>
      <c r="M110" s="50">
        <f t="shared" si="5"/>
        <v>3733.7999999999997</v>
      </c>
      <c r="N110" s="43">
        <f>1290.6+1152.6+1290.6</f>
        <v>3733.7999999999997</v>
      </c>
      <c r="O110" s="41"/>
      <c r="P110" s="113">
        <v>2</v>
      </c>
      <c r="Q110" s="114">
        <v>8007.8</v>
      </c>
      <c r="R110" s="44"/>
      <c r="S110" s="43">
        <f t="shared" si="7"/>
        <v>8008.1</v>
      </c>
      <c r="T110" s="114">
        <f>4358.2+3649.9</f>
        <v>8008.1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1</v>
      </c>
      <c r="M111" s="26">
        <f t="shared" si="5"/>
        <v>1133.98</v>
      </c>
      <c r="N111" s="30">
        <v>1133.98</v>
      </c>
      <c r="O111" s="225"/>
      <c r="P111" s="53">
        <v>5</v>
      </c>
      <c r="Q111" s="30">
        <v>7208.15</v>
      </c>
      <c r="R111" s="205">
        <v>5</v>
      </c>
      <c r="S111" s="26">
        <f t="shared" si="7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285">
        <v>1</v>
      </c>
      <c r="M112" s="39">
        <f t="shared" si="5"/>
        <v>1580.8</v>
      </c>
      <c r="N112" s="39">
        <f>1580.8</f>
        <v>1580.8</v>
      </c>
      <c r="O112" s="41"/>
      <c r="P112" s="115">
        <v>1</v>
      </c>
      <c r="Q112" s="68">
        <v>1377.7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10</v>
      </c>
      <c r="I113" s="203">
        <v>7</v>
      </c>
      <c r="J113" s="203">
        <v>7</v>
      </c>
      <c r="K113" s="65">
        <v>17655</v>
      </c>
      <c r="L113" s="51"/>
      <c r="M113" s="50">
        <f t="shared" si="5"/>
        <v>5531.12</v>
      </c>
      <c r="N113" s="50"/>
      <c r="O113" s="225">
        <v>5531.12</v>
      </c>
      <c r="P113" s="108">
        <v>18</v>
      </c>
      <c r="Q113" s="65">
        <v>49334.39</v>
      </c>
      <c r="R113" s="224">
        <v>3</v>
      </c>
      <c r="S113" s="50">
        <f t="shared" si="7"/>
        <v>23106.86</v>
      </c>
      <c r="T113" s="65">
        <v>6809.92</v>
      </c>
      <c r="U113" s="225">
        <v>16296.94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4</v>
      </c>
      <c r="I115" s="62">
        <v>3</v>
      </c>
      <c r="J115" s="62">
        <v>3</v>
      </c>
      <c r="K115" s="30">
        <v>3153.01</v>
      </c>
      <c r="L115" s="27"/>
      <c r="M115" s="26">
        <f t="shared" si="5"/>
        <v>0</v>
      </c>
      <c r="N115" s="26"/>
      <c r="O115" s="31"/>
      <c r="P115" s="53">
        <v>9</v>
      </c>
      <c r="Q115" s="30">
        <v>62029.02</v>
      </c>
      <c r="R115" s="205">
        <v>5</v>
      </c>
      <c r="S115" s="26">
        <f t="shared" si="7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3</v>
      </c>
      <c r="I116" s="57"/>
      <c r="J116" s="57"/>
      <c r="K116" s="43"/>
      <c r="L116" s="44"/>
      <c r="M116" s="43">
        <f t="shared" si="5"/>
        <v>0</v>
      </c>
      <c r="N116" s="43"/>
      <c r="O116" s="41"/>
      <c r="P116" s="113">
        <v>2</v>
      </c>
      <c r="Q116" s="114">
        <v>2881.5</v>
      </c>
      <c r="R116" s="44"/>
      <c r="S116" s="43">
        <f t="shared" si="7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9</v>
      </c>
      <c r="I117" s="62">
        <v>7</v>
      </c>
      <c r="J117" s="62">
        <v>6</v>
      </c>
      <c r="K117" s="30">
        <v>4237.72</v>
      </c>
      <c r="L117" s="27"/>
      <c r="M117" s="26">
        <f t="shared" si="5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7"/>
        <v>26300.45</v>
      </c>
      <c r="T117" s="30">
        <v>13277.84</v>
      </c>
      <c r="U117" s="225">
        <v>13022.61</v>
      </c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5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40"/>
      <c r="M119" s="39">
        <f t="shared" si="5"/>
        <v>0</v>
      </c>
      <c r="N119" s="39"/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5"/>
        <v>0</v>
      </c>
      <c r="N120" s="50"/>
      <c r="O120" s="31"/>
      <c r="P120" s="108">
        <v>4</v>
      </c>
      <c r="Q120" s="65">
        <v>10383.700000000001</v>
      </c>
      <c r="R120" s="224">
        <v>1</v>
      </c>
      <c r="S120" s="50">
        <f t="shared" si="7"/>
        <v>7727.16</v>
      </c>
      <c r="T120" s="65">
        <v>3034.34</v>
      </c>
      <c r="U120" s="225">
        <v>4692.82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5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4</v>
      </c>
      <c r="I122" s="62">
        <v>3</v>
      </c>
      <c r="J122" s="62">
        <v>4</v>
      </c>
      <c r="K122" s="30">
        <v>4102.0200000000004</v>
      </c>
      <c r="L122" s="27"/>
      <c r="M122" s="26">
        <f t="shared" si="5"/>
        <v>0</v>
      </c>
      <c r="N122" s="26"/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5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10</v>
      </c>
      <c r="I124" s="62">
        <v>9</v>
      </c>
      <c r="J124" s="62">
        <v>14</v>
      </c>
      <c r="K124" s="30">
        <v>21067.56</v>
      </c>
      <c r="L124" s="27"/>
      <c r="M124" s="26">
        <f t="shared" si="5"/>
        <v>6736.48</v>
      </c>
      <c r="N124" s="26"/>
      <c r="O124" s="225">
        <v>6736.48</v>
      </c>
      <c r="P124" s="53">
        <v>10</v>
      </c>
      <c r="Q124" s="30">
        <v>26937.9</v>
      </c>
      <c r="R124" s="205">
        <v>5</v>
      </c>
      <c r="S124" s="26">
        <f t="shared" si="7"/>
        <v>22270.76</v>
      </c>
      <c r="T124" s="30">
        <v>14875.39</v>
      </c>
      <c r="U124" s="225">
        <v>7395.37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2</v>
      </c>
      <c r="J125" s="130">
        <v>2</v>
      </c>
      <c r="K125" s="114">
        <v>2497.3000000000002</v>
      </c>
      <c r="L125" s="44"/>
      <c r="M125" s="43">
        <f t="shared" si="5"/>
        <v>1152.5999999999999</v>
      </c>
      <c r="N125" s="43">
        <f>1152.6</f>
        <v>1152.5999999999999</v>
      </c>
      <c r="O125" s="45"/>
      <c r="P125" s="113">
        <v>2</v>
      </c>
      <c r="Q125" s="114">
        <v>5186.7</v>
      </c>
      <c r="R125" s="44"/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5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5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6</v>
      </c>
      <c r="I128" s="62">
        <v>3</v>
      </c>
      <c r="J128" s="62">
        <v>4</v>
      </c>
      <c r="K128" s="30">
        <v>5120.59</v>
      </c>
      <c r="L128" s="205">
        <v>3</v>
      </c>
      <c r="M128" s="26">
        <f t="shared" si="5"/>
        <v>3189.98</v>
      </c>
      <c r="N128" s="30">
        <v>3189.98</v>
      </c>
      <c r="O128" s="243"/>
      <c r="P128" s="64">
        <v>3</v>
      </c>
      <c r="Q128" s="65">
        <v>7766.38</v>
      </c>
      <c r="R128" s="224">
        <v>2</v>
      </c>
      <c r="S128" s="50">
        <f t="shared" si="7"/>
        <v>3540.18</v>
      </c>
      <c r="T128" s="65">
        <v>3540.18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5"/>
        <v>0</v>
      </c>
      <c r="N129" s="39"/>
      <c r="O129" s="41"/>
      <c r="P129" s="67">
        <v>1</v>
      </c>
      <c r="Q129" s="68">
        <v>2305.1999999999998</v>
      </c>
      <c r="R129" s="40"/>
      <c r="S129" s="39">
        <f t="shared" si="7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12</v>
      </c>
      <c r="I130" s="203">
        <v>8</v>
      </c>
      <c r="J130" s="203">
        <v>9</v>
      </c>
      <c r="K130" s="65">
        <v>19906.349999999999</v>
      </c>
      <c r="L130" s="51"/>
      <c r="M130" s="50">
        <f t="shared" si="5"/>
        <v>13711.53</v>
      </c>
      <c r="N130" s="50"/>
      <c r="O130" s="225">
        <v>13711.53</v>
      </c>
      <c r="P130" s="108">
        <v>25</v>
      </c>
      <c r="Q130" s="65">
        <v>93722.79</v>
      </c>
      <c r="R130" s="224">
        <v>13</v>
      </c>
      <c r="S130" s="50">
        <f t="shared" si="7"/>
        <v>59334.53</v>
      </c>
      <c r="T130" s="65">
        <v>42800.99</v>
      </c>
      <c r="U130" s="225">
        <v>16533.54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5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9</v>
      </c>
      <c r="I132" s="62">
        <v>1</v>
      </c>
      <c r="J132" s="62">
        <v>1</v>
      </c>
      <c r="K132" s="30">
        <v>1405.21</v>
      </c>
      <c r="L132" s="27"/>
      <c r="M132" s="26">
        <f t="shared" si="5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7"/>
        <v>46294.31</v>
      </c>
      <c r="T132" s="30">
        <v>21153.67</v>
      </c>
      <c r="U132" s="225">
        <v>25140.639999999999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5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9</v>
      </c>
      <c r="I134" s="62">
        <v>5</v>
      </c>
      <c r="J134" s="62">
        <v>5</v>
      </c>
      <c r="K134" s="30">
        <v>6628.44</v>
      </c>
      <c r="L134" s="205">
        <v>3</v>
      </c>
      <c r="M134" s="26">
        <f t="shared" si="5"/>
        <v>2221.61</v>
      </c>
      <c r="N134" s="30">
        <v>2221.61</v>
      </c>
      <c r="O134" s="31"/>
      <c r="P134" s="53">
        <v>24</v>
      </c>
      <c r="Q134" s="30">
        <v>39369.230000000003</v>
      </c>
      <c r="R134" s="205">
        <v>19</v>
      </c>
      <c r="S134" s="26">
        <f t="shared" si="7"/>
        <v>32606.92</v>
      </c>
      <c r="T134" s="30">
        <v>30301.71</v>
      </c>
      <c r="U134" s="225">
        <v>2305.21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5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5"/>
        <v>0</v>
      </c>
      <c r="N136" s="26"/>
      <c r="O136" s="28"/>
      <c r="P136" s="214"/>
      <c r="Q136" s="30"/>
      <c r="R136" s="205"/>
      <c r="S136" s="26">
        <f t="shared" ref="S136:S149" si="8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5"/>
        <v>0</v>
      </c>
      <c r="N137" s="39"/>
      <c r="O137" s="41"/>
      <c r="P137" s="217"/>
      <c r="Q137" s="68"/>
      <c r="R137" s="285"/>
      <c r="S137" s="39">
        <f t="shared" si="8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16</v>
      </c>
      <c r="I138" s="266">
        <v>13</v>
      </c>
      <c r="J138" s="266">
        <v>15</v>
      </c>
      <c r="K138" s="79">
        <v>21503.97</v>
      </c>
      <c r="L138" s="80"/>
      <c r="M138" s="81">
        <f t="shared" si="5"/>
        <v>5859.73</v>
      </c>
      <c r="N138" s="81"/>
      <c r="O138" s="269">
        <v>5859.73</v>
      </c>
      <c r="P138" s="267">
        <v>15</v>
      </c>
      <c r="Q138" s="79">
        <v>74080.17</v>
      </c>
      <c r="R138" s="268">
        <v>7</v>
      </c>
      <c r="S138" s="81">
        <f t="shared" si="8"/>
        <v>68482.760000000009</v>
      </c>
      <c r="T138" s="79">
        <v>29991.43</v>
      </c>
      <c r="U138" s="269">
        <v>38491.33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5"/>
        <v>0</v>
      </c>
      <c r="N139" s="39"/>
      <c r="O139" s="41"/>
      <c r="P139" s="59"/>
      <c r="Q139" s="39"/>
      <c r="R139" s="40"/>
      <c r="S139" s="39">
        <f t="shared" si="8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12</v>
      </c>
      <c r="I140" s="203">
        <v>5</v>
      </c>
      <c r="J140" s="203">
        <v>7</v>
      </c>
      <c r="K140" s="65">
        <v>11288.37</v>
      </c>
      <c r="L140" s="51"/>
      <c r="M140" s="50">
        <f t="shared" si="5"/>
        <v>5906.11</v>
      </c>
      <c r="N140" s="50"/>
      <c r="O140" s="225">
        <v>5906.11</v>
      </c>
      <c r="P140" s="108">
        <v>46</v>
      </c>
      <c r="Q140" s="65">
        <v>278048.76</v>
      </c>
      <c r="R140" s="224">
        <v>17</v>
      </c>
      <c r="S140" s="50">
        <f t="shared" si="8"/>
        <v>206376.53</v>
      </c>
      <c r="T140" s="65">
        <v>107444.05</v>
      </c>
      <c r="U140" s="225">
        <v>98932.479999999996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5"/>
        <v>0</v>
      </c>
      <c r="N141" s="129"/>
      <c r="O141" s="45"/>
      <c r="P141" s="156"/>
      <c r="Q141" s="129"/>
      <c r="R141" s="128"/>
      <c r="S141" s="129">
        <f t="shared" si="8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5"/>
        <v>0</v>
      </c>
      <c r="N142" s="43"/>
      <c r="O142" s="41"/>
      <c r="P142" s="113">
        <v>2</v>
      </c>
      <c r="Q142" s="114">
        <v>6912.6</v>
      </c>
      <c r="R142" s="270">
        <v>2</v>
      </c>
      <c r="S142" s="43">
        <f t="shared" si="8"/>
        <v>6531.4</v>
      </c>
      <c r="T142" s="114">
        <f>2305.2+4226.2</f>
        <v>6531.4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5"/>
        <v>384.2</v>
      </c>
      <c r="N143" s="26"/>
      <c r="O143" s="225">
        <v>384.2</v>
      </c>
      <c r="P143" s="53">
        <v>15</v>
      </c>
      <c r="Q143" s="30">
        <v>10414.84</v>
      </c>
      <c r="R143" s="27"/>
      <c r="S143" s="26">
        <f t="shared" si="8"/>
        <v>5766.02</v>
      </c>
      <c r="T143" s="26"/>
      <c r="U143" s="225">
        <v>5766.02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5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8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7</v>
      </c>
      <c r="I145" s="203">
        <v>7</v>
      </c>
      <c r="J145" s="203">
        <v>7</v>
      </c>
      <c r="K145" s="65">
        <v>9079.25</v>
      </c>
      <c r="L145" s="51"/>
      <c r="M145" s="50">
        <f t="shared" si="5"/>
        <v>3609.92</v>
      </c>
      <c r="N145" s="50"/>
      <c r="O145" s="225">
        <v>3609.92</v>
      </c>
      <c r="P145" s="108">
        <v>8</v>
      </c>
      <c r="Q145" s="65">
        <v>29582.03</v>
      </c>
      <c r="R145" s="224">
        <v>2</v>
      </c>
      <c r="S145" s="50">
        <f t="shared" si="8"/>
        <v>29582.03</v>
      </c>
      <c r="T145" s="65">
        <v>8462.64</v>
      </c>
      <c r="U145" s="225">
        <v>21119.39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5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8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5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8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5"/>
        <v>0</v>
      </c>
      <c r="N148" s="43"/>
      <c r="O148" s="41"/>
      <c r="P148" s="103"/>
      <c r="Q148" s="43"/>
      <c r="R148" s="44"/>
      <c r="S148" s="43">
        <f t="shared" si="8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62">
        <v>1</v>
      </c>
      <c r="J149" s="62">
        <v>1</v>
      </c>
      <c r="K149" s="30">
        <v>1854.88</v>
      </c>
      <c r="L149" s="27"/>
      <c r="M149" s="26">
        <f t="shared" si="5"/>
        <v>0</v>
      </c>
      <c r="N149" s="26"/>
      <c r="O149" s="31"/>
      <c r="P149" s="53">
        <v>4</v>
      </c>
      <c r="Q149" s="30">
        <v>22885.21</v>
      </c>
      <c r="R149" s="205">
        <v>2</v>
      </c>
      <c r="S149" s="26">
        <f t="shared" si="8"/>
        <v>4085.52</v>
      </c>
      <c r="T149" s="30">
        <v>4085.52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5"/>
        <v>1728.9</v>
      </c>
      <c r="N150" s="114">
        <v>1728.9</v>
      </c>
      <c r="O150" s="234"/>
      <c r="P150" s="113">
        <v>2</v>
      </c>
      <c r="Q150" s="114">
        <v>6195.1</v>
      </c>
      <c r="R150" s="270">
        <v>1</v>
      </c>
      <c r="S150" s="114">
        <v>3457.8</v>
      </c>
      <c r="T150" s="114">
        <v>3457.8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8</v>
      </c>
      <c r="I151" s="62">
        <v>7</v>
      </c>
      <c r="J151" s="62">
        <v>7</v>
      </c>
      <c r="K151" s="30">
        <v>7882.16</v>
      </c>
      <c r="L151" s="27"/>
      <c r="M151" s="26">
        <f t="shared" si="5"/>
        <v>2891.11</v>
      </c>
      <c r="N151" s="26"/>
      <c r="O151" s="225">
        <v>2891.11</v>
      </c>
      <c r="P151" s="53">
        <v>11</v>
      </c>
      <c r="Q151" s="30">
        <v>31846.83</v>
      </c>
      <c r="R151" s="205">
        <v>7</v>
      </c>
      <c r="S151" s="26">
        <f t="shared" ref="S151:S183" si="9">T151+U151</f>
        <v>26984.940000000002</v>
      </c>
      <c r="T151" s="30">
        <v>22244.68</v>
      </c>
      <c r="U151" s="225">
        <v>4740.26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5"/>
        <v>0</v>
      </c>
      <c r="N152" s="129"/>
      <c r="O152" s="45"/>
      <c r="P152" s="238">
        <v>7</v>
      </c>
      <c r="Q152" s="239">
        <v>11775.73</v>
      </c>
      <c r="R152" s="316">
        <v>6</v>
      </c>
      <c r="S152" s="129">
        <f t="shared" si="9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5"/>
        <v>0</v>
      </c>
      <c r="N153" s="43"/>
      <c r="O153" s="41"/>
      <c r="P153" s="103"/>
      <c r="Q153" s="43"/>
      <c r="R153" s="44"/>
      <c r="S153" s="43">
        <f t="shared" si="9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8</v>
      </c>
      <c r="I154" s="25"/>
      <c r="J154" s="25"/>
      <c r="K154" s="26"/>
      <c r="L154" s="27"/>
      <c r="M154" s="26">
        <f t="shared" si="5"/>
        <v>0</v>
      </c>
      <c r="N154" s="26"/>
      <c r="O154" s="31"/>
      <c r="P154" s="99"/>
      <c r="Q154" s="26"/>
      <c r="R154" s="27"/>
      <c r="S154" s="26">
        <f t="shared" si="9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5"/>
        <v>0</v>
      </c>
      <c r="N155" s="39"/>
      <c r="O155" s="41"/>
      <c r="P155" s="59"/>
      <c r="Q155" s="39"/>
      <c r="R155" s="40"/>
      <c r="S155" s="39">
        <f t="shared" si="9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7</v>
      </c>
      <c r="I156" s="203">
        <v>5</v>
      </c>
      <c r="J156" s="203">
        <v>5</v>
      </c>
      <c r="K156" s="65">
        <v>7140.36</v>
      </c>
      <c r="L156" s="224">
        <v>2</v>
      </c>
      <c r="M156" s="50">
        <f t="shared" si="5"/>
        <v>6564.06</v>
      </c>
      <c r="N156" s="50"/>
      <c r="O156" s="225">
        <v>6564.06</v>
      </c>
      <c r="P156" s="108">
        <v>5</v>
      </c>
      <c r="Q156" s="65">
        <v>27150.720000000001</v>
      </c>
      <c r="R156" s="224">
        <v>4</v>
      </c>
      <c r="S156" s="50">
        <f t="shared" si="9"/>
        <v>27150.720000000001</v>
      </c>
      <c r="T156" s="65">
        <v>3694.33</v>
      </c>
      <c r="U156" s="225">
        <v>23456.39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7</v>
      </c>
      <c r="I157" s="246">
        <v>2</v>
      </c>
      <c r="J157" s="246">
        <v>2</v>
      </c>
      <c r="K157" s="158">
        <v>4226.2</v>
      </c>
      <c r="L157" s="143"/>
      <c r="M157" s="142">
        <f t="shared" si="5"/>
        <v>0</v>
      </c>
      <c r="N157" s="142"/>
      <c r="O157" s="45"/>
      <c r="P157" s="157">
        <v>4</v>
      </c>
      <c r="Q157" s="158">
        <v>8625.2900000000009</v>
      </c>
      <c r="R157" s="224">
        <v>5</v>
      </c>
      <c r="S157" s="50">
        <f t="shared" si="9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5"/>
        <v>0</v>
      </c>
      <c r="N158" s="43"/>
      <c r="O158" s="41"/>
      <c r="P158" s="103"/>
      <c r="Q158" s="43"/>
      <c r="R158" s="44"/>
      <c r="S158" s="43">
        <f t="shared" si="9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9</v>
      </c>
      <c r="I159" s="62">
        <v>4</v>
      </c>
      <c r="J159" s="62">
        <v>4</v>
      </c>
      <c r="K159" s="30">
        <v>5591.06</v>
      </c>
      <c r="L159" s="27"/>
      <c r="M159" s="26">
        <f t="shared" si="5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9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5"/>
        <v>0</v>
      </c>
      <c r="N160" s="39"/>
      <c r="O160" s="41"/>
      <c r="P160" s="115">
        <v>2</v>
      </c>
      <c r="Q160" s="68">
        <v>3265.7</v>
      </c>
      <c r="R160" s="285">
        <v>2</v>
      </c>
      <c r="S160" s="39">
        <f t="shared" si="9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4</v>
      </c>
      <c r="J161" s="203">
        <v>5</v>
      </c>
      <c r="K161" s="65">
        <v>12340.93</v>
      </c>
      <c r="L161" s="51"/>
      <c r="M161" s="50">
        <f t="shared" si="5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9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270">
        <v>3</v>
      </c>
      <c r="M162" s="43">
        <f t="shared" si="5"/>
        <v>5225.12</v>
      </c>
      <c r="N162" s="43">
        <f>3880.42+1344.7</f>
        <v>5225.12</v>
      </c>
      <c r="O162" s="41"/>
      <c r="P162" s="113">
        <v>4</v>
      </c>
      <c r="Q162" s="114">
        <v>9124.75</v>
      </c>
      <c r="R162" s="270">
        <v>3</v>
      </c>
      <c r="S162" s="43">
        <f t="shared" si="9"/>
        <v>7203.75</v>
      </c>
      <c r="T162" s="114">
        <f>4802.5+2401.25</f>
        <v>7203.75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14075.36</v>
      </c>
      <c r="L163" s="205">
        <v>3</v>
      </c>
      <c r="M163" s="26">
        <f t="shared" si="5"/>
        <v>6365.22</v>
      </c>
      <c r="N163" s="26"/>
      <c r="O163" s="225">
        <v>6365.22</v>
      </c>
      <c r="P163" s="53">
        <v>11</v>
      </c>
      <c r="Q163" s="30">
        <v>35731.35</v>
      </c>
      <c r="R163" s="205">
        <v>6</v>
      </c>
      <c r="S163" s="26">
        <f t="shared" si="9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5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9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5</v>
      </c>
      <c r="I165" s="62">
        <v>4</v>
      </c>
      <c r="J165" s="62">
        <v>4</v>
      </c>
      <c r="K165" s="30">
        <v>8539.0300000000007</v>
      </c>
      <c r="L165" s="27"/>
      <c r="M165" s="26">
        <f t="shared" si="5"/>
        <v>0</v>
      </c>
      <c r="N165" s="26"/>
      <c r="O165" s="159"/>
      <c r="P165" s="53">
        <v>3</v>
      </c>
      <c r="Q165" s="30">
        <v>20168.78</v>
      </c>
      <c r="R165" s="205">
        <v>3</v>
      </c>
      <c r="S165" s="26">
        <f t="shared" si="9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5"/>
        <v>1728.9</v>
      </c>
      <c r="N166" s="211">
        <f>1728.9</f>
        <v>1728.9</v>
      </c>
      <c r="O166" s="274"/>
      <c r="P166" s="262">
        <v>2</v>
      </c>
      <c r="Q166" s="209">
        <v>2420.46</v>
      </c>
      <c r="R166" s="210"/>
      <c r="S166" s="211">
        <f t="shared" si="9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5"/>
        <v>0</v>
      </c>
      <c r="N167" s="26"/>
      <c r="O167" s="28"/>
      <c r="P167" s="214"/>
      <c r="Q167" s="30"/>
      <c r="R167" s="205"/>
      <c r="S167" s="26">
        <f t="shared" si="9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5"/>
        <v>0</v>
      </c>
      <c r="N168" s="39"/>
      <c r="O168" s="41"/>
      <c r="P168" s="217"/>
      <c r="Q168" s="68"/>
      <c r="R168" s="285"/>
      <c r="S168" s="39">
        <f t="shared" si="9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2</v>
      </c>
      <c r="J169" s="266">
        <v>2</v>
      </c>
      <c r="K169" s="79">
        <v>7085.44</v>
      </c>
      <c r="L169" s="80"/>
      <c r="M169" s="81">
        <f t="shared" si="5"/>
        <v>0</v>
      </c>
      <c r="N169" s="81"/>
      <c r="O169" s="219"/>
      <c r="P169" s="267">
        <v>2</v>
      </c>
      <c r="Q169" s="79">
        <v>4949.17</v>
      </c>
      <c r="R169" s="268">
        <v>1</v>
      </c>
      <c r="S169" s="81">
        <f t="shared" si="9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5"/>
        <v>0</v>
      </c>
      <c r="N170" s="43"/>
      <c r="O170" s="45"/>
      <c r="P170" s="103"/>
      <c r="Q170" s="43"/>
      <c r="R170" s="44"/>
      <c r="S170" s="43">
        <f t="shared" si="9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5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9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5"/>
        <v>0</v>
      </c>
      <c r="N172" s="211"/>
      <c r="O172" s="212"/>
      <c r="P172" s="273"/>
      <c r="Q172" s="211"/>
      <c r="R172" s="210"/>
      <c r="S172" s="211">
        <f t="shared" si="9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5"/>
        <v>0</v>
      </c>
      <c r="N173" s="26"/>
      <c r="O173" s="28"/>
      <c r="P173" s="214"/>
      <c r="Q173" s="30"/>
      <c r="R173" s="205"/>
      <c r="S173" s="26">
        <f t="shared" si="9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5"/>
        <v>0</v>
      </c>
      <c r="N174" s="39"/>
      <c r="O174" s="41"/>
      <c r="P174" s="217"/>
      <c r="Q174" s="68"/>
      <c r="R174" s="285"/>
      <c r="S174" s="39">
        <f t="shared" si="9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266">
        <v>2</v>
      </c>
      <c r="J175" s="266">
        <v>2</v>
      </c>
      <c r="K175" s="79">
        <v>2253.34</v>
      </c>
      <c r="L175" s="80"/>
      <c r="M175" s="81">
        <f t="shared" si="5"/>
        <v>0</v>
      </c>
      <c r="N175" s="81"/>
      <c r="O175" s="219"/>
      <c r="P175" s="267">
        <v>14</v>
      </c>
      <c r="Q175" s="79">
        <v>42391.839999999997</v>
      </c>
      <c r="R175" s="268">
        <v>8</v>
      </c>
      <c r="S175" s="81">
        <f t="shared" si="9"/>
        <v>34311.440000000002</v>
      </c>
      <c r="T175" s="79">
        <v>16502.04</v>
      </c>
      <c r="U175" s="269">
        <v>17809.400000000001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1</v>
      </c>
      <c r="J176" s="130">
        <v>1</v>
      </c>
      <c r="K176" s="114">
        <v>2497.3000000000002</v>
      </c>
      <c r="L176" s="316">
        <v>1</v>
      </c>
      <c r="M176" s="50">
        <f t="shared" si="5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2</v>
      </c>
      <c r="S176" s="43">
        <f t="shared" si="9"/>
        <v>6003</v>
      </c>
      <c r="T176" s="114">
        <f>576.3+5426.7</f>
        <v>6003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6</v>
      </c>
      <c r="I177" s="62">
        <v>3</v>
      </c>
      <c r="J177" s="62">
        <v>3</v>
      </c>
      <c r="K177" s="30">
        <v>5755.32</v>
      </c>
      <c r="L177" s="205">
        <v>1</v>
      </c>
      <c r="M177" s="26">
        <f t="shared" si="5"/>
        <v>1477.25</v>
      </c>
      <c r="N177" s="26"/>
      <c r="O177" s="225">
        <v>1477.25</v>
      </c>
      <c r="P177" s="53">
        <v>10</v>
      </c>
      <c r="Q177" s="30">
        <v>31881.81</v>
      </c>
      <c r="R177" s="205">
        <v>7</v>
      </c>
      <c r="S177" s="26">
        <f t="shared" si="9"/>
        <v>14675.67</v>
      </c>
      <c r="T177" s="30">
        <v>1267.8599999999999</v>
      </c>
      <c r="U177" s="225">
        <v>13407.81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5"/>
        <v>0</v>
      </c>
      <c r="N178" s="43"/>
      <c r="O178" s="41"/>
      <c r="P178" s="115">
        <v>5</v>
      </c>
      <c r="Q178" s="68">
        <v>19344.47</v>
      </c>
      <c r="R178" s="40"/>
      <c r="S178" s="39">
        <f t="shared" si="9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14</v>
      </c>
      <c r="I179" s="62">
        <v>10</v>
      </c>
      <c r="J179" s="204">
        <v>11</v>
      </c>
      <c r="K179" s="30">
        <v>18139.990000000002</v>
      </c>
      <c r="L179" s="205">
        <v>5</v>
      </c>
      <c r="M179" s="26">
        <f t="shared" si="5"/>
        <v>5615.47</v>
      </c>
      <c r="N179" s="26"/>
      <c r="O179" s="225">
        <v>5615.47</v>
      </c>
      <c r="P179" s="108">
        <v>21</v>
      </c>
      <c r="Q179" s="65">
        <v>59851.3</v>
      </c>
      <c r="R179" s="224">
        <v>13</v>
      </c>
      <c r="S179" s="50">
        <f t="shared" si="9"/>
        <v>45597.55</v>
      </c>
      <c r="T179" s="65">
        <v>17249.09</v>
      </c>
      <c r="U179" s="225">
        <v>28348.46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5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9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25"/>
      <c r="J181" s="25"/>
      <c r="K181" s="162"/>
      <c r="L181" s="163"/>
      <c r="M181" s="162">
        <f t="shared" si="5"/>
        <v>0</v>
      </c>
      <c r="N181" s="162"/>
      <c r="O181" s="28"/>
      <c r="P181" s="275"/>
      <c r="Q181" s="26"/>
      <c r="R181" s="27"/>
      <c r="S181" s="26">
        <f t="shared" si="9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5"/>
        <v>0</v>
      </c>
      <c r="N182" s="164"/>
      <c r="O182" s="41"/>
      <c r="P182" s="276"/>
      <c r="Q182" s="39"/>
      <c r="R182" s="40"/>
      <c r="S182" s="39">
        <f t="shared" si="9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5"/>
        <v>0</v>
      </c>
      <c r="N183" s="293"/>
      <c r="O183" s="82"/>
      <c r="P183" s="295"/>
      <c r="Q183" s="81"/>
      <c r="R183" s="80"/>
      <c r="S183" s="81">
        <f t="shared" si="9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5"/>
        <v>0</v>
      </c>
      <c r="N184" s="164"/>
      <c r="O184" s="41"/>
      <c r="P184" s="67">
        <v>4</v>
      </c>
      <c r="Q184" s="68">
        <v>19199.810000000001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9</v>
      </c>
      <c r="I185" s="203">
        <v>7</v>
      </c>
      <c r="J185" s="203">
        <v>10</v>
      </c>
      <c r="K185" s="242">
        <v>26175.34</v>
      </c>
      <c r="L185" s="167"/>
      <c r="M185" s="166">
        <f t="shared" si="5"/>
        <v>8798.4699999999993</v>
      </c>
      <c r="N185" s="166"/>
      <c r="O185" s="225">
        <v>8798.4699999999993</v>
      </c>
      <c r="P185" s="108">
        <v>6</v>
      </c>
      <c r="Q185" s="65">
        <v>34185.78</v>
      </c>
      <c r="R185" s="224">
        <v>4</v>
      </c>
      <c r="S185" s="50">
        <f t="shared" ref="S185:S204" si="10">T185+U185</f>
        <v>16635.98</v>
      </c>
      <c r="T185" s="65">
        <v>15452.64</v>
      </c>
      <c r="U185" s="225">
        <v>1183.3399999999999</v>
      </c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5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10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3</v>
      </c>
      <c r="J187" s="62">
        <v>3</v>
      </c>
      <c r="K187" s="30">
        <v>4497.1000000000004</v>
      </c>
      <c r="L187" s="27"/>
      <c r="M187" s="26">
        <f t="shared" si="5"/>
        <v>0</v>
      </c>
      <c r="N187" s="26"/>
      <c r="O187" s="31"/>
      <c r="P187" s="53">
        <v>7</v>
      </c>
      <c r="Q187" s="30">
        <v>16748.509999999998</v>
      </c>
      <c r="R187" s="205">
        <v>4</v>
      </c>
      <c r="S187" s="26">
        <f t="shared" si="10"/>
        <v>10125.48</v>
      </c>
      <c r="T187" s="30">
        <v>3759.09</v>
      </c>
      <c r="U187" s="225">
        <v>6366.39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5"/>
        <v>0</v>
      </c>
      <c r="N188" s="39"/>
      <c r="O188" s="41"/>
      <c r="P188" s="59"/>
      <c r="Q188" s="39"/>
      <c r="R188" s="40"/>
      <c r="S188" s="39">
        <f t="shared" si="10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5"/>
        <v>0</v>
      </c>
      <c r="N189" s="50"/>
      <c r="O189" s="31"/>
      <c r="P189" s="108">
        <v>2</v>
      </c>
      <c r="Q189" s="65">
        <v>14241.9</v>
      </c>
      <c r="R189" s="224">
        <v>1</v>
      </c>
      <c r="S189" s="50">
        <f t="shared" si="10"/>
        <v>11832.5</v>
      </c>
      <c r="T189" s="65">
        <v>11832.5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5"/>
        <v>0</v>
      </c>
      <c r="N190" s="43"/>
      <c r="O190" s="41"/>
      <c r="P190" s="103"/>
      <c r="Q190" s="43"/>
      <c r="R190" s="44"/>
      <c r="S190" s="43">
        <f t="shared" si="10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5"/>
        <v>0</v>
      </c>
      <c r="N191" s="26"/>
      <c r="O191" s="31"/>
      <c r="P191" s="120"/>
      <c r="Q191" s="26"/>
      <c r="R191" s="27"/>
      <c r="S191" s="26">
        <f t="shared" si="10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5"/>
        <v>0</v>
      </c>
      <c r="N192" s="39"/>
      <c r="O192" s="41"/>
      <c r="P192" s="69"/>
      <c r="Q192" s="39"/>
      <c r="R192" s="40"/>
      <c r="S192" s="39">
        <f t="shared" si="10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6</v>
      </c>
      <c r="K193" s="65">
        <v>11123.36</v>
      </c>
      <c r="L193" s="51"/>
      <c r="M193" s="50">
        <f t="shared" si="5"/>
        <v>7557.22</v>
      </c>
      <c r="N193" s="50"/>
      <c r="O193" s="225">
        <v>7557.22</v>
      </c>
      <c r="P193" s="108">
        <v>8</v>
      </c>
      <c r="Q193" s="65">
        <v>20431.349999999999</v>
      </c>
      <c r="R193" s="224">
        <v>1</v>
      </c>
      <c r="S193" s="50">
        <f t="shared" si="10"/>
        <v>8066.2899999999991</v>
      </c>
      <c r="T193" s="65">
        <v>2627.93</v>
      </c>
      <c r="U193" s="225">
        <v>5438.36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1</v>
      </c>
      <c r="J194" s="37">
        <v>1</v>
      </c>
      <c r="K194" s="68">
        <v>1921</v>
      </c>
      <c r="L194" s="40"/>
      <c r="M194" s="39">
        <f t="shared" si="5"/>
        <v>0</v>
      </c>
      <c r="N194" s="39"/>
      <c r="O194" s="41"/>
      <c r="P194" s="59"/>
      <c r="Q194" s="39"/>
      <c r="R194" s="40"/>
      <c r="S194" s="39">
        <f t="shared" si="10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12</v>
      </c>
      <c r="I195" s="203">
        <v>10</v>
      </c>
      <c r="J195" s="203">
        <v>13</v>
      </c>
      <c r="K195" s="65">
        <v>24179.91</v>
      </c>
      <c r="L195" s="51"/>
      <c r="M195" s="50">
        <f t="shared" si="5"/>
        <v>5908.22</v>
      </c>
      <c r="N195" s="50"/>
      <c r="O195" s="225">
        <v>5908.22</v>
      </c>
      <c r="P195" s="108">
        <v>24</v>
      </c>
      <c r="Q195" s="65">
        <v>38241.53</v>
      </c>
      <c r="R195" s="224">
        <v>18</v>
      </c>
      <c r="S195" s="50">
        <f t="shared" si="10"/>
        <v>34472.65</v>
      </c>
      <c r="T195" s="65">
        <v>27671.88</v>
      </c>
      <c r="U195" s="225">
        <v>6800.77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4</v>
      </c>
      <c r="I196" s="130">
        <v>2</v>
      </c>
      <c r="J196" s="130">
        <v>2</v>
      </c>
      <c r="K196" s="114">
        <v>2401.25</v>
      </c>
      <c r="L196" s="316">
        <v>1</v>
      </c>
      <c r="M196" s="50">
        <f t="shared" si="5"/>
        <v>1056.55</v>
      </c>
      <c r="N196" s="43">
        <f>1056.55</f>
        <v>1056.55</v>
      </c>
      <c r="O196" s="41"/>
      <c r="P196" s="113">
        <v>3</v>
      </c>
      <c r="Q196" s="114">
        <v>5551.69</v>
      </c>
      <c r="R196" s="270">
        <v>3</v>
      </c>
      <c r="S196" s="43">
        <f t="shared" si="10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6</v>
      </c>
      <c r="I197" s="25"/>
      <c r="J197" s="25"/>
      <c r="K197" s="26"/>
      <c r="L197" s="27"/>
      <c r="M197" s="26">
        <f t="shared" si="5"/>
        <v>0</v>
      </c>
      <c r="N197" s="26"/>
      <c r="O197" s="31"/>
      <c r="P197" s="53">
        <v>3</v>
      </c>
      <c r="Q197" s="30">
        <v>8280.19</v>
      </c>
      <c r="R197" s="27"/>
      <c r="S197" s="26">
        <f t="shared" si="10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5"/>
        <v>0</v>
      </c>
      <c r="N198" s="39"/>
      <c r="O198" s="41"/>
      <c r="P198" s="59"/>
      <c r="Q198" s="39"/>
      <c r="R198" s="40"/>
      <c r="S198" s="39">
        <f t="shared" si="10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5"/>
        <v>0</v>
      </c>
      <c r="N199" s="50"/>
      <c r="O199" s="31"/>
      <c r="P199" s="123"/>
      <c r="Q199" s="50"/>
      <c r="R199" s="51"/>
      <c r="S199" s="50">
        <f t="shared" si="10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5"/>
        <v>0</v>
      </c>
      <c r="N200" s="50"/>
      <c r="O200" s="45"/>
      <c r="P200" s="123"/>
      <c r="Q200" s="50"/>
      <c r="R200" s="51"/>
      <c r="S200" s="50">
        <f t="shared" si="10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5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10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5"/>
        <v>0</v>
      </c>
      <c r="N202" s="26"/>
      <c r="O202" s="31"/>
      <c r="P202" s="99"/>
      <c r="Q202" s="26"/>
      <c r="R202" s="27"/>
      <c r="S202" s="26">
        <f t="shared" si="10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5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10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5"/>
        <v>0</v>
      </c>
      <c r="N204" s="26"/>
      <c r="O204" s="31"/>
      <c r="P204" s="99"/>
      <c r="Q204" s="26"/>
      <c r="R204" s="27"/>
      <c r="S204" s="26">
        <f t="shared" si="10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5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5"/>
        <v>0</v>
      </c>
      <c r="N206" s="50"/>
      <c r="O206" s="31"/>
      <c r="P206" s="108">
        <v>3</v>
      </c>
      <c r="Q206" s="65">
        <v>12689.15</v>
      </c>
      <c r="R206" s="224">
        <v>2</v>
      </c>
      <c r="S206" s="50">
        <f t="shared" ref="S206:S220" si="11">T206+U206</f>
        <v>12689.150000000001</v>
      </c>
      <c r="T206" s="65">
        <v>2541.1999999999998</v>
      </c>
      <c r="U206" s="225">
        <v>10147.950000000001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5"/>
        <v>0</v>
      </c>
      <c r="N207" s="43"/>
      <c r="O207" s="45"/>
      <c r="P207" s="273"/>
      <c r="Q207" s="211"/>
      <c r="R207" s="210"/>
      <c r="S207" s="211">
        <f t="shared" si="11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05">
        <v>1</v>
      </c>
      <c r="M208" s="26">
        <f t="shared" si="5"/>
        <v>576.29999999999995</v>
      </c>
      <c r="N208" s="30">
        <v>576.29999999999995</v>
      </c>
      <c r="O208" s="308"/>
      <c r="P208" s="99"/>
      <c r="Q208" s="26"/>
      <c r="R208" s="27"/>
      <c r="S208" s="26">
        <f t="shared" si="11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4</v>
      </c>
      <c r="I209" s="37"/>
      <c r="J209" s="37"/>
      <c r="K209" s="39"/>
      <c r="L209" s="40"/>
      <c r="M209" s="39">
        <f t="shared" si="5"/>
        <v>0</v>
      </c>
      <c r="N209" s="39"/>
      <c r="O209" s="309"/>
      <c r="P209" s="310">
        <v>5</v>
      </c>
      <c r="Q209" s="245">
        <v>21572.83</v>
      </c>
      <c r="R209" s="40"/>
      <c r="S209" s="39">
        <f t="shared" si="11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5"/>
        <v>0</v>
      </c>
      <c r="N210" s="50"/>
      <c r="O210" s="31"/>
      <c r="P210" s="277"/>
      <c r="Q210" s="81"/>
      <c r="R210" s="80"/>
      <c r="S210" s="81">
        <f t="shared" si="11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5"/>
        <v>0</v>
      </c>
      <c r="N211" s="43"/>
      <c r="O211" s="41"/>
      <c r="P211" s="113">
        <v>1</v>
      </c>
      <c r="Q211" s="114">
        <v>3842</v>
      </c>
      <c r="R211" s="128"/>
      <c r="S211" s="50">
        <f t="shared" si="11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10</v>
      </c>
      <c r="I212" s="62">
        <v>6</v>
      </c>
      <c r="J212" s="62">
        <v>10</v>
      </c>
      <c r="K212" s="30">
        <v>22151.4</v>
      </c>
      <c r="L212" s="27"/>
      <c r="M212" s="26">
        <f t="shared" si="5"/>
        <v>5413.52</v>
      </c>
      <c r="N212" s="26"/>
      <c r="O212" s="225">
        <v>5413.52</v>
      </c>
      <c r="P212" s="53">
        <v>19</v>
      </c>
      <c r="Q212" s="30">
        <v>56697.56</v>
      </c>
      <c r="R212" s="205">
        <v>9</v>
      </c>
      <c r="S212" s="26">
        <f t="shared" si="11"/>
        <v>34299.050000000003</v>
      </c>
      <c r="T212" s="30">
        <v>22498.43</v>
      </c>
      <c r="U212" s="225">
        <v>11800.62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5"/>
        <v>0</v>
      </c>
      <c r="N213" s="39"/>
      <c r="O213" s="41"/>
      <c r="P213" s="59"/>
      <c r="Q213" s="39"/>
      <c r="R213" s="40"/>
      <c r="S213" s="39">
        <f t="shared" si="11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5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11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5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1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12</v>
      </c>
      <c r="I216" s="62">
        <v>8</v>
      </c>
      <c r="J216" s="62">
        <v>8</v>
      </c>
      <c r="K216" s="30">
        <v>5106.5200000000004</v>
      </c>
      <c r="L216" s="27"/>
      <c r="M216" s="26">
        <f t="shared" si="5"/>
        <v>806.82</v>
      </c>
      <c r="N216" s="26"/>
      <c r="O216" s="225">
        <v>806.82</v>
      </c>
      <c r="P216" s="53">
        <v>27</v>
      </c>
      <c r="Q216" s="30">
        <v>36893.15</v>
      </c>
      <c r="R216" s="205">
        <v>17</v>
      </c>
      <c r="S216" s="26">
        <f t="shared" si="11"/>
        <v>34055.83</v>
      </c>
      <c r="T216" s="30">
        <v>6109.65</v>
      </c>
      <c r="U216" s="30">
        <v>27946.18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5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1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23</v>
      </c>
      <c r="I218" s="25"/>
      <c r="J218" s="25"/>
      <c r="K218" s="26"/>
      <c r="L218" s="27"/>
      <c r="M218" s="26">
        <f t="shared" si="5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1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8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5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1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10</v>
      </c>
      <c r="I220" s="203">
        <v>7</v>
      </c>
      <c r="J220" s="203">
        <v>8</v>
      </c>
      <c r="K220" s="65">
        <v>16934.2</v>
      </c>
      <c r="L220" s="51"/>
      <c r="M220" s="50">
        <f t="shared" si="5"/>
        <v>5845.61</v>
      </c>
      <c r="N220" s="50"/>
      <c r="O220" s="225">
        <v>5845.61</v>
      </c>
      <c r="P220" s="108">
        <v>17</v>
      </c>
      <c r="Q220" s="65">
        <v>54358.97</v>
      </c>
      <c r="R220" s="224">
        <v>5</v>
      </c>
      <c r="S220" s="50">
        <f t="shared" si="11"/>
        <v>48720.17</v>
      </c>
      <c r="T220" s="65">
        <v>24141.61</v>
      </c>
      <c r="U220" s="225">
        <v>24578.560000000001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5"/>
        <v>0</v>
      </c>
      <c r="N221" s="43"/>
      <c r="O221" s="41"/>
      <c r="P221" s="113">
        <v>6</v>
      </c>
      <c r="Q221" s="114">
        <v>32210.18</v>
      </c>
      <c r="R221" s="270">
        <v>5</v>
      </c>
      <c r="S221" s="114">
        <v>24781.439999999999</v>
      </c>
      <c r="T221" s="114">
        <v>24781.439999999999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7"/>
      <c r="M222" s="26">
        <f t="shared" si="5"/>
        <v>1185.45</v>
      </c>
      <c r="N222" s="26"/>
      <c r="O222" s="225">
        <v>1185.45</v>
      </c>
      <c r="P222" s="53">
        <v>14</v>
      </c>
      <c r="Q222" s="30">
        <v>45509.18</v>
      </c>
      <c r="R222" s="205">
        <v>7</v>
      </c>
      <c r="S222" s="26">
        <f t="shared" ref="S222:S244" si="12">T222+U222</f>
        <v>28989.79</v>
      </c>
      <c r="T222" s="30">
        <v>19390.669999999998</v>
      </c>
      <c r="U222" s="225">
        <v>9599.1200000000008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5"/>
        <v>0</v>
      </c>
      <c r="N223" s="43"/>
      <c r="O223" s="41"/>
      <c r="P223" s="103"/>
      <c r="Q223" s="43"/>
      <c r="R223" s="44"/>
      <c r="S223" s="43">
        <f t="shared" si="12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2</v>
      </c>
      <c r="I224" s="25"/>
      <c r="J224" s="25"/>
      <c r="K224" s="26"/>
      <c r="L224" s="27"/>
      <c r="M224" s="26">
        <f t="shared" si="5"/>
        <v>0</v>
      </c>
      <c r="N224" s="26"/>
      <c r="O224" s="31"/>
      <c r="P224" s="120"/>
      <c r="Q224" s="26"/>
      <c r="R224" s="27"/>
      <c r="S224" s="26">
        <f t="shared" si="12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5"/>
        <v>0</v>
      </c>
      <c r="N225" s="43"/>
      <c r="O225" s="45"/>
      <c r="P225" s="42"/>
      <c r="Q225" s="43"/>
      <c r="R225" s="44"/>
      <c r="S225" s="43">
        <f t="shared" si="12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5"/>
        <v>0</v>
      </c>
      <c r="N226" s="26"/>
      <c r="O226" s="28"/>
      <c r="P226" s="120"/>
      <c r="Q226" s="26"/>
      <c r="R226" s="27"/>
      <c r="S226" s="26">
        <f t="shared" si="12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5"/>
        <v>0</v>
      </c>
      <c r="N227" s="211"/>
      <c r="O227" s="212"/>
      <c r="P227" s="284"/>
      <c r="Q227" s="211"/>
      <c r="R227" s="210"/>
      <c r="S227" s="211">
        <f t="shared" si="12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7</v>
      </c>
      <c r="I228" s="62">
        <v>3</v>
      </c>
      <c r="J228" s="62">
        <v>4</v>
      </c>
      <c r="K228" s="30">
        <v>4555.37</v>
      </c>
      <c r="L228" s="27"/>
      <c r="M228" s="26">
        <f t="shared" si="5"/>
        <v>0</v>
      </c>
      <c r="N228" s="26"/>
      <c r="O228" s="28"/>
      <c r="P228" s="214"/>
      <c r="Q228" s="30"/>
      <c r="R228" s="205"/>
      <c r="S228" s="26">
        <f t="shared" si="12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5</v>
      </c>
      <c r="I229" s="37">
        <v>1</v>
      </c>
      <c r="J229" s="37">
        <v>1</v>
      </c>
      <c r="K229" s="68">
        <v>1152.5999999999999</v>
      </c>
      <c r="L229" s="40"/>
      <c r="M229" s="39">
        <f t="shared" si="5"/>
        <v>0</v>
      </c>
      <c r="N229" s="39"/>
      <c r="O229" s="41"/>
      <c r="P229" s="217"/>
      <c r="Q229" s="68"/>
      <c r="R229" s="285"/>
      <c r="S229" s="39">
        <f t="shared" si="12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7</v>
      </c>
      <c r="K230" s="79">
        <v>5186.71</v>
      </c>
      <c r="L230" s="80"/>
      <c r="M230" s="81">
        <f t="shared" si="5"/>
        <v>0</v>
      </c>
      <c r="N230" s="81"/>
      <c r="O230" s="219"/>
      <c r="P230" s="267">
        <v>13</v>
      </c>
      <c r="Q230" s="79">
        <v>42826.720000000001</v>
      </c>
      <c r="R230" s="268">
        <v>9</v>
      </c>
      <c r="S230" s="81">
        <f t="shared" si="12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5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12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16</v>
      </c>
      <c r="I232" s="62">
        <v>15</v>
      </c>
      <c r="J232" s="62">
        <v>17</v>
      </c>
      <c r="K232" s="30">
        <v>21280.47</v>
      </c>
      <c r="L232" s="27"/>
      <c r="M232" s="26">
        <f t="shared" si="5"/>
        <v>0</v>
      </c>
      <c r="N232" s="26"/>
      <c r="O232" s="31"/>
      <c r="P232" s="53">
        <v>10</v>
      </c>
      <c r="Q232" s="30">
        <v>62934.720000000001</v>
      </c>
      <c r="R232" s="205">
        <v>2</v>
      </c>
      <c r="S232" s="26">
        <f t="shared" si="12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5"/>
        <v>0</v>
      </c>
      <c r="N233" s="39"/>
      <c r="O233" s="41"/>
      <c r="P233" s="115">
        <v>1</v>
      </c>
      <c r="Q233" s="68">
        <v>3073.6</v>
      </c>
      <c r="R233" s="40"/>
      <c r="S233" s="39">
        <f t="shared" si="12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3</v>
      </c>
      <c r="I234" s="49"/>
      <c r="J234" s="49"/>
      <c r="K234" s="50"/>
      <c r="L234" s="51"/>
      <c r="M234" s="50">
        <f t="shared" si="5"/>
        <v>0</v>
      </c>
      <c r="N234" s="50"/>
      <c r="O234" s="31"/>
      <c r="P234" s="108">
        <v>10</v>
      </c>
      <c r="Q234" s="65">
        <v>15519.54</v>
      </c>
      <c r="R234" s="224">
        <v>7</v>
      </c>
      <c r="S234" s="50">
        <f t="shared" si="12"/>
        <v>8094.01</v>
      </c>
      <c r="T234" s="65">
        <v>1319.81</v>
      </c>
      <c r="U234" s="225">
        <v>6774.2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5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12"/>
        <v>4034.1</v>
      </c>
      <c r="T235" s="211">
        <f>4034.1</f>
        <v>4034.1</v>
      </c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61">
        <v>1</v>
      </c>
      <c r="I236" s="25"/>
      <c r="J236" s="25"/>
      <c r="K236" s="26"/>
      <c r="L236" s="27"/>
      <c r="M236" s="26">
        <f t="shared" si="5"/>
        <v>0</v>
      </c>
      <c r="N236" s="26"/>
      <c r="O236" s="28"/>
      <c r="P236" s="275"/>
      <c r="Q236" s="26"/>
      <c r="R236" s="27"/>
      <c r="S236" s="26">
        <f t="shared" si="12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5"/>
        <v>0</v>
      </c>
      <c r="N237" s="39"/>
      <c r="O237" s="41"/>
      <c r="P237" s="276"/>
      <c r="Q237" s="39"/>
      <c r="R237" s="40"/>
      <c r="S237" s="39">
        <f t="shared" si="12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5"/>
        <v>0</v>
      </c>
      <c r="N238" s="81"/>
      <c r="O238" s="219"/>
      <c r="P238" s="277"/>
      <c r="Q238" s="81"/>
      <c r="R238" s="80"/>
      <c r="S238" s="81">
        <f t="shared" si="12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2</v>
      </c>
      <c r="J239" s="130">
        <v>2</v>
      </c>
      <c r="K239" s="114">
        <v>4701.96</v>
      </c>
      <c r="L239" s="44"/>
      <c r="M239" s="43">
        <f t="shared" si="5"/>
        <v>0</v>
      </c>
      <c r="N239" s="43"/>
      <c r="O239" s="41"/>
      <c r="P239" s="113">
        <v>5</v>
      </c>
      <c r="Q239" s="114">
        <v>10565.5</v>
      </c>
      <c r="R239" s="44"/>
      <c r="S239" s="43">
        <f t="shared" si="12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5"/>
        <v>0</v>
      </c>
      <c r="N240" s="26"/>
      <c r="O240" s="31"/>
      <c r="P240" s="53">
        <v>2</v>
      </c>
      <c r="Q240" s="30">
        <v>2633.4</v>
      </c>
      <c r="R240" s="205">
        <v>2</v>
      </c>
      <c r="S240" s="26">
        <f t="shared" si="12"/>
        <v>2633.4</v>
      </c>
      <c r="T240" s="30">
        <v>2633.4</v>
      </c>
      <c r="U240" s="225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3</v>
      </c>
      <c r="I241" s="57"/>
      <c r="J241" s="57"/>
      <c r="K241" s="43"/>
      <c r="L241" s="44"/>
      <c r="M241" s="43">
        <f t="shared" si="5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12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7</v>
      </c>
      <c r="I242" s="62">
        <v>4</v>
      </c>
      <c r="J242" s="62">
        <v>4</v>
      </c>
      <c r="K242" s="30">
        <v>7196.58</v>
      </c>
      <c r="L242" s="27"/>
      <c r="M242" s="26">
        <f t="shared" si="5"/>
        <v>0</v>
      </c>
      <c r="N242" s="26"/>
      <c r="O242" s="31"/>
      <c r="P242" s="53">
        <v>12</v>
      </c>
      <c r="Q242" s="30">
        <v>25258.31</v>
      </c>
      <c r="R242" s="205">
        <v>3</v>
      </c>
      <c r="S242" s="26">
        <f t="shared" si="12"/>
        <v>18348.190000000002</v>
      </c>
      <c r="T242" s="30">
        <v>6447.76</v>
      </c>
      <c r="U242" s="225">
        <v>11900.43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6</v>
      </c>
      <c r="I243" s="38"/>
      <c r="J243" s="38"/>
      <c r="K243" s="39"/>
      <c r="L243" s="40"/>
      <c r="M243" s="39">
        <f t="shared" si="5"/>
        <v>0</v>
      </c>
      <c r="N243" s="39"/>
      <c r="O243" s="41"/>
      <c r="P243" s="59"/>
      <c r="Q243" s="39"/>
      <c r="R243" s="40"/>
      <c r="S243" s="39">
        <f t="shared" si="12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12</v>
      </c>
      <c r="I244" s="203">
        <v>10</v>
      </c>
      <c r="J244" s="203">
        <v>12</v>
      </c>
      <c r="K244" s="65">
        <v>15877.22</v>
      </c>
      <c r="L244" s="224">
        <v>2</v>
      </c>
      <c r="M244" s="50">
        <f t="shared" si="5"/>
        <v>7297.6</v>
      </c>
      <c r="N244" s="65">
        <v>2218.7600000000002</v>
      </c>
      <c r="O244" s="225">
        <v>5078.84</v>
      </c>
      <c r="P244" s="108">
        <v>17</v>
      </c>
      <c r="Q244" s="65">
        <v>44479.839999999997</v>
      </c>
      <c r="R244" s="224">
        <v>12</v>
      </c>
      <c r="S244" s="50">
        <f t="shared" si="12"/>
        <v>32281.95</v>
      </c>
      <c r="T244" s="65">
        <v>25044.9</v>
      </c>
      <c r="U244" s="225">
        <v>7237.05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5"/>
        <v>0</v>
      </c>
      <c r="N245" s="43"/>
      <c r="O245" s="41"/>
      <c r="P245" s="113">
        <v>2</v>
      </c>
      <c r="Q245" s="114">
        <v>15252.74</v>
      </c>
      <c r="R245" s="270">
        <v>2</v>
      </c>
      <c r="S245" s="114">
        <v>15252.74</v>
      </c>
      <c r="T245" s="114">
        <v>15252.74</v>
      </c>
      <c r="U245" s="23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429</v>
      </c>
      <c r="C246" s="374" t="s">
        <v>22</v>
      </c>
      <c r="D246" s="374"/>
      <c r="E246" s="374" t="s">
        <v>27</v>
      </c>
      <c r="F246" s="22"/>
      <c r="G246" s="176" t="s">
        <v>24</v>
      </c>
      <c r="H246" s="151"/>
      <c r="I246" s="25"/>
      <c r="J246" s="25"/>
      <c r="K246" s="26"/>
      <c r="L246" s="27"/>
      <c r="M246" s="26">
        <f t="shared" si="5"/>
        <v>0</v>
      </c>
      <c r="N246" s="26"/>
      <c r="O246" s="31"/>
      <c r="P246" s="53">
        <v>1</v>
      </c>
      <c r="Q246" s="30">
        <v>36784.050000000003</v>
      </c>
      <c r="R246" s="27"/>
      <c r="S246" s="26">
        <f t="shared" ref="S246:S272" si="13">T246+U246</f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/>
      <c r="G247" s="229" t="s">
        <v>28</v>
      </c>
      <c r="H247" s="56"/>
      <c r="I247" s="57"/>
      <c r="J247" s="57"/>
      <c r="K247" s="43"/>
      <c r="L247" s="44"/>
      <c r="M247" s="43">
        <f t="shared" si="5"/>
        <v>0</v>
      </c>
      <c r="N247" s="43"/>
      <c r="O247" s="45"/>
      <c r="P247" s="113"/>
      <c r="Q247" s="114"/>
      <c r="R247" s="44"/>
      <c r="S247" s="43">
        <f t="shared" si="13"/>
        <v>0</v>
      </c>
      <c r="T247" s="114"/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188</v>
      </c>
      <c r="C248" s="374" t="s">
        <v>39</v>
      </c>
      <c r="D248" s="374"/>
      <c r="E248" s="374" t="s">
        <v>27</v>
      </c>
      <c r="F248" s="22"/>
      <c r="G248" s="176" t="s">
        <v>24</v>
      </c>
      <c r="H248" s="151">
        <v>1</v>
      </c>
      <c r="I248" s="25"/>
      <c r="J248" s="25"/>
      <c r="K248" s="26"/>
      <c r="L248" s="27"/>
      <c r="M248" s="26">
        <f t="shared" si="5"/>
        <v>0</v>
      </c>
      <c r="N248" s="26"/>
      <c r="O248" s="31"/>
      <c r="P248" s="53">
        <v>1</v>
      </c>
      <c r="Q248" s="30">
        <v>2000</v>
      </c>
      <c r="R248" s="27"/>
      <c r="S248" s="26">
        <f t="shared" si="13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20.25" customHeight="1">
      <c r="A249" s="373"/>
      <c r="B249" s="375"/>
      <c r="C249" s="375"/>
      <c r="D249" s="375"/>
      <c r="E249" s="375"/>
      <c r="F249" s="220" t="s">
        <v>344</v>
      </c>
      <c r="G249" s="229" t="s">
        <v>28</v>
      </c>
      <c r="H249" s="56">
        <v>3</v>
      </c>
      <c r="I249" s="130">
        <v>1</v>
      </c>
      <c r="J249" s="130">
        <v>1</v>
      </c>
      <c r="K249" s="114">
        <v>1052.5999999999999</v>
      </c>
      <c r="L249" s="44"/>
      <c r="M249" s="43">
        <f t="shared" si="5"/>
        <v>0</v>
      </c>
      <c r="N249" s="43"/>
      <c r="O249" s="222">
        <v>0</v>
      </c>
      <c r="P249" s="113">
        <v>13</v>
      </c>
      <c r="Q249" s="114">
        <v>15160.1</v>
      </c>
      <c r="R249" s="44"/>
      <c r="S249" s="43">
        <f t="shared" si="13"/>
        <v>4050.2</v>
      </c>
      <c r="T249" s="114">
        <v>4050.2</v>
      </c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189</v>
      </c>
      <c r="C250" s="374" t="s">
        <v>39</v>
      </c>
      <c r="D250" s="374" t="s">
        <v>427</v>
      </c>
      <c r="E250" s="374" t="s">
        <v>27</v>
      </c>
      <c r="F250" s="232" t="s">
        <v>428</v>
      </c>
      <c r="G250" s="23" t="s">
        <v>24</v>
      </c>
      <c r="H250" s="24">
        <v>12</v>
      </c>
      <c r="I250" s="62">
        <v>6</v>
      </c>
      <c r="J250" s="62">
        <v>8</v>
      </c>
      <c r="K250" s="30">
        <v>12276.73</v>
      </c>
      <c r="L250" s="205">
        <v>2</v>
      </c>
      <c r="M250" s="26">
        <f t="shared" si="5"/>
        <v>6835.8799999999992</v>
      </c>
      <c r="N250" s="30">
        <v>3404.99</v>
      </c>
      <c r="O250" s="241">
        <v>3430.89</v>
      </c>
      <c r="P250" s="29">
        <v>2</v>
      </c>
      <c r="Q250" s="30">
        <v>1870.81</v>
      </c>
      <c r="R250" s="205">
        <v>2</v>
      </c>
      <c r="S250" s="26">
        <f t="shared" si="13"/>
        <v>1870.81</v>
      </c>
      <c r="T250" s="30">
        <v>1870.81</v>
      </c>
      <c r="U250" s="2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256</v>
      </c>
      <c r="G251" s="35" t="s">
        <v>28</v>
      </c>
      <c r="H251" s="66">
        <v>3</v>
      </c>
      <c r="I251" s="38"/>
      <c r="J251" s="38"/>
      <c r="K251" s="39"/>
      <c r="L251" s="40"/>
      <c r="M251" s="39">
        <f t="shared" si="5"/>
        <v>0</v>
      </c>
      <c r="N251" s="39"/>
      <c r="O251" s="41"/>
      <c r="P251" s="69"/>
      <c r="Q251" s="39"/>
      <c r="R251" s="40"/>
      <c r="S251" s="39">
        <f t="shared" si="13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190</v>
      </c>
      <c r="C252" s="381" t="s">
        <v>39</v>
      </c>
      <c r="D252" s="381" t="s">
        <v>191</v>
      </c>
      <c r="E252" s="381" t="s">
        <v>27</v>
      </c>
      <c r="F252" s="46"/>
      <c r="G252" s="47" t="s">
        <v>24</v>
      </c>
      <c r="H252" s="98"/>
      <c r="I252" s="49"/>
      <c r="J252" s="49"/>
      <c r="K252" s="50"/>
      <c r="L252" s="51"/>
      <c r="M252" s="50">
        <f t="shared" si="5"/>
        <v>0</v>
      </c>
      <c r="N252" s="50"/>
      <c r="O252" s="31"/>
      <c r="P252" s="123"/>
      <c r="Q252" s="50"/>
      <c r="R252" s="51"/>
      <c r="S252" s="50">
        <f t="shared" si="13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345</v>
      </c>
      <c r="G253" s="35" t="s">
        <v>28</v>
      </c>
      <c r="H253" s="112">
        <v>2</v>
      </c>
      <c r="I253" s="57"/>
      <c r="J253" s="57"/>
      <c r="K253" s="43"/>
      <c r="L253" s="44"/>
      <c r="M253" s="43">
        <f t="shared" si="5"/>
        <v>0</v>
      </c>
      <c r="N253" s="43"/>
      <c r="O253" s="45"/>
      <c r="P253" s="115">
        <v>4</v>
      </c>
      <c r="Q253" s="68">
        <v>5106.7</v>
      </c>
      <c r="R253" s="40"/>
      <c r="S253" s="39">
        <f t="shared" si="13"/>
        <v>6739.58</v>
      </c>
      <c r="T253" s="68">
        <f>3818+2921.58</f>
        <v>6739.58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192</v>
      </c>
      <c r="C254" s="374" t="s">
        <v>22</v>
      </c>
      <c r="D254" s="374"/>
      <c r="E254" s="374" t="s">
        <v>193</v>
      </c>
      <c r="F254" s="204" t="s">
        <v>318</v>
      </c>
      <c r="G254" s="176" t="s">
        <v>24</v>
      </c>
      <c r="H254" s="61">
        <v>8</v>
      </c>
      <c r="I254" s="62">
        <v>5</v>
      </c>
      <c r="J254" s="62">
        <v>5</v>
      </c>
      <c r="K254" s="30">
        <v>5727.17</v>
      </c>
      <c r="L254" s="27"/>
      <c r="M254" s="26">
        <f t="shared" si="5"/>
        <v>0</v>
      </c>
      <c r="N254" s="26"/>
      <c r="O254" s="100"/>
      <c r="P254" s="64">
        <v>19</v>
      </c>
      <c r="Q254" s="65">
        <v>50291.24</v>
      </c>
      <c r="R254" s="224">
        <v>14</v>
      </c>
      <c r="S254" s="50">
        <f t="shared" si="13"/>
        <v>32753.78</v>
      </c>
      <c r="T254" s="65">
        <v>32753.78</v>
      </c>
      <c r="U254" s="225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346</v>
      </c>
      <c r="G255" s="229" t="s">
        <v>28</v>
      </c>
      <c r="H255" s="133">
        <v>1</v>
      </c>
      <c r="I255" s="37">
        <v>1</v>
      </c>
      <c r="J255" s="37">
        <v>1</v>
      </c>
      <c r="K255" s="68">
        <v>1728.9</v>
      </c>
      <c r="L255" s="285">
        <v>1</v>
      </c>
      <c r="M255" s="39">
        <f t="shared" si="5"/>
        <v>1728.9</v>
      </c>
      <c r="N255" s="39">
        <f>1728.9</f>
        <v>1728.9</v>
      </c>
      <c r="O255" s="41"/>
      <c r="P255" s="42"/>
      <c r="Q255" s="43"/>
      <c r="R255" s="44"/>
      <c r="S255" s="43">
        <f t="shared" si="13"/>
        <v>0</v>
      </c>
      <c r="T255" s="43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194</v>
      </c>
      <c r="C256" s="377" t="s">
        <v>39</v>
      </c>
      <c r="D256" s="377" t="s">
        <v>319</v>
      </c>
      <c r="E256" s="374" t="s">
        <v>160</v>
      </c>
      <c r="F256" s="232" t="s">
        <v>320</v>
      </c>
      <c r="G256" s="23" t="s">
        <v>24</v>
      </c>
      <c r="H256" s="48">
        <v>5</v>
      </c>
      <c r="I256" s="203">
        <v>4</v>
      </c>
      <c r="J256" s="203">
        <v>4</v>
      </c>
      <c r="K256" s="65">
        <v>2968.33</v>
      </c>
      <c r="L256" s="316">
        <v>1</v>
      </c>
      <c r="M256" s="129">
        <f t="shared" si="5"/>
        <v>288.14999999999998</v>
      </c>
      <c r="N256" s="65">
        <v>288.14999999999998</v>
      </c>
      <c r="O256" s="225"/>
      <c r="P256" s="29">
        <v>3</v>
      </c>
      <c r="Q256" s="30">
        <v>6107.21</v>
      </c>
      <c r="R256" s="205">
        <v>3</v>
      </c>
      <c r="S256" s="26">
        <f t="shared" si="13"/>
        <v>6107.21</v>
      </c>
      <c r="T256" s="30">
        <v>6107.21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347</v>
      </c>
      <c r="G257" s="35" t="s">
        <v>28</v>
      </c>
      <c r="H257" s="117">
        <v>1</v>
      </c>
      <c r="I257" s="37"/>
      <c r="J257" s="37"/>
      <c r="K257" s="39"/>
      <c r="L257" s="44"/>
      <c r="M257" s="43">
        <f t="shared" si="5"/>
        <v>0</v>
      </c>
      <c r="N257" s="39"/>
      <c r="O257" s="41"/>
      <c r="P257" s="37">
        <v>5</v>
      </c>
      <c r="Q257" s="37">
        <v>12038.63</v>
      </c>
      <c r="R257" s="40"/>
      <c r="S257" s="39">
        <f t="shared" si="13"/>
        <v>4621.6400000000003</v>
      </c>
      <c r="T257" s="68">
        <f>576.3+4045.34</f>
        <v>4621.6400000000003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195</v>
      </c>
      <c r="C258" s="377" t="s">
        <v>39</v>
      </c>
      <c r="D258" s="377" t="s">
        <v>231</v>
      </c>
      <c r="E258" s="381" t="s">
        <v>27</v>
      </c>
      <c r="F258" s="204" t="s">
        <v>232</v>
      </c>
      <c r="G258" s="47" t="s">
        <v>24</v>
      </c>
      <c r="H258" s="61">
        <v>1</v>
      </c>
      <c r="I258" s="25"/>
      <c r="J258" s="25"/>
      <c r="K258" s="26"/>
      <c r="L258" s="205"/>
      <c r="M258" s="26">
        <f t="shared" si="5"/>
        <v>0</v>
      </c>
      <c r="N258" s="26"/>
      <c r="O258" s="31"/>
      <c r="P258" s="64">
        <v>7</v>
      </c>
      <c r="Q258" s="65">
        <v>46859.35</v>
      </c>
      <c r="R258" s="224">
        <v>4</v>
      </c>
      <c r="S258" s="50">
        <f t="shared" si="13"/>
        <v>46859.35</v>
      </c>
      <c r="T258" s="65">
        <v>38298.17</v>
      </c>
      <c r="U258" s="225">
        <v>8561.18</v>
      </c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260</v>
      </c>
      <c r="G259" s="55" t="s">
        <v>28</v>
      </c>
      <c r="H259" s="178">
        <v>5</v>
      </c>
      <c r="I259" s="130">
        <v>1</v>
      </c>
      <c r="J259" s="130">
        <v>1</v>
      </c>
      <c r="K259" s="114">
        <v>1152.5999999999999</v>
      </c>
      <c r="L259" s="44"/>
      <c r="M259" s="43">
        <f t="shared" si="5"/>
        <v>1152.5999999999999</v>
      </c>
      <c r="N259" s="43">
        <f>1152.6</f>
        <v>1152.5999999999999</v>
      </c>
      <c r="O259" s="222"/>
      <c r="P259" s="130">
        <v>5</v>
      </c>
      <c r="Q259" s="130">
        <v>17214.55</v>
      </c>
      <c r="R259" s="270">
        <v>6</v>
      </c>
      <c r="S259" s="43">
        <f t="shared" si="13"/>
        <v>18249.5</v>
      </c>
      <c r="T259" s="114">
        <f>4994.6+12678.6+576.3</f>
        <v>18249.5</v>
      </c>
      <c r="U259" s="222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196</v>
      </c>
      <c r="C260" s="381" t="s">
        <v>22</v>
      </c>
      <c r="D260" s="374"/>
      <c r="E260" s="381" t="s">
        <v>27</v>
      </c>
      <c r="F260" s="22"/>
      <c r="G260" s="23" t="s">
        <v>24</v>
      </c>
      <c r="H260" s="119"/>
      <c r="I260" s="25"/>
      <c r="J260" s="25"/>
      <c r="K260" s="26"/>
      <c r="L260" s="27"/>
      <c r="M260" s="26">
        <f t="shared" si="5"/>
        <v>0</v>
      </c>
      <c r="N260" s="26"/>
      <c r="O260" s="28"/>
      <c r="P260" s="120"/>
      <c r="Q260" s="26"/>
      <c r="R260" s="27"/>
      <c r="S260" s="26">
        <f t="shared" si="13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348</v>
      </c>
      <c r="G261" s="35" t="s">
        <v>28</v>
      </c>
      <c r="H261" s="66">
        <v>4</v>
      </c>
      <c r="I261" s="38"/>
      <c r="J261" s="38"/>
      <c r="K261" s="39"/>
      <c r="L261" s="40"/>
      <c r="M261" s="39">
        <f t="shared" si="5"/>
        <v>0</v>
      </c>
      <c r="N261" s="39"/>
      <c r="O261" s="41"/>
      <c r="P261" s="67">
        <v>4</v>
      </c>
      <c r="Q261" s="68">
        <v>11282.42</v>
      </c>
      <c r="R261" s="40"/>
      <c r="S261" s="39">
        <f t="shared" si="13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197</v>
      </c>
      <c r="C262" s="381" t="s">
        <v>39</v>
      </c>
      <c r="D262" s="381" t="s">
        <v>381</v>
      </c>
      <c r="E262" s="381" t="s">
        <v>27</v>
      </c>
      <c r="F262" s="204" t="s">
        <v>382</v>
      </c>
      <c r="G262" s="47" t="s">
        <v>24</v>
      </c>
      <c r="H262" s="98"/>
      <c r="I262" s="49"/>
      <c r="J262" s="49"/>
      <c r="K262" s="50"/>
      <c r="L262" s="51"/>
      <c r="M262" s="50">
        <f t="shared" si="5"/>
        <v>0</v>
      </c>
      <c r="N262" s="50"/>
      <c r="O262" s="31"/>
      <c r="P262" s="108">
        <v>1</v>
      </c>
      <c r="Q262" s="65">
        <v>748.24</v>
      </c>
      <c r="R262" s="224">
        <v>1</v>
      </c>
      <c r="S262" s="50">
        <f t="shared" si="13"/>
        <v>748.24</v>
      </c>
      <c r="T262" s="65">
        <v>748.24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9"/>
      <c r="B263" s="380"/>
      <c r="C263" s="380"/>
      <c r="D263" s="380"/>
      <c r="E263" s="380"/>
      <c r="F263" s="221" t="s">
        <v>349</v>
      </c>
      <c r="G263" s="55" t="s">
        <v>28</v>
      </c>
      <c r="H263" s="153">
        <v>3</v>
      </c>
      <c r="I263" s="130">
        <v>2</v>
      </c>
      <c r="J263" s="130">
        <v>2</v>
      </c>
      <c r="K263" s="114">
        <v>3265.7</v>
      </c>
      <c r="L263" s="270">
        <v>1</v>
      </c>
      <c r="M263" s="43">
        <f t="shared" si="5"/>
        <v>1056.55</v>
      </c>
      <c r="N263" s="43">
        <f>1056.55</f>
        <v>1056.55</v>
      </c>
      <c r="O263" s="41"/>
      <c r="P263" s="103"/>
      <c r="Q263" s="43"/>
      <c r="R263" s="44"/>
      <c r="S263" s="43">
        <f t="shared" si="13"/>
        <v>3765.16</v>
      </c>
      <c r="T263" s="114">
        <f>1440.75+2324.41</f>
        <v>3765.16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198</v>
      </c>
      <c r="C264" s="374" t="s">
        <v>22</v>
      </c>
      <c r="D264" s="374"/>
      <c r="E264" s="374" t="s">
        <v>112</v>
      </c>
      <c r="F264" s="204" t="s">
        <v>383</v>
      </c>
      <c r="G264" s="23" t="s">
        <v>24</v>
      </c>
      <c r="H264" s="48">
        <v>5</v>
      </c>
      <c r="I264" s="62">
        <v>5</v>
      </c>
      <c r="J264" s="62">
        <v>5</v>
      </c>
      <c r="K264" s="30">
        <v>5867.69</v>
      </c>
      <c r="L264" s="27"/>
      <c r="M264" s="26">
        <f t="shared" si="5"/>
        <v>0</v>
      </c>
      <c r="N264" s="26"/>
      <c r="O264" s="31"/>
      <c r="P264" s="53">
        <v>12</v>
      </c>
      <c r="Q264" s="30">
        <v>46848.4</v>
      </c>
      <c r="R264" s="205">
        <v>3</v>
      </c>
      <c r="S264" s="26">
        <f t="shared" si="13"/>
        <v>25614.959999999999</v>
      </c>
      <c r="T264" s="30">
        <v>10703.11</v>
      </c>
      <c r="U264" s="225">
        <v>14911.85</v>
      </c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350</v>
      </c>
      <c r="G265" s="35" t="s">
        <v>28</v>
      </c>
      <c r="H265" s="153">
        <v>1</v>
      </c>
      <c r="I265" s="38"/>
      <c r="J265" s="38"/>
      <c r="K265" s="39"/>
      <c r="L265" s="40"/>
      <c r="M265" s="39">
        <f t="shared" si="5"/>
        <v>0</v>
      </c>
      <c r="N265" s="39"/>
      <c r="O265" s="41"/>
      <c r="P265" s="59"/>
      <c r="Q265" s="39"/>
      <c r="R265" s="40"/>
      <c r="S265" s="39">
        <f t="shared" si="13"/>
        <v>0</v>
      </c>
      <c r="T265" s="39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199</v>
      </c>
      <c r="C266" s="381" t="s">
        <v>22</v>
      </c>
      <c r="D266" s="381"/>
      <c r="E266" s="381" t="s">
        <v>131</v>
      </c>
      <c r="F266" s="46"/>
      <c r="G266" s="23" t="s">
        <v>24</v>
      </c>
      <c r="H266" s="98"/>
      <c r="I266" s="49"/>
      <c r="J266" s="49"/>
      <c r="K266" s="50"/>
      <c r="L266" s="51"/>
      <c r="M266" s="50">
        <f t="shared" si="5"/>
        <v>0</v>
      </c>
      <c r="N266" s="50"/>
      <c r="O266" s="31"/>
      <c r="P266" s="123"/>
      <c r="Q266" s="50"/>
      <c r="R266" s="51"/>
      <c r="S266" s="50">
        <f t="shared" si="13"/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126"/>
      <c r="G267" s="55" t="s">
        <v>25</v>
      </c>
      <c r="H267" s="118"/>
      <c r="I267" s="57"/>
      <c r="J267" s="57"/>
      <c r="K267" s="43"/>
      <c r="L267" s="44"/>
      <c r="M267" s="43">
        <f t="shared" si="5"/>
        <v>0</v>
      </c>
      <c r="N267" s="43"/>
      <c r="O267" s="41"/>
      <c r="P267" s="103"/>
      <c r="Q267" s="43"/>
      <c r="R267" s="44"/>
      <c r="S267" s="43">
        <f t="shared" si="13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200</v>
      </c>
      <c r="C268" s="374" t="s">
        <v>22</v>
      </c>
      <c r="D268" s="374"/>
      <c r="E268" s="374" t="s">
        <v>27</v>
      </c>
      <c r="F268" s="204" t="s">
        <v>384</v>
      </c>
      <c r="G268" s="23" t="s">
        <v>24</v>
      </c>
      <c r="H268" s="61">
        <v>1</v>
      </c>
      <c r="I268" s="25"/>
      <c r="J268" s="25"/>
      <c r="K268" s="26"/>
      <c r="L268" s="27"/>
      <c r="M268" s="26">
        <f t="shared" si="5"/>
        <v>0</v>
      </c>
      <c r="N268" s="26"/>
      <c r="O268" s="31"/>
      <c r="P268" s="29">
        <v>5</v>
      </c>
      <c r="Q268" s="30">
        <v>20287.48</v>
      </c>
      <c r="R268" s="205">
        <v>1</v>
      </c>
      <c r="S268" s="26">
        <f t="shared" si="13"/>
        <v>12991.56</v>
      </c>
      <c r="T268" s="30">
        <v>1911.09</v>
      </c>
      <c r="U268" s="225">
        <v>11080.47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33" t="s">
        <v>351</v>
      </c>
      <c r="G269" s="227" t="s">
        <v>28</v>
      </c>
      <c r="H269" s="207">
        <v>1</v>
      </c>
      <c r="I269" s="208">
        <v>1</v>
      </c>
      <c r="J269" s="208">
        <v>1</v>
      </c>
      <c r="K269" s="209">
        <v>1056.55</v>
      </c>
      <c r="L269" s="210"/>
      <c r="M269" s="211">
        <f t="shared" si="5"/>
        <v>0</v>
      </c>
      <c r="N269" s="211"/>
      <c r="O269" s="212"/>
      <c r="P269" s="284"/>
      <c r="Q269" s="211"/>
      <c r="R269" s="210"/>
      <c r="S269" s="211">
        <f t="shared" si="13"/>
        <v>1921</v>
      </c>
      <c r="T269" s="209">
        <v>1921</v>
      </c>
      <c r="U269" s="212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430</v>
      </c>
      <c r="C270" s="374" t="s">
        <v>39</v>
      </c>
      <c r="D270" s="374" t="s">
        <v>439</v>
      </c>
      <c r="E270" s="374" t="s">
        <v>27</v>
      </c>
      <c r="F270" s="204" t="s">
        <v>440</v>
      </c>
      <c r="G270" s="213" t="s">
        <v>24</v>
      </c>
      <c r="H270" s="61"/>
      <c r="I270" s="62"/>
      <c r="J270" s="62"/>
      <c r="K270" s="30"/>
      <c r="L270" s="27"/>
      <c r="M270" s="26">
        <f t="shared" si="5"/>
        <v>0</v>
      </c>
      <c r="N270" s="26"/>
      <c r="O270" s="241"/>
      <c r="P270" s="214"/>
      <c r="Q270" s="30"/>
      <c r="R270" s="205"/>
      <c r="S270" s="26">
        <f t="shared" si="13"/>
        <v>0</v>
      </c>
      <c r="T270" s="30"/>
      <c r="U270" s="28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0"/>
      <c r="G271" s="215" t="s">
        <v>28</v>
      </c>
      <c r="H271" s="117"/>
      <c r="I271" s="37"/>
      <c r="J271" s="37"/>
      <c r="K271" s="68"/>
      <c r="L271" s="40"/>
      <c r="M271" s="39">
        <f t="shared" si="5"/>
        <v>0</v>
      </c>
      <c r="N271" s="39"/>
      <c r="O271" s="234"/>
      <c r="P271" s="217"/>
      <c r="Q271" s="68"/>
      <c r="R271" s="285"/>
      <c r="S271" s="39">
        <f t="shared" si="13"/>
        <v>0</v>
      </c>
      <c r="T271" s="68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6"/>
      <c r="B272" s="377" t="s">
        <v>201</v>
      </c>
      <c r="C272" s="377" t="s">
        <v>39</v>
      </c>
      <c r="D272" s="377" t="s">
        <v>385</v>
      </c>
      <c r="E272" s="377" t="s">
        <v>386</v>
      </c>
      <c r="F272" s="232" t="s">
        <v>387</v>
      </c>
      <c r="G272" s="95" t="s">
        <v>24</v>
      </c>
      <c r="H272" s="265">
        <v>10</v>
      </c>
      <c r="I272" s="266">
        <v>9</v>
      </c>
      <c r="J272" s="266">
        <v>12</v>
      </c>
      <c r="K272" s="79">
        <v>15909.92</v>
      </c>
      <c r="L272" s="268">
        <v>4</v>
      </c>
      <c r="M272" s="81">
        <f t="shared" si="5"/>
        <v>8145.2199999999993</v>
      </c>
      <c r="N272" s="79">
        <v>4589.6499999999996</v>
      </c>
      <c r="O272" s="313">
        <v>3555.57</v>
      </c>
      <c r="P272" s="267">
        <v>2</v>
      </c>
      <c r="Q272" s="79">
        <v>4356.83</v>
      </c>
      <c r="R272" s="268">
        <v>2</v>
      </c>
      <c r="S272" s="81">
        <f t="shared" si="13"/>
        <v>4356.83</v>
      </c>
      <c r="T272" s="79">
        <v>4356.83</v>
      </c>
      <c r="U272" s="8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105"/>
      <c r="G273" s="35" t="s">
        <v>25</v>
      </c>
      <c r="H273" s="106"/>
      <c r="I273" s="38"/>
      <c r="J273" s="38"/>
      <c r="K273" s="39"/>
      <c r="L273" s="40"/>
      <c r="M273" s="39">
        <f t="shared" si="5"/>
        <v>0</v>
      </c>
      <c r="N273" s="39"/>
      <c r="O273" s="58"/>
      <c r="P273" s="115">
        <v>2</v>
      </c>
      <c r="Q273" s="68">
        <v>4418.3</v>
      </c>
      <c r="R273" s="285">
        <v>2</v>
      </c>
      <c r="S273" s="68">
        <v>4418.3</v>
      </c>
      <c r="T273" s="68">
        <v>4418.3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202</v>
      </c>
      <c r="C274" s="381" t="s">
        <v>39</v>
      </c>
      <c r="D274" s="377" t="s">
        <v>441</v>
      </c>
      <c r="E274" s="381" t="s">
        <v>27</v>
      </c>
      <c r="F274" s="204" t="s">
        <v>442</v>
      </c>
      <c r="G274" s="47" t="s">
        <v>24</v>
      </c>
      <c r="H274" s="48">
        <v>2</v>
      </c>
      <c r="I274" s="203">
        <v>2</v>
      </c>
      <c r="J274" s="203">
        <v>2</v>
      </c>
      <c r="K274" s="65">
        <v>2382.04</v>
      </c>
      <c r="L274" s="51"/>
      <c r="M274" s="50">
        <f t="shared" si="5"/>
        <v>0</v>
      </c>
      <c r="N274" s="50"/>
      <c r="O274" s="31"/>
      <c r="P274" s="108">
        <v>2</v>
      </c>
      <c r="Q274" s="65">
        <v>4082.51</v>
      </c>
      <c r="R274" s="224">
        <v>1</v>
      </c>
      <c r="S274" s="50">
        <f t="shared" ref="S274:S278" si="14">T274+U274</f>
        <v>1124.17</v>
      </c>
      <c r="T274" s="50"/>
      <c r="U274" s="225">
        <v>1124.17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1" t="s">
        <v>262</v>
      </c>
      <c r="G275" s="55" t="s">
        <v>28</v>
      </c>
      <c r="H275" s="112">
        <v>2</v>
      </c>
      <c r="I275" s="130">
        <v>1</v>
      </c>
      <c r="J275" s="130">
        <v>1</v>
      </c>
      <c r="K275" s="114">
        <v>1479.17</v>
      </c>
      <c r="L275" s="128"/>
      <c r="M275" s="129">
        <f t="shared" si="5"/>
        <v>0</v>
      </c>
      <c r="N275" s="43"/>
      <c r="O275" s="45"/>
      <c r="P275" s="113">
        <v>2</v>
      </c>
      <c r="Q275" s="114">
        <v>8452.4</v>
      </c>
      <c r="R275" s="128"/>
      <c r="S275" s="129">
        <f t="shared" si="14"/>
        <v>4994.6000000000004</v>
      </c>
      <c r="T275" s="114">
        <f>3649.9+1344.7</f>
        <v>4994.6000000000004</v>
      </c>
      <c r="U275" s="4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203</v>
      </c>
      <c r="C276" s="374"/>
      <c r="D276" s="374"/>
      <c r="E276" s="374" t="s">
        <v>27</v>
      </c>
      <c r="F276" s="60"/>
      <c r="G276" s="23" t="s">
        <v>24</v>
      </c>
      <c r="H276" s="61">
        <v>2</v>
      </c>
      <c r="I276" s="25"/>
      <c r="J276" s="25"/>
      <c r="K276" s="26"/>
      <c r="L276" s="27"/>
      <c r="M276" s="26">
        <f t="shared" si="5"/>
        <v>0</v>
      </c>
      <c r="N276" s="26"/>
      <c r="O276" s="28"/>
      <c r="P276" s="120"/>
      <c r="Q276" s="26"/>
      <c r="R276" s="27"/>
      <c r="S276" s="26">
        <f t="shared" si="14"/>
        <v>0</v>
      </c>
      <c r="T276" s="26"/>
      <c r="U276" s="28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28</v>
      </c>
      <c r="H277" s="117"/>
      <c r="I277" s="38"/>
      <c r="J277" s="38"/>
      <c r="K277" s="39"/>
      <c r="L277" s="40"/>
      <c r="M277" s="39">
        <f t="shared" si="5"/>
        <v>0</v>
      </c>
      <c r="N277" s="39"/>
      <c r="O277" s="41"/>
      <c r="P277" s="69"/>
      <c r="Q277" s="39"/>
      <c r="R277" s="40"/>
      <c r="S277" s="39">
        <f t="shared" si="14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204</v>
      </c>
      <c r="C278" s="381" t="s">
        <v>22</v>
      </c>
      <c r="D278" s="381"/>
      <c r="E278" s="381" t="s">
        <v>23</v>
      </c>
      <c r="F278" s="204" t="s">
        <v>431</v>
      </c>
      <c r="G278" s="47" t="s">
        <v>24</v>
      </c>
      <c r="H278" s="48">
        <v>8</v>
      </c>
      <c r="I278" s="203">
        <v>5</v>
      </c>
      <c r="J278" s="203">
        <v>6</v>
      </c>
      <c r="K278" s="65">
        <v>7650.47</v>
      </c>
      <c r="L278" s="224">
        <v>1</v>
      </c>
      <c r="M278" s="50">
        <f t="shared" si="5"/>
        <v>384.2</v>
      </c>
      <c r="N278" s="50"/>
      <c r="O278" s="225">
        <v>384.2</v>
      </c>
      <c r="P278" s="108">
        <v>4</v>
      </c>
      <c r="Q278" s="65">
        <v>3363.11</v>
      </c>
      <c r="R278" s="224">
        <v>4</v>
      </c>
      <c r="S278" s="50">
        <f t="shared" si="14"/>
        <v>3363.11</v>
      </c>
      <c r="T278" s="50"/>
      <c r="U278" s="225">
        <v>3363.11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25</v>
      </c>
      <c r="H279" s="111"/>
      <c r="I279" s="38"/>
      <c r="J279" s="38"/>
      <c r="K279" s="39"/>
      <c r="L279" s="40"/>
      <c r="M279" s="39">
        <f t="shared" si="5"/>
        <v>0</v>
      </c>
      <c r="N279" s="39"/>
      <c r="O279" s="41"/>
      <c r="P279" s="115">
        <v>1</v>
      </c>
      <c r="Q279" s="68">
        <v>2305.1999999999998</v>
      </c>
      <c r="R279" s="285">
        <v>1</v>
      </c>
      <c r="S279" s="68">
        <v>2305.1999999999998</v>
      </c>
      <c r="T279" s="68">
        <v>2305.1999999999998</v>
      </c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179"/>
      <c r="B280" s="180" t="s">
        <v>205</v>
      </c>
      <c r="C280" s="180"/>
      <c r="D280" s="180"/>
      <c r="E280" s="180"/>
      <c r="F280" s="180"/>
      <c r="G280" s="181"/>
      <c r="H280" s="182">
        <f t="shared" ref="H280:U280" si="15">SUM(H9:H279)</f>
        <v>930</v>
      </c>
      <c r="I280" s="183">
        <f t="shared" si="15"/>
        <v>476</v>
      </c>
      <c r="J280" s="183">
        <f t="shared" si="15"/>
        <v>549</v>
      </c>
      <c r="K280" s="184">
        <f t="shared" si="15"/>
        <v>869886.30999999959</v>
      </c>
      <c r="L280" s="185">
        <f t="shared" si="15"/>
        <v>96</v>
      </c>
      <c r="M280" s="184">
        <f t="shared" si="15"/>
        <v>293921.40999999992</v>
      </c>
      <c r="N280" s="184">
        <f t="shared" si="15"/>
        <v>106418.96</v>
      </c>
      <c r="O280" s="186">
        <f t="shared" si="15"/>
        <v>187502.45</v>
      </c>
      <c r="P280" s="187">
        <f t="shared" si="15"/>
        <v>1092</v>
      </c>
      <c r="Q280" s="188">
        <f t="shared" si="15"/>
        <v>3520842.2600000002</v>
      </c>
      <c r="R280" s="185">
        <f t="shared" si="15"/>
        <v>565</v>
      </c>
      <c r="S280" s="188">
        <f t="shared" si="15"/>
        <v>2430192.9200000009</v>
      </c>
      <c r="T280" s="188">
        <f t="shared" si="15"/>
        <v>1601632.1100000006</v>
      </c>
      <c r="U280" s="189">
        <f t="shared" si="15"/>
        <v>828560.81000000029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I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 t="s">
        <v>206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27.75" customHeight="1">
      <c r="A284" s="4"/>
      <c r="B284" s="4"/>
      <c r="C284" s="4"/>
      <c r="D284" s="4"/>
      <c r="E284" s="4"/>
      <c r="F284" s="394"/>
      <c r="G284" s="395" t="s">
        <v>5</v>
      </c>
      <c r="H284" s="396"/>
      <c r="I284" s="396"/>
      <c r="J284" s="396"/>
      <c r="K284" s="396"/>
      <c r="L284" s="396"/>
      <c r="M284" s="396"/>
      <c r="N284" s="397"/>
      <c r="O284" s="395" t="s">
        <v>6</v>
      </c>
      <c r="P284" s="396"/>
      <c r="Q284" s="396"/>
      <c r="R284" s="396"/>
      <c r="S284" s="396"/>
      <c r="T284" s="397"/>
      <c r="U284" s="393" t="s">
        <v>207</v>
      </c>
      <c r="V284" s="393" t="s">
        <v>208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386"/>
      <c r="G285" s="190" t="s">
        <v>13</v>
      </c>
      <c r="H285" s="190" t="s">
        <v>14</v>
      </c>
      <c r="I285" s="190" t="s">
        <v>15</v>
      </c>
      <c r="J285" s="190" t="s">
        <v>16</v>
      </c>
      <c r="K285" s="191" t="s">
        <v>17</v>
      </c>
      <c r="L285" s="190" t="s">
        <v>18</v>
      </c>
      <c r="M285" s="190" t="s">
        <v>19</v>
      </c>
      <c r="N285" s="190" t="s">
        <v>20</v>
      </c>
      <c r="O285" s="190" t="s">
        <v>15</v>
      </c>
      <c r="P285" s="190" t="s">
        <v>16</v>
      </c>
      <c r="Q285" s="191" t="s">
        <v>17</v>
      </c>
      <c r="R285" s="190" t="s">
        <v>18</v>
      </c>
      <c r="S285" s="190" t="s">
        <v>19</v>
      </c>
      <c r="T285" s="190" t="s">
        <v>20</v>
      </c>
      <c r="U285" s="392"/>
      <c r="V285" s="392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24</v>
      </c>
      <c r="G286" s="193">
        <f t="shared" ref="G286:I286" si="16">SUMIF($G$9:$G$279,$F$286,H9:H279)</f>
        <v>650</v>
      </c>
      <c r="H286" s="193">
        <f t="shared" si="16"/>
        <v>396</v>
      </c>
      <c r="I286" s="193">
        <f t="shared" si="16"/>
        <v>469</v>
      </c>
      <c r="J286" s="194">
        <f t="shared" ref="J286:J288" si="17">SUMIF($G$9:$G$279,F286,$K$9:$K$279)</f>
        <v>746700.91999999958</v>
      </c>
      <c r="K286" s="195">
        <f t="shared" ref="K286:K288" si="18">SUMIF($G$9:$G$279,F286,$L$9:$L$279)</f>
        <v>63</v>
      </c>
      <c r="L286" s="194">
        <f t="shared" ref="L286:L288" si="19">SUMIF($G$9:$G$279,F286,$M$9:$M$279)</f>
        <v>237447</v>
      </c>
      <c r="M286" s="194">
        <f t="shared" ref="M286:O286" si="20">SUMIF($G$9:$G$279,$F$286,N9:N279)</f>
        <v>49944.550000000017</v>
      </c>
      <c r="N286" s="194">
        <f t="shared" si="20"/>
        <v>187502.45</v>
      </c>
      <c r="O286" s="193">
        <f t="shared" si="20"/>
        <v>907</v>
      </c>
      <c r="P286" s="194">
        <f t="shared" ref="P286:P288" si="21">SUMIF($G$9:$G$279,F286,$Q$9:$Q$279)</f>
        <v>2980620.0799999996</v>
      </c>
      <c r="Q286" s="195">
        <f t="shared" ref="Q286:Q288" si="22">SUMIF($G$9:$G$279,F286,$R$9:$R$279)</f>
        <v>484</v>
      </c>
      <c r="R286" s="194">
        <f t="shared" ref="R286:R288" si="23">SUMIF($G$9:$G$279,F286,$S$9:$S$279)</f>
        <v>2034828.6600000001</v>
      </c>
      <c r="S286" s="194">
        <f t="shared" ref="S286:T286" si="24">SUMIF($G$9:$G$279,$F$286,T9:T279)</f>
        <v>1206267.8500000006</v>
      </c>
      <c r="T286" s="194">
        <f t="shared" si="24"/>
        <v>828560.81000000029</v>
      </c>
      <c r="U286" s="194">
        <f t="shared" ref="U286:U288" si="25">S286+M286</f>
        <v>1256212.4000000006</v>
      </c>
      <c r="V286" s="196">
        <f t="shared" ref="V286:V288" si="26">J286-M286+P286-S286</f>
        <v>2471108.5999999987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192" t="s">
        <v>28</v>
      </c>
      <c r="G287" s="236">
        <f t="shared" ref="G287:I287" si="27">SUMIF($G$9:$G$279,$F$287,H9:H279)</f>
        <v>231</v>
      </c>
      <c r="H287" s="193">
        <f t="shared" si="27"/>
        <v>61</v>
      </c>
      <c r="I287" s="193">
        <f t="shared" si="27"/>
        <v>61</v>
      </c>
      <c r="J287" s="194">
        <f t="shared" si="17"/>
        <v>92468.600000000035</v>
      </c>
      <c r="K287" s="195">
        <f t="shared" si="18"/>
        <v>18</v>
      </c>
      <c r="L287" s="194">
        <f t="shared" si="19"/>
        <v>36707.32</v>
      </c>
      <c r="M287" s="194">
        <f t="shared" ref="M287:O287" si="28">SUMIF($G$9:$G$279,$F$287,N9:N279)</f>
        <v>36707.32</v>
      </c>
      <c r="N287" s="194">
        <f t="shared" si="28"/>
        <v>0</v>
      </c>
      <c r="O287" s="193">
        <f t="shared" si="28"/>
        <v>141</v>
      </c>
      <c r="P287" s="194">
        <f t="shared" si="21"/>
        <v>393903.34999999992</v>
      </c>
      <c r="Q287" s="195">
        <f t="shared" si="22"/>
        <v>45</v>
      </c>
      <c r="R287" s="194">
        <f t="shared" si="23"/>
        <v>280404.69</v>
      </c>
      <c r="S287" s="194">
        <f t="shared" ref="S287:T287" si="29">SUMIF($G$9:$G$279,$F$287,T9:T279)</f>
        <v>280404.69</v>
      </c>
      <c r="T287" s="194">
        <f t="shared" si="29"/>
        <v>0</v>
      </c>
      <c r="U287" s="194">
        <f t="shared" si="25"/>
        <v>317112.01</v>
      </c>
      <c r="V287" s="196">
        <f t="shared" si="26"/>
        <v>169259.93999999994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25</v>
      </c>
      <c r="G288" s="193">
        <f t="shared" ref="G288:I288" si="30">SUMIF($G$9:$G$279,$F$288,H9:H279)</f>
        <v>49</v>
      </c>
      <c r="H288" s="193">
        <f t="shared" si="30"/>
        <v>19</v>
      </c>
      <c r="I288" s="193">
        <f t="shared" si="30"/>
        <v>19</v>
      </c>
      <c r="J288" s="194">
        <f t="shared" si="17"/>
        <v>30716.79</v>
      </c>
      <c r="K288" s="195">
        <f t="shared" si="18"/>
        <v>15</v>
      </c>
      <c r="L288" s="194">
        <f t="shared" si="19"/>
        <v>19767.09</v>
      </c>
      <c r="M288" s="194">
        <f t="shared" ref="M288:O288" si="31">SUMIF($G$9:$G$279,$F$288,N9:N279)</f>
        <v>19767.09</v>
      </c>
      <c r="N288" s="194">
        <f t="shared" si="31"/>
        <v>0</v>
      </c>
      <c r="O288" s="193">
        <f t="shared" si="31"/>
        <v>44</v>
      </c>
      <c r="P288" s="194">
        <f t="shared" si="21"/>
        <v>146318.82999999999</v>
      </c>
      <c r="Q288" s="195">
        <f t="shared" si="22"/>
        <v>36</v>
      </c>
      <c r="R288" s="194">
        <f t="shared" si="23"/>
        <v>114959.57000000002</v>
      </c>
      <c r="S288" s="194">
        <f t="shared" ref="S288:T288" si="32">SUMIF($G$9:$G$279,$F$288,T9:T279)</f>
        <v>114959.57000000002</v>
      </c>
      <c r="T288" s="194">
        <f t="shared" si="32"/>
        <v>0</v>
      </c>
      <c r="U288" s="194">
        <f t="shared" si="25"/>
        <v>134726.66000000003</v>
      </c>
      <c r="V288" s="196">
        <f t="shared" si="26"/>
        <v>42308.959999999977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197">
        <f t="shared" ref="G289:V289" si="33">G288+G287+G286</f>
        <v>930</v>
      </c>
      <c r="H289" s="197">
        <f t="shared" si="33"/>
        <v>476</v>
      </c>
      <c r="I289" s="197">
        <f t="shared" si="33"/>
        <v>549</v>
      </c>
      <c r="J289" s="198">
        <f t="shared" si="33"/>
        <v>869886.30999999959</v>
      </c>
      <c r="K289" s="199">
        <f t="shared" si="33"/>
        <v>96</v>
      </c>
      <c r="L289" s="198">
        <f t="shared" si="33"/>
        <v>293921.41000000003</v>
      </c>
      <c r="M289" s="198">
        <f t="shared" si="33"/>
        <v>106418.96000000002</v>
      </c>
      <c r="N289" s="198">
        <f t="shared" si="33"/>
        <v>187502.45</v>
      </c>
      <c r="O289" s="197">
        <f t="shared" si="33"/>
        <v>1092</v>
      </c>
      <c r="P289" s="198">
        <f t="shared" si="33"/>
        <v>3520842.26</v>
      </c>
      <c r="Q289" s="200">
        <f t="shared" si="33"/>
        <v>565</v>
      </c>
      <c r="R289" s="198">
        <f t="shared" si="33"/>
        <v>2430192.92</v>
      </c>
      <c r="S289" s="198">
        <f t="shared" si="33"/>
        <v>1601632.1100000006</v>
      </c>
      <c r="T289" s="198">
        <f t="shared" si="33"/>
        <v>828560.81000000029</v>
      </c>
      <c r="U289" s="198">
        <f t="shared" si="33"/>
        <v>1708051.0700000008</v>
      </c>
      <c r="V289" s="198">
        <f t="shared" si="33"/>
        <v>2682677.4999999986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K290" s="201"/>
      <c r="L290" s="201"/>
      <c r="R290" s="2"/>
    </row>
    <row r="291" spans="1:32" ht="15.75" customHeight="1">
      <c r="K291" s="201"/>
      <c r="L291" s="201"/>
      <c r="R291" s="2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</sheetData>
  <mergeCells count="67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C165:C166"/>
    <mergeCell ref="A167:A168"/>
    <mergeCell ref="B167:B168"/>
    <mergeCell ref="C167:C168"/>
    <mergeCell ref="B169:B170"/>
    <mergeCell ref="C169:C170"/>
    <mergeCell ref="A169:A170"/>
    <mergeCell ref="A171:A172"/>
    <mergeCell ref="B171:B172"/>
    <mergeCell ref="C171:C172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D274:D275"/>
    <mergeCell ref="E274:E275"/>
    <mergeCell ref="A276:A277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B276:B277"/>
    <mergeCell ref="C276:C277"/>
    <mergeCell ref="A278:A279"/>
    <mergeCell ref="B278:B279"/>
    <mergeCell ref="C278:C279"/>
    <mergeCell ref="A272:A273"/>
    <mergeCell ref="A274:A275"/>
    <mergeCell ref="B274:B275"/>
    <mergeCell ref="C274:C275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4:U285"/>
    <mergeCell ref="V284:V285"/>
    <mergeCell ref="D276:D277"/>
    <mergeCell ref="E276:E277"/>
    <mergeCell ref="D278:D279"/>
    <mergeCell ref="E278:E279"/>
    <mergeCell ref="F284:F285"/>
    <mergeCell ref="G284:N284"/>
    <mergeCell ref="O284:T284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18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7</v>
      </c>
      <c r="I9" s="62">
        <v>2</v>
      </c>
      <c r="J9" s="62">
        <v>2</v>
      </c>
      <c r="K9" s="62">
        <v>4367.01</v>
      </c>
      <c r="L9" s="27"/>
      <c r="M9" s="26">
        <f t="shared" ref="M9:M31" si="0">N9+O9</f>
        <v>0</v>
      </c>
      <c r="N9" s="26"/>
      <c r="O9" s="28"/>
      <c r="P9" s="29">
        <v>14</v>
      </c>
      <c r="Q9" s="30">
        <v>38771.85</v>
      </c>
      <c r="R9" s="205">
        <v>4</v>
      </c>
      <c r="S9" s="26">
        <f t="shared" ref="S9:S31" si="1">T9+U9</f>
        <v>11294.810000000001</v>
      </c>
      <c r="T9" s="30">
        <v>7969.55</v>
      </c>
      <c r="U9" s="225">
        <v>3325.26</v>
      </c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5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9</v>
      </c>
      <c r="I11" s="203">
        <v>7</v>
      </c>
      <c r="J11" s="203">
        <v>7</v>
      </c>
      <c r="K11" s="65">
        <v>13908.85</v>
      </c>
      <c r="L11" s="51"/>
      <c r="M11" s="50">
        <f t="shared" si="0"/>
        <v>0</v>
      </c>
      <c r="N11" s="50"/>
      <c r="O11" s="52"/>
      <c r="P11" s="53">
        <v>9</v>
      </c>
      <c r="Q11" s="30">
        <v>67281.350000000006</v>
      </c>
      <c r="R11" s="205">
        <v>1</v>
      </c>
      <c r="S11" s="26">
        <f t="shared" si="1"/>
        <v>34359</v>
      </c>
      <c r="T11" s="30">
        <v>34359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7</v>
      </c>
      <c r="I13" s="62">
        <v>6</v>
      </c>
      <c r="J13" s="62">
        <v>10</v>
      </c>
      <c r="K13" s="30">
        <v>24877.53</v>
      </c>
      <c r="L13" s="205">
        <v>4</v>
      </c>
      <c r="M13" s="26">
        <f t="shared" si="0"/>
        <v>11503.800000000001</v>
      </c>
      <c r="N13" s="30">
        <v>8982.8700000000008</v>
      </c>
      <c r="O13" s="299">
        <v>2520.9299999999998</v>
      </c>
      <c r="P13" s="64">
        <v>14</v>
      </c>
      <c r="Q13" s="65">
        <v>62401.06</v>
      </c>
      <c r="R13" s="224">
        <v>11</v>
      </c>
      <c r="S13" s="50">
        <f t="shared" si="1"/>
        <v>52910.82</v>
      </c>
      <c r="T13" s="65">
        <v>32231.02</v>
      </c>
      <c r="U13" s="225">
        <v>20679.8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61"/>
      <c r="J16" s="261"/>
      <c r="K16" s="211"/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5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8</v>
      </c>
      <c r="Q17" s="30">
        <v>19392.3</v>
      </c>
      <c r="R17" s="205">
        <v>5</v>
      </c>
      <c r="S17" s="26">
        <f t="shared" si="1"/>
        <v>9035.02</v>
      </c>
      <c r="T17" s="30">
        <v>9035.02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5</v>
      </c>
      <c r="I19" s="266">
        <v>2</v>
      </c>
      <c r="J19" s="266">
        <v>3</v>
      </c>
      <c r="K19" s="79">
        <v>3431.39</v>
      </c>
      <c r="L19" s="80"/>
      <c r="M19" s="81">
        <f t="shared" si="0"/>
        <v>633.92999999999995</v>
      </c>
      <c r="N19" s="81"/>
      <c r="O19" s="269">
        <v>633.92999999999995</v>
      </c>
      <c r="P19" s="267">
        <v>10</v>
      </c>
      <c r="Q19" s="79">
        <v>21035.62</v>
      </c>
      <c r="R19" s="268">
        <v>1</v>
      </c>
      <c r="S19" s="81">
        <f t="shared" si="1"/>
        <v>7296.52</v>
      </c>
      <c r="T19" s="79">
        <v>1045.98</v>
      </c>
      <c r="U19" s="269">
        <v>6250.54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7</v>
      </c>
      <c r="I21" s="203">
        <v>5</v>
      </c>
      <c r="J21" s="203">
        <v>10</v>
      </c>
      <c r="K21" s="65">
        <v>16224.89</v>
      </c>
      <c r="L21" s="224">
        <v>4</v>
      </c>
      <c r="M21" s="50">
        <f t="shared" si="0"/>
        <v>4057.17</v>
      </c>
      <c r="N21" s="65">
        <v>4057.17</v>
      </c>
      <c r="O21" s="225"/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4</v>
      </c>
      <c r="J23" s="62">
        <v>4</v>
      </c>
      <c r="K23" s="62">
        <v>3686.21</v>
      </c>
      <c r="L23" s="27"/>
      <c r="M23" s="26">
        <f t="shared" si="0"/>
        <v>2554.9299999999998</v>
      </c>
      <c r="N23" s="26"/>
      <c r="O23" s="225">
        <v>2554.9299999999998</v>
      </c>
      <c r="P23" s="53">
        <v>6</v>
      </c>
      <c r="Q23" s="30">
        <v>6346.45</v>
      </c>
      <c r="R23" s="205">
        <v>1</v>
      </c>
      <c r="S23" s="26">
        <f t="shared" si="1"/>
        <v>4222.78</v>
      </c>
      <c r="T23" s="30">
        <v>1979.72</v>
      </c>
      <c r="U23" s="225">
        <v>2243.06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40"/>
      <c r="S24" s="39">
        <f t="shared" si="1"/>
        <v>1921</v>
      </c>
      <c r="T24" s="39">
        <f>1921</f>
        <v>1921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9</v>
      </c>
      <c r="J25" s="203">
        <v>14</v>
      </c>
      <c r="K25" s="65">
        <v>24819.63</v>
      </c>
      <c r="L25" s="224">
        <v>5</v>
      </c>
      <c r="M25" s="50">
        <f t="shared" si="0"/>
        <v>14144.25</v>
      </c>
      <c r="N25" s="65">
        <v>6428.44</v>
      </c>
      <c r="O25" s="225">
        <v>7715.81</v>
      </c>
      <c r="P25" s="53">
        <v>13</v>
      </c>
      <c r="Q25" s="30">
        <v>20738.62</v>
      </c>
      <c r="R25" s="205">
        <v>8</v>
      </c>
      <c r="S25" s="26">
        <f t="shared" si="1"/>
        <v>16636.439999999999</v>
      </c>
      <c r="T25" s="30">
        <v>12316.99</v>
      </c>
      <c r="U25" s="243">
        <v>4319.45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285">
        <v>4</v>
      </c>
      <c r="S26" s="39">
        <f t="shared" si="1"/>
        <v>16672.2</v>
      </c>
      <c r="T26" s="68">
        <f>4302+3533.6+960.5+7876.1</f>
        <v>16672.2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1</v>
      </c>
      <c r="S27" s="26">
        <f t="shared" si="1"/>
        <v>13138.099999999999</v>
      </c>
      <c r="T27" s="30">
        <v>2497.3000000000002</v>
      </c>
      <c r="U27" s="243">
        <v>10640.8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3</v>
      </c>
      <c r="Q28" s="114">
        <v>8452.4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5</v>
      </c>
      <c r="I31" s="203">
        <v>2</v>
      </c>
      <c r="J31" s="203">
        <v>2</v>
      </c>
      <c r="K31" s="65">
        <v>2091.96</v>
      </c>
      <c r="L31" s="51"/>
      <c r="M31" s="50">
        <f t="shared" si="0"/>
        <v>2091.96</v>
      </c>
      <c r="N31" s="50"/>
      <c r="O31" s="225">
        <v>2091.96</v>
      </c>
      <c r="P31" s="108">
        <v>9</v>
      </c>
      <c r="Q31" s="65">
        <v>26163.18</v>
      </c>
      <c r="R31" s="224">
        <v>7</v>
      </c>
      <c r="S31" s="50">
        <f t="shared" si="1"/>
        <v>26163.18</v>
      </c>
      <c r="T31" s="65">
        <v>19258.7</v>
      </c>
      <c r="U31" s="225">
        <v>6904.48</v>
      </c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3</v>
      </c>
      <c r="J32" s="130">
        <v>3</v>
      </c>
      <c r="K32" s="114">
        <v>6147.2</v>
      </c>
      <c r="L32" s="270">
        <v>3</v>
      </c>
      <c r="M32" s="114">
        <v>6147.2</v>
      </c>
      <c r="N32" s="114">
        <v>6147.2</v>
      </c>
      <c r="O32" s="222"/>
      <c r="P32" s="113">
        <v>4</v>
      </c>
      <c r="Q32" s="114">
        <v>8548.4500000000007</v>
      </c>
      <c r="R32" s="270">
        <v>4</v>
      </c>
      <c r="S32" s="114">
        <v>8548.4500000000007</v>
      </c>
      <c r="T32" s="114">
        <v>8548.4500000000007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3</v>
      </c>
      <c r="I35" s="203">
        <v>3</v>
      </c>
      <c r="J35" s="203">
        <v>3</v>
      </c>
      <c r="K35" s="65">
        <v>2036.26</v>
      </c>
      <c r="L35" s="51"/>
      <c r="M35" s="50">
        <f t="shared" si="2"/>
        <v>0</v>
      </c>
      <c r="N35" s="50"/>
      <c r="O35" s="31"/>
      <c r="P35" s="64">
        <v>4</v>
      </c>
      <c r="Q35" s="65">
        <v>14213.44</v>
      </c>
      <c r="R35" s="224">
        <v>2</v>
      </c>
      <c r="S35" s="50">
        <f t="shared" si="3"/>
        <v>8719.3799999999992</v>
      </c>
      <c r="T35" s="65">
        <v>3647.94</v>
      </c>
      <c r="U35" s="225">
        <v>5071.4399999999996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2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R36" s="210"/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9</v>
      </c>
      <c r="I43" s="266">
        <v>7</v>
      </c>
      <c r="J43" s="266">
        <v>7</v>
      </c>
      <c r="K43" s="79">
        <v>8433.7800000000007</v>
      </c>
      <c r="L43" s="80"/>
      <c r="M43" s="81">
        <f t="shared" si="2"/>
        <v>1537</v>
      </c>
      <c r="N43" s="81"/>
      <c r="O43" s="314">
        <v>1537</v>
      </c>
      <c r="P43" s="53">
        <v>20</v>
      </c>
      <c r="Q43" s="30">
        <v>79577.89</v>
      </c>
      <c r="R43" s="205">
        <v>12</v>
      </c>
      <c r="S43" s="26">
        <f t="shared" si="3"/>
        <v>79577.89</v>
      </c>
      <c r="T43" s="30">
        <v>53218.61</v>
      </c>
      <c r="U43" s="241">
        <v>26359.279999999999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4</v>
      </c>
      <c r="I45" s="62">
        <v>1</v>
      </c>
      <c r="J45" s="62">
        <v>1</v>
      </c>
      <c r="K45" s="30">
        <v>631.82000000000005</v>
      </c>
      <c r="L45" s="27"/>
      <c r="M45" s="26">
        <f t="shared" si="2"/>
        <v>0</v>
      </c>
      <c r="N45" s="26"/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5</v>
      </c>
      <c r="I46" s="261"/>
      <c r="J46" s="261"/>
      <c r="K46" s="211"/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1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02"/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7"/>
      <c r="M53" s="26">
        <f t="shared" si="2"/>
        <v>0</v>
      </c>
      <c r="N53" s="26"/>
      <c r="O53" s="31"/>
      <c r="P53" s="108">
        <v>3</v>
      </c>
      <c r="Q53" s="65">
        <v>9057.6299999999992</v>
      </c>
      <c r="R53" s="224">
        <v>2</v>
      </c>
      <c r="S53" s="50">
        <f t="shared" si="3"/>
        <v>3734.91</v>
      </c>
      <c r="T53" s="65">
        <v>3734.91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8</v>
      </c>
      <c r="S54" s="39">
        <f t="shared" si="3"/>
        <v>16424.599999999999</v>
      </c>
      <c r="T54" s="68">
        <f>2209.2+576.3+13639.1</f>
        <v>16424.599999999999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3</v>
      </c>
      <c r="J55" s="203">
        <v>3</v>
      </c>
      <c r="K55" s="65">
        <v>3998.34</v>
      </c>
      <c r="L55" s="51"/>
      <c r="M55" s="50">
        <f t="shared" si="2"/>
        <v>0</v>
      </c>
      <c r="N55" s="50"/>
      <c r="O55" s="31"/>
      <c r="P55" s="53">
        <v>2</v>
      </c>
      <c r="Q55" s="30">
        <v>5899.35</v>
      </c>
      <c r="R55" s="205">
        <v>1</v>
      </c>
      <c r="S55" s="26">
        <f t="shared" si="3"/>
        <v>5899.35</v>
      </c>
      <c r="T55" s="30">
        <v>1854.88</v>
      </c>
      <c r="U55" s="243">
        <v>4044.47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13641.6</v>
      </c>
      <c r="L57" s="27"/>
      <c r="M57" s="26">
        <f t="shared" si="2"/>
        <v>10625.63</v>
      </c>
      <c r="N57" s="26"/>
      <c r="O57" s="225">
        <v>10625.63</v>
      </c>
      <c r="P57" s="53">
        <v>6</v>
      </c>
      <c r="Q57" s="30">
        <v>45189.01</v>
      </c>
      <c r="R57" s="205">
        <v>1</v>
      </c>
      <c r="S57" s="26">
        <f t="shared" si="3"/>
        <v>45189.009999999995</v>
      </c>
      <c r="T57" s="30">
        <v>1997.49</v>
      </c>
      <c r="U57" s="225">
        <v>43191.519999999997</v>
      </c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3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12</v>
      </c>
      <c r="I59" s="203">
        <v>10</v>
      </c>
      <c r="J59" s="203">
        <v>11</v>
      </c>
      <c r="K59" s="65">
        <v>13748.69</v>
      </c>
      <c r="L59" s="51"/>
      <c r="M59" s="50">
        <f t="shared" si="2"/>
        <v>3534.63</v>
      </c>
      <c r="N59" s="50"/>
      <c r="O59" s="225">
        <v>3534.63</v>
      </c>
      <c r="P59" s="53">
        <v>34</v>
      </c>
      <c r="Q59" s="30">
        <v>80148.39</v>
      </c>
      <c r="R59" s="205">
        <v>12</v>
      </c>
      <c r="S59" s="26">
        <f t="shared" si="3"/>
        <v>69874.789999999994</v>
      </c>
      <c r="T59" s="30">
        <v>39611.06</v>
      </c>
      <c r="U59" s="243">
        <v>30263.73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5</v>
      </c>
      <c r="I61" s="62">
        <v>2</v>
      </c>
      <c r="J61" s="62">
        <v>2</v>
      </c>
      <c r="K61" s="30">
        <v>3714.93</v>
      </c>
      <c r="L61" s="27"/>
      <c r="M61" s="26">
        <f t="shared" si="2"/>
        <v>0</v>
      </c>
      <c r="N61" s="26"/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3</v>
      </c>
      <c r="I63" s="62">
        <v>1</v>
      </c>
      <c r="J63" s="62">
        <v>1</v>
      </c>
      <c r="K63" s="30">
        <v>2531.11</v>
      </c>
      <c r="L63" s="27"/>
      <c r="M63" s="26">
        <f t="shared" si="2"/>
        <v>0</v>
      </c>
      <c r="N63" s="26"/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1</v>
      </c>
      <c r="J65" s="266">
        <v>1</v>
      </c>
      <c r="K65" s="79">
        <v>576.29999999999995</v>
      </c>
      <c r="L65" s="80"/>
      <c r="M65" s="81">
        <f t="shared" si="2"/>
        <v>0</v>
      </c>
      <c r="N65" s="81"/>
      <c r="O65" s="219"/>
      <c r="P65" s="267">
        <v>4</v>
      </c>
      <c r="Q65" s="79">
        <v>5093.67</v>
      </c>
      <c r="R65" s="268">
        <v>2</v>
      </c>
      <c r="S65" s="81">
        <f t="shared" si="3"/>
        <v>3104.71</v>
      </c>
      <c r="T65" s="79">
        <v>3104.71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2"/>
        <v>0</v>
      </c>
      <c r="N66" s="43"/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4</v>
      </c>
      <c r="I67" s="62">
        <v>2</v>
      </c>
      <c r="J67" s="62">
        <v>2</v>
      </c>
      <c r="K67" s="30">
        <v>4562.99</v>
      </c>
      <c r="L67" s="27"/>
      <c r="M67" s="26">
        <f t="shared" si="2"/>
        <v>0</v>
      </c>
      <c r="N67" s="26"/>
      <c r="O67" s="28"/>
      <c r="P67" s="29">
        <v>8</v>
      </c>
      <c r="Q67" s="30">
        <v>15651.3</v>
      </c>
      <c r="R67" s="205">
        <v>7</v>
      </c>
      <c r="S67" s="26">
        <f t="shared" si="3"/>
        <v>13580.02</v>
      </c>
      <c r="T67" s="30">
        <v>13580.02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16</v>
      </c>
      <c r="Q69" s="65">
        <v>50568.25</v>
      </c>
      <c r="R69" s="224">
        <v>5</v>
      </c>
      <c r="S69" s="50">
        <f t="shared" si="3"/>
        <v>44267.369999999995</v>
      </c>
      <c r="T69" s="65">
        <v>19918.689999999999</v>
      </c>
      <c r="U69" s="225">
        <v>24348.68</v>
      </c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1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44"/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7</v>
      </c>
      <c r="I71" s="62">
        <v>2</v>
      </c>
      <c r="J71" s="62">
        <v>3</v>
      </c>
      <c r="K71" s="30">
        <v>6129.52</v>
      </c>
      <c r="L71" s="205">
        <v>2</v>
      </c>
      <c r="M71" s="26">
        <f t="shared" si="2"/>
        <v>6129.52</v>
      </c>
      <c r="N71" s="30">
        <v>2309.04</v>
      </c>
      <c r="O71" s="225">
        <v>3820.48</v>
      </c>
      <c r="P71" s="29">
        <v>4</v>
      </c>
      <c r="Q71" s="30">
        <v>2984.28</v>
      </c>
      <c r="R71" s="205">
        <v>3</v>
      </c>
      <c r="S71" s="26">
        <f t="shared" si="3"/>
        <v>2984.2799999999997</v>
      </c>
      <c r="T71" s="30">
        <v>2681.72</v>
      </c>
      <c r="U71" s="225">
        <v>302.56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2"/>
      <c r="G75" s="23" t="s">
        <v>24</v>
      </c>
      <c r="H75" s="61">
        <v>5</v>
      </c>
      <c r="I75" s="62">
        <v>3</v>
      </c>
      <c r="J75" s="62">
        <v>3</v>
      </c>
      <c r="K75" s="30">
        <v>3685.15</v>
      </c>
      <c r="L75" s="27"/>
      <c r="M75" s="26">
        <f t="shared" si="2"/>
        <v>0</v>
      </c>
      <c r="N75" s="26"/>
      <c r="O75" s="31"/>
      <c r="P75" s="53">
        <v>1</v>
      </c>
      <c r="Q75" s="30">
        <v>1505.87</v>
      </c>
      <c r="R75" s="27"/>
      <c r="S75" s="26">
        <f t="shared" si="3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2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4</v>
      </c>
      <c r="J77" s="203">
        <v>4</v>
      </c>
      <c r="K77" s="65">
        <v>3878.5</v>
      </c>
      <c r="L77" s="51"/>
      <c r="M77" s="50">
        <f t="shared" ref="M77:M93" si="4">N77+O77</f>
        <v>3878.5</v>
      </c>
      <c r="N77" s="50"/>
      <c r="O77" s="225">
        <v>3878.5</v>
      </c>
      <c r="P77" s="108">
        <v>6</v>
      </c>
      <c r="Q77" s="65">
        <v>19829.79</v>
      </c>
      <c r="R77" s="224">
        <v>4</v>
      </c>
      <c r="S77" s="50">
        <f t="shared" si="3"/>
        <v>19829.79</v>
      </c>
      <c r="T77" s="65">
        <v>16789.810000000001</v>
      </c>
      <c r="U77" s="225">
        <v>3039.98</v>
      </c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K78" s="43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25</v>
      </c>
      <c r="I79" s="62">
        <v>19</v>
      </c>
      <c r="J79" s="62">
        <v>29</v>
      </c>
      <c r="K79" s="30">
        <v>57740.62</v>
      </c>
      <c r="L79" s="27"/>
      <c r="M79" s="26">
        <f t="shared" si="4"/>
        <v>28236.43</v>
      </c>
      <c r="N79" s="26"/>
      <c r="O79" s="225">
        <v>28236.43</v>
      </c>
      <c r="P79" s="29">
        <v>23</v>
      </c>
      <c r="Q79" s="30">
        <v>68475.47</v>
      </c>
      <c r="R79" s="205">
        <v>10</v>
      </c>
      <c r="S79" s="26">
        <f t="shared" si="3"/>
        <v>62883.15</v>
      </c>
      <c r="T79" s="30">
        <v>23648.47</v>
      </c>
      <c r="U79" s="225">
        <v>39234.68</v>
      </c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3</v>
      </c>
      <c r="I81" s="62">
        <v>2</v>
      </c>
      <c r="J81" s="62">
        <v>2</v>
      </c>
      <c r="K81" s="30">
        <v>768.4</v>
      </c>
      <c r="L81" s="27"/>
      <c r="M81" s="26">
        <f t="shared" si="4"/>
        <v>0</v>
      </c>
      <c r="N81" s="26"/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8</v>
      </c>
      <c r="I85" s="266">
        <v>3</v>
      </c>
      <c r="J85" s="266">
        <v>4</v>
      </c>
      <c r="K85" s="79">
        <v>5917.36</v>
      </c>
      <c r="L85" s="268">
        <v>4</v>
      </c>
      <c r="M85" s="81">
        <f t="shared" si="4"/>
        <v>5917.36</v>
      </c>
      <c r="N85" s="79">
        <v>5917.36</v>
      </c>
      <c r="O85" s="269"/>
      <c r="P85" s="267">
        <v>9</v>
      </c>
      <c r="Q85" s="79">
        <v>14307.26</v>
      </c>
      <c r="R85" s="268">
        <v>7</v>
      </c>
      <c r="S85" s="81">
        <f t="shared" si="3"/>
        <v>10924.74</v>
      </c>
      <c r="T85" s="79">
        <v>10924.74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12652.33</v>
      </c>
      <c r="R91" s="205">
        <v>3</v>
      </c>
      <c r="S91" s="26">
        <f t="shared" si="3"/>
        <v>7652.33</v>
      </c>
      <c r="T91" s="30">
        <v>7652.33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13</v>
      </c>
      <c r="I93" s="62">
        <v>7</v>
      </c>
      <c r="J93" s="62">
        <v>7</v>
      </c>
      <c r="K93" s="30">
        <v>13410.66</v>
      </c>
      <c r="L93" s="27"/>
      <c r="M93" s="26">
        <f t="shared" si="4"/>
        <v>0</v>
      </c>
      <c r="N93" s="26"/>
      <c r="O93" s="31"/>
      <c r="P93" s="53">
        <v>8</v>
      </c>
      <c r="Q93" s="30">
        <v>31399.9</v>
      </c>
      <c r="R93" s="205">
        <v>2</v>
      </c>
      <c r="S93" s="26">
        <f t="shared" si="3"/>
        <v>14914.91</v>
      </c>
      <c r="T93" s="30">
        <v>5094.8</v>
      </c>
      <c r="U93" s="225">
        <v>9820.11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2</v>
      </c>
      <c r="J94" s="37">
        <v>2</v>
      </c>
      <c r="K94" s="68">
        <v>2958.34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2</v>
      </c>
      <c r="J95" s="203">
        <v>2</v>
      </c>
      <c r="K95" s="65">
        <v>2731.66</v>
      </c>
      <c r="L95" s="51"/>
      <c r="M95" s="50">
        <f t="shared" ref="M95:M279" si="5">N95+O95</f>
        <v>0</v>
      </c>
      <c r="N95" s="50"/>
      <c r="O95" s="31"/>
      <c r="P95" s="108">
        <v>8</v>
      </c>
      <c r="Q95" s="65">
        <v>93924.24</v>
      </c>
      <c r="R95" s="224">
        <v>1</v>
      </c>
      <c r="S95" s="50">
        <f t="shared" ref="S95:S101" si="6">T95+U95</f>
        <v>32117.38</v>
      </c>
      <c r="T95" s="65">
        <v>4050.2</v>
      </c>
      <c r="U95" s="225">
        <v>28067.18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1</v>
      </c>
      <c r="J97" s="62">
        <v>1</v>
      </c>
      <c r="K97" s="30">
        <v>4374.12</v>
      </c>
      <c r="L97" s="27"/>
      <c r="M97" s="26">
        <f t="shared" si="5"/>
        <v>0</v>
      </c>
      <c r="N97" s="26"/>
      <c r="O97" s="31"/>
      <c r="P97" s="53">
        <v>7</v>
      </c>
      <c r="Q97" s="30">
        <v>37669.07</v>
      </c>
      <c r="R97" s="205">
        <v>5</v>
      </c>
      <c r="S97" s="26">
        <f t="shared" si="6"/>
        <v>23473.01</v>
      </c>
      <c r="T97" s="30">
        <v>23473.01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57"/>
      <c r="J98" s="57"/>
      <c r="K98" s="43"/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1</v>
      </c>
      <c r="J99" s="62">
        <v>2</v>
      </c>
      <c r="K99" s="30">
        <v>4354.43</v>
      </c>
      <c r="L99" s="27"/>
      <c r="M99" s="26">
        <f t="shared" si="5"/>
        <v>4354.43</v>
      </c>
      <c r="N99" s="26"/>
      <c r="O99" s="225">
        <v>4354.43</v>
      </c>
      <c r="P99" s="53">
        <v>3</v>
      </c>
      <c r="Q99" s="30">
        <v>15479.57</v>
      </c>
      <c r="R99" s="27"/>
      <c r="S99" s="26">
        <f t="shared" si="6"/>
        <v>633.92999999999995</v>
      </c>
      <c r="T99" s="26"/>
      <c r="U99" s="225">
        <v>633.92999999999995</v>
      </c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3</v>
      </c>
      <c r="J101" s="62">
        <v>3</v>
      </c>
      <c r="K101" s="30">
        <v>9652.17</v>
      </c>
      <c r="L101" s="27"/>
      <c r="M101" s="26">
        <f t="shared" si="5"/>
        <v>0</v>
      </c>
      <c r="N101" s="26"/>
      <c r="O101" s="31"/>
      <c r="P101" s="53">
        <v>20</v>
      </c>
      <c r="Q101" s="30">
        <v>47266.68</v>
      </c>
      <c r="R101" s="205">
        <v>9</v>
      </c>
      <c r="S101" s="26">
        <f t="shared" si="6"/>
        <v>34494.42</v>
      </c>
      <c r="T101" s="30">
        <v>15992.85</v>
      </c>
      <c r="U101" s="225">
        <v>18501.57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6</v>
      </c>
      <c r="I102" s="130">
        <v>4</v>
      </c>
      <c r="J102" s="130">
        <v>4</v>
      </c>
      <c r="K102" s="114">
        <v>4994.6000000000004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7</v>
      </c>
      <c r="Q102" s="114">
        <v>19417.740000000002</v>
      </c>
      <c r="R102" s="270">
        <v>4</v>
      </c>
      <c r="S102" s="114">
        <v>11577.6</v>
      </c>
      <c r="T102" s="114">
        <v>11577.6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3</v>
      </c>
      <c r="I103" s="62">
        <v>3</v>
      </c>
      <c r="J103" s="62">
        <v>3</v>
      </c>
      <c r="K103" s="30">
        <v>1118.98</v>
      </c>
      <c r="L103" s="205">
        <v>1</v>
      </c>
      <c r="M103" s="26">
        <f t="shared" si="5"/>
        <v>614.72</v>
      </c>
      <c r="N103" s="30">
        <v>614.72</v>
      </c>
      <c r="O103" s="225"/>
      <c r="P103" s="53">
        <v>7</v>
      </c>
      <c r="Q103" s="30">
        <v>12035.94</v>
      </c>
      <c r="R103" s="205">
        <v>5</v>
      </c>
      <c r="S103" s="26">
        <f t="shared" ref="S103:S134" si="7">T103+U103</f>
        <v>7679.11</v>
      </c>
      <c r="T103" s="30">
        <v>7679.11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44"/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8</v>
      </c>
      <c r="I105" s="62">
        <v>6</v>
      </c>
      <c r="J105" s="62">
        <v>7</v>
      </c>
      <c r="K105" s="30">
        <v>10146.31</v>
      </c>
      <c r="L105" s="205">
        <v>3</v>
      </c>
      <c r="M105" s="26">
        <f t="shared" si="5"/>
        <v>4316.49</v>
      </c>
      <c r="N105" s="30">
        <v>2852.69</v>
      </c>
      <c r="O105" s="241">
        <v>1463.8</v>
      </c>
      <c r="P105" s="214">
        <v>11</v>
      </c>
      <c r="Q105" s="30">
        <v>49430.98</v>
      </c>
      <c r="R105" s="205">
        <v>7</v>
      </c>
      <c r="S105" s="26">
        <f t="shared" si="7"/>
        <v>49430.979999999996</v>
      </c>
      <c r="T105" s="30">
        <v>42354.03</v>
      </c>
      <c r="U105" s="225">
        <v>7076.95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4</v>
      </c>
      <c r="I106" s="286">
        <v>3</v>
      </c>
      <c r="J106" s="286">
        <v>3</v>
      </c>
      <c r="K106" s="287">
        <v>6915.6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40"/>
      <c r="S106" s="39">
        <f t="shared" si="7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3</v>
      </c>
      <c r="Q107" s="65">
        <v>26574.71</v>
      </c>
      <c r="R107" s="224">
        <v>1</v>
      </c>
      <c r="S107" s="50">
        <f t="shared" si="7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4</v>
      </c>
      <c r="I108" s="37">
        <v>1</v>
      </c>
      <c r="J108" s="37">
        <v>1</v>
      </c>
      <c r="K108" s="68">
        <v>864.45</v>
      </c>
      <c r="L108" s="40"/>
      <c r="M108" s="39">
        <f t="shared" si="5"/>
        <v>0</v>
      </c>
      <c r="N108" s="39"/>
      <c r="O108" s="41"/>
      <c r="P108" s="59"/>
      <c r="Q108" s="39"/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6</v>
      </c>
      <c r="I109" s="203">
        <v>4</v>
      </c>
      <c r="J109" s="203">
        <v>5</v>
      </c>
      <c r="K109" s="65">
        <v>8143.62</v>
      </c>
      <c r="L109" s="51"/>
      <c r="M109" s="50">
        <f t="shared" si="5"/>
        <v>1916.98</v>
      </c>
      <c r="N109" s="50"/>
      <c r="O109" s="225">
        <v>1916.98</v>
      </c>
      <c r="P109" s="108">
        <v>9</v>
      </c>
      <c r="Q109" s="65">
        <v>19656.830000000002</v>
      </c>
      <c r="R109" s="224">
        <v>2</v>
      </c>
      <c r="S109" s="50">
        <f t="shared" si="7"/>
        <v>17533.16</v>
      </c>
      <c r="T109" s="65">
        <v>2175.5100000000002</v>
      </c>
      <c r="U109" s="225">
        <v>15357.65</v>
      </c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7</v>
      </c>
      <c r="I110" s="130">
        <v>2</v>
      </c>
      <c r="J110" s="130">
        <v>2</v>
      </c>
      <c r="K110" s="114">
        <v>2443.1999999999998</v>
      </c>
      <c r="L110" s="316">
        <v>3</v>
      </c>
      <c r="M110" s="50">
        <f t="shared" si="5"/>
        <v>3733.7999999999997</v>
      </c>
      <c r="N110" s="43">
        <f>1290.6+1152.6+1290.6</f>
        <v>3733.7999999999997</v>
      </c>
      <c r="O110" s="41"/>
      <c r="P110" s="113">
        <v>2</v>
      </c>
      <c r="Q110" s="114">
        <v>8007.8</v>
      </c>
      <c r="R110" s="44"/>
      <c r="S110" s="43">
        <f t="shared" si="7"/>
        <v>8008.1</v>
      </c>
      <c r="T110" s="114">
        <f>4358.2+3649.9</f>
        <v>8008.1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1</v>
      </c>
      <c r="M111" s="26">
        <f t="shared" si="5"/>
        <v>1133.98</v>
      </c>
      <c r="N111" s="30">
        <v>1133.98</v>
      </c>
      <c r="O111" s="225"/>
      <c r="P111" s="53">
        <v>5</v>
      </c>
      <c r="Q111" s="30">
        <v>7208.15</v>
      </c>
      <c r="R111" s="205">
        <v>5</v>
      </c>
      <c r="S111" s="26">
        <f t="shared" si="7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285">
        <v>1</v>
      </c>
      <c r="M112" s="39">
        <f t="shared" si="5"/>
        <v>1580.8</v>
      </c>
      <c r="N112" s="39">
        <f>1580.8</f>
        <v>1580.8</v>
      </c>
      <c r="O112" s="41"/>
      <c r="P112" s="115">
        <v>1</v>
      </c>
      <c r="Q112" s="68">
        <v>1377.7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10</v>
      </c>
      <c r="I113" s="203">
        <v>5</v>
      </c>
      <c r="J113" s="203">
        <v>5</v>
      </c>
      <c r="K113" s="65">
        <v>10662.56</v>
      </c>
      <c r="L113" s="51"/>
      <c r="M113" s="50">
        <f t="shared" si="5"/>
        <v>5531.12</v>
      </c>
      <c r="N113" s="50"/>
      <c r="O113" s="225">
        <v>5531.12</v>
      </c>
      <c r="P113" s="108">
        <v>16</v>
      </c>
      <c r="Q113" s="65">
        <v>46837.09</v>
      </c>
      <c r="R113" s="224">
        <v>3</v>
      </c>
      <c r="S113" s="50">
        <f t="shared" si="7"/>
        <v>23106.86</v>
      </c>
      <c r="T113" s="65">
        <v>6809.92</v>
      </c>
      <c r="U113" s="225">
        <v>16296.94</v>
      </c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3</v>
      </c>
      <c r="I115" s="62">
        <v>2</v>
      </c>
      <c r="J115" s="62">
        <v>2</v>
      </c>
      <c r="K115" s="30">
        <v>2576.71</v>
      </c>
      <c r="L115" s="27"/>
      <c r="M115" s="26">
        <f t="shared" si="5"/>
        <v>0</v>
      </c>
      <c r="N115" s="26"/>
      <c r="O115" s="31"/>
      <c r="P115" s="53">
        <v>9</v>
      </c>
      <c r="Q115" s="30">
        <v>62029.02</v>
      </c>
      <c r="R115" s="205">
        <v>5</v>
      </c>
      <c r="S115" s="26">
        <f t="shared" si="7"/>
        <v>20312.93</v>
      </c>
      <c r="T115" s="30">
        <v>20312.93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2</v>
      </c>
      <c r="I116" s="57"/>
      <c r="J116" s="57"/>
      <c r="K116" s="43"/>
      <c r="L116" s="44"/>
      <c r="M116" s="43">
        <f t="shared" si="5"/>
        <v>0</v>
      </c>
      <c r="N116" s="43"/>
      <c r="O116" s="41"/>
      <c r="P116" s="113">
        <v>2</v>
      </c>
      <c r="Q116" s="114">
        <v>2881.5</v>
      </c>
      <c r="R116" s="44"/>
      <c r="S116" s="43">
        <f t="shared" si="7"/>
        <v>0</v>
      </c>
      <c r="T116" s="57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8</v>
      </c>
      <c r="I117" s="62">
        <v>4</v>
      </c>
      <c r="J117" s="62">
        <v>4</v>
      </c>
      <c r="K117" s="30">
        <v>3661.42</v>
      </c>
      <c r="L117" s="27"/>
      <c r="M117" s="26">
        <f t="shared" si="5"/>
        <v>0</v>
      </c>
      <c r="N117" s="26"/>
      <c r="O117" s="31"/>
      <c r="P117" s="53">
        <v>7</v>
      </c>
      <c r="Q117" s="30">
        <v>28154.06</v>
      </c>
      <c r="R117" s="205">
        <v>3</v>
      </c>
      <c r="S117" s="26">
        <f t="shared" si="7"/>
        <v>26300.45</v>
      </c>
      <c r="T117" s="30">
        <v>13277.84</v>
      </c>
      <c r="U117" s="225">
        <v>13022.61</v>
      </c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5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3</v>
      </c>
      <c r="Q118" s="158">
        <v>6513.21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8"/>
      <c r="J119" s="38"/>
      <c r="K119" s="39"/>
      <c r="L119" s="40"/>
      <c r="M119" s="39">
        <f t="shared" si="5"/>
        <v>0</v>
      </c>
      <c r="N119" s="39"/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51"/>
      <c r="M120" s="50">
        <f t="shared" si="5"/>
        <v>0</v>
      </c>
      <c r="N120" s="50"/>
      <c r="O120" s="31"/>
      <c r="P120" s="108">
        <v>4</v>
      </c>
      <c r="Q120" s="65">
        <v>10383.700000000001</v>
      </c>
      <c r="R120" s="224">
        <v>1</v>
      </c>
      <c r="S120" s="50">
        <f t="shared" si="7"/>
        <v>7727.16</v>
      </c>
      <c r="T120" s="65">
        <v>3034.34</v>
      </c>
      <c r="U120" s="225">
        <v>4692.82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5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4</v>
      </c>
      <c r="I122" s="62">
        <v>3</v>
      </c>
      <c r="J122" s="62">
        <v>3</v>
      </c>
      <c r="K122" s="30">
        <v>2036.27</v>
      </c>
      <c r="L122" s="27"/>
      <c r="M122" s="26">
        <f t="shared" si="5"/>
        <v>0</v>
      </c>
      <c r="N122" s="26"/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5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10</v>
      </c>
      <c r="I124" s="62">
        <v>9</v>
      </c>
      <c r="J124" s="62">
        <v>14</v>
      </c>
      <c r="K124" s="30">
        <v>21067.56</v>
      </c>
      <c r="L124" s="27"/>
      <c r="M124" s="26">
        <f t="shared" si="5"/>
        <v>6736.48</v>
      </c>
      <c r="N124" s="26"/>
      <c r="O124" s="225">
        <v>6736.48</v>
      </c>
      <c r="P124" s="53">
        <v>10</v>
      </c>
      <c r="Q124" s="30">
        <v>26937.9</v>
      </c>
      <c r="R124" s="205">
        <v>5</v>
      </c>
      <c r="S124" s="26">
        <f t="shared" si="7"/>
        <v>22270.76</v>
      </c>
      <c r="T124" s="30">
        <v>14875.39</v>
      </c>
      <c r="U124" s="225">
        <v>7395.37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2</v>
      </c>
      <c r="J125" s="130">
        <v>2</v>
      </c>
      <c r="K125" s="114">
        <v>2497.3000000000002</v>
      </c>
      <c r="L125" s="44"/>
      <c r="M125" s="43">
        <f t="shared" si="5"/>
        <v>1152.5999999999999</v>
      </c>
      <c r="N125" s="43">
        <f>1152.6</f>
        <v>1152.5999999999999</v>
      </c>
      <c r="O125" s="45"/>
      <c r="P125" s="113">
        <v>2</v>
      </c>
      <c r="Q125" s="114">
        <v>5186.7</v>
      </c>
      <c r="R125" s="44"/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5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5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6</v>
      </c>
      <c r="I128" s="62">
        <v>3</v>
      </c>
      <c r="J128" s="62">
        <v>4</v>
      </c>
      <c r="K128" s="30">
        <v>5120.59</v>
      </c>
      <c r="L128" s="205">
        <v>3</v>
      </c>
      <c r="M128" s="26">
        <f t="shared" si="5"/>
        <v>3189.98</v>
      </c>
      <c r="N128" s="30">
        <v>3189.98</v>
      </c>
      <c r="O128" s="243"/>
      <c r="P128" s="64">
        <v>3</v>
      </c>
      <c r="Q128" s="65">
        <v>7766.38</v>
      </c>
      <c r="R128" s="224">
        <v>2</v>
      </c>
      <c r="S128" s="50">
        <f t="shared" si="7"/>
        <v>3540.18</v>
      </c>
      <c r="T128" s="65">
        <v>3540.18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5"/>
        <v>0</v>
      </c>
      <c r="N129" s="39"/>
      <c r="O129" s="41"/>
      <c r="P129" s="67">
        <v>1</v>
      </c>
      <c r="Q129" s="68">
        <v>2305.1999999999998</v>
      </c>
      <c r="R129" s="40"/>
      <c r="S129" s="39">
        <f t="shared" si="7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12</v>
      </c>
      <c r="I130" s="203">
        <v>6</v>
      </c>
      <c r="J130" s="203">
        <v>7</v>
      </c>
      <c r="K130" s="65">
        <v>17376.97</v>
      </c>
      <c r="L130" s="51"/>
      <c r="M130" s="50">
        <f t="shared" si="5"/>
        <v>13711.53</v>
      </c>
      <c r="N130" s="50"/>
      <c r="O130" s="225">
        <v>13711.53</v>
      </c>
      <c r="P130" s="108">
        <v>20</v>
      </c>
      <c r="Q130" s="65">
        <v>63705.13</v>
      </c>
      <c r="R130" s="224">
        <v>13</v>
      </c>
      <c r="S130" s="50">
        <f t="shared" si="7"/>
        <v>59334.53</v>
      </c>
      <c r="T130" s="65">
        <v>42800.99</v>
      </c>
      <c r="U130" s="225">
        <v>16533.54</v>
      </c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5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9</v>
      </c>
      <c r="I132" s="62">
        <v>1</v>
      </c>
      <c r="J132" s="62">
        <v>1</v>
      </c>
      <c r="K132" s="30">
        <v>1405.21</v>
      </c>
      <c r="L132" s="27"/>
      <c r="M132" s="26">
        <f t="shared" si="5"/>
        <v>0</v>
      </c>
      <c r="N132" s="26"/>
      <c r="O132" s="31"/>
      <c r="P132" s="53">
        <v>13</v>
      </c>
      <c r="Q132" s="30">
        <v>46879.51</v>
      </c>
      <c r="R132" s="205">
        <v>6</v>
      </c>
      <c r="S132" s="26">
        <f t="shared" si="7"/>
        <v>46294.31</v>
      </c>
      <c r="T132" s="30">
        <v>21153.67</v>
      </c>
      <c r="U132" s="225">
        <v>25140.639999999999</v>
      </c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5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9</v>
      </c>
      <c r="I134" s="62">
        <v>5</v>
      </c>
      <c r="J134" s="62">
        <v>5</v>
      </c>
      <c r="K134" s="30">
        <v>6628.44</v>
      </c>
      <c r="L134" s="205">
        <v>3</v>
      </c>
      <c r="M134" s="26">
        <f t="shared" si="5"/>
        <v>2221.61</v>
      </c>
      <c r="N134" s="30">
        <v>2221.61</v>
      </c>
      <c r="O134" s="31"/>
      <c r="P134" s="53">
        <v>24</v>
      </c>
      <c r="Q134" s="30">
        <v>39369.230000000003</v>
      </c>
      <c r="R134" s="205">
        <v>19</v>
      </c>
      <c r="S134" s="26">
        <f t="shared" si="7"/>
        <v>32606.92</v>
      </c>
      <c r="T134" s="30">
        <v>30301.71</v>
      </c>
      <c r="U134" s="225">
        <v>2305.21</v>
      </c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2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5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5"/>
        <v>0</v>
      </c>
      <c r="N136" s="26"/>
      <c r="O136" s="28"/>
      <c r="P136" s="214"/>
      <c r="Q136" s="30"/>
      <c r="R136" s="205"/>
      <c r="S136" s="26">
        <f t="shared" ref="S136:S149" si="8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5"/>
        <v>0</v>
      </c>
      <c r="N137" s="39"/>
      <c r="O137" s="41"/>
      <c r="P137" s="217"/>
      <c r="Q137" s="68"/>
      <c r="R137" s="285"/>
      <c r="S137" s="39">
        <f t="shared" si="8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14</v>
      </c>
      <c r="I138" s="266">
        <v>13</v>
      </c>
      <c r="J138" s="266">
        <v>15</v>
      </c>
      <c r="K138" s="79">
        <v>21503.97</v>
      </c>
      <c r="L138" s="80"/>
      <c r="M138" s="81">
        <f t="shared" si="5"/>
        <v>5859.73</v>
      </c>
      <c r="N138" s="81"/>
      <c r="O138" s="269">
        <v>5859.73</v>
      </c>
      <c r="P138" s="267">
        <v>15</v>
      </c>
      <c r="Q138" s="79">
        <v>74080.17</v>
      </c>
      <c r="R138" s="268">
        <v>7</v>
      </c>
      <c r="S138" s="81">
        <f t="shared" si="8"/>
        <v>68482.760000000009</v>
      </c>
      <c r="T138" s="79">
        <v>29991.43</v>
      </c>
      <c r="U138" s="269">
        <v>38491.33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5"/>
        <v>0</v>
      </c>
      <c r="N139" s="39"/>
      <c r="O139" s="41"/>
      <c r="P139" s="59"/>
      <c r="Q139" s="39"/>
      <c r="R139" s="40"/>
      <c r="S139" s="39">
        <f t="shared" si="8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12</v>
      </c>
      <c r="I140" s="203">
        <v>5</v>
      </c>
      <c r="J140" s="203">
        <v>7</v>
      </c>
      <c r="K140" s="65">
        <v>11288.37</v>
      </c>
      <c r="L140" s="51"/>
      <c r="M140" s="50">
        <f t="shared" si="5"/>
        <v>5906.11</v>
      </c>
      <c r="N140" s="50"/>
      <c r="O140" s="225">
        <v>5906.11</v>
      </c>
      <c r="P140" s="108">
        <v>46</v>
      </c>
      <c r="Q140" s="65">
        <v>278048.76</v>
      </c>
      <c r="R140" s="224">
        <v>12</v>
      </c>
      <c r="S140" s="50">
        <f t="shared" si="8"/>
        <v>206376.53</v>
      </c>
      <c r="T140" s="65">
        <v>107444.05</v>
      </c>
      <c r="U140" s="225">
        <v>98932.479999999996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5"/>
        <v>0</v>
      </c>
      <c r="N141" s="129"/>
      <c r="O141" s="45"/>
      <c r="P141" s="156"/>
      <c r="Q141" s="129"/>
      <c r="R141" s="128"/>
      <c r="S141" s="129">
        <f t="shared" si="8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5"/>
        <v>0</v>
      </c>
      <c r="N142" s="43"/>
      <c r="O142" s="41"/>
      <c r="P142" s="113">
        <v>2</v>
      </c>
      <c r="Q142" s="114">
        <v>6912.6</v>
      </c>
      <c r="R142" s="270">
        <v>2</v>
      </c>
      <c r="S142" s="43">
        <f t="shared" si="8"/>
        <v>6531.4</v>
      </c>
      <c r="T142" s="114">
        <f>2305.2+4226.2</f>
        <v>6531.4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7"/>
      <c r="M143" s="26">
        <f t="shared" si="5"/>
        <v>384.2</v>
      </c>
      <c r="N143" s="26"/>
      <c r="O143" s="225">
        <v>384.2</v>
      </c>
      <c r="P143" s="53">
        <v>15</v>
      </c>
      <c r="Q143" s="30">
        <v>11948.95</v>
      </c>
      <c r="R143" s="27"/>
      <c r="S143" s="26">
        <f t="shared" si="8"/>
        <v>5766.02</v>
      </c>
      <c r="T143" s="26"/>
      <c r="U143" s="225">
        <v>5766.02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5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8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7</v>
      </c>
      <c r="I145" s="203">
        <v>4</v>
      </c>
      <c r="J145" s="203">
        <v>4</v>
      </c>
      <c r="K145" s="65">
        <v>4666.47</v>
      </c>
      <c r="L145" s="51"/>
      <c r="M145" s="50">
        <f t="shared" si="5"/>
        <v>3609.92</v>
      </c>
      <c r="N145" s="50"/>
      <c r="O145" s="225">
        <v>3609.92</v>
      </c>
      <c r="P145" s="108">
        <v>8</v>
      </c>
      <c r="Q145" s="65">
        <v>29582.03</v>
      </c>
      <c r="R145" s="224">
        <v>2</v>
      </c>
      <c r="S145" s="50">
        <f t="shared" si="8"/>
        <v>29582.03</v>
      </c>
      <c r="T145" s="65">
        <v>8462.64</v>
      </c>
      <c r="U145" s="225">
        <v>21119.39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5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8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5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8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5"/>
        <v>0</v>
      </c>
      <c r="N148" s="43"/>
      <c r="O148" s="41"/>
      <c r="P148" s="103"/>
      <c r="Q148" s="43"/>
      <c r="R148" s="44"/>
      <c r="S148" s="43">
        <f t="shared" si="8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62">
        <v>1</v>
      </c>
      <c r="J149" s="62">
        <v>1</v>
      </c>
      <c r="K149" s="30">
        <v>1854.88</v>
      </c>
      <c r="L149" s="27"/>
      <c r="M149" s="26">
        <f t="shared" si="5"/>
        <v>0</v>
      </c>
      <c r="N149" s="26"/>
      <c r="O149" s="31"/>
      <c r="P149" s="53">
        <v>4</v>
      </c>
      <c r="Q149" s="30">
        <v>22885.21</v>
      </c>
      <c r="R149" s="205">
        <v>2</v>
      </c>
      <c r="S149" s="26">
        <f t="shared" si="8"/>
        <v>4085.52</v>
      </c>
      <c r="T149" s="30">
        <v>4085.52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5"/>
        <v>1728.9</v>
      </c>
      <c r="N150" s="114">
        <v>1728.9</v>
      </c>
      <c r="O150" s="234"/>
      <c r="P150" s="113">
        <v>2</v>
      </c>
      <c r="Q150" s="114">
        <v>6195.1</v>
      </c>
      <c r="R150" s="270">
        <v>1</v>
      </c>
      <c r="S150" s="114">
        <v>3457.8</v>
      </c>
      <c r="T150" s="114">
        <v>3457.8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8</v>
      </c>
      <c r="I151" s="62">
        <v>6</v>
      </c>
      <c r="J151" s="62">
        <v>7</v>
      </c>
      <c r="K151" s="30">
        <v>7882.16</v>
      </c>
      <c r="L151" s="27"/>
      <c r="M151" s="26">
        <f t="shared" si="5"/>
        <v>2891.11</v>
      </c>
      <c r="N151" s="26"/>
      <c r="O151" s="225">
        <v>2891.11</v>
      </c>
      <c r="P151" s="53">
        <v>11</v>
      </c>
      <c r="Q151" s="30">
        <v>31846.83</v>
      </c>
      <c r="R151" s="205">
        <v>7</v>
      </c>
      <c r="S151" s="26">
        <f t="shared" ref="S151:S183" si="9">T151+U151</f>
        <v>26984.940000000002</v>
      </c>
      <c r="T151" s="30">
        <v>22244.68</v>
      </c>
      <c r="U151" s="225">
        <v>4740.26</v>
      </c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5"/>
        <v>0</v>
      </c>
      <c r="N152" s="129"/>
      <c r="O152" s="45"/>
      <c r="P152" s="238">
        <v>7</v>
      </c>
      <c r="Q152" s="239">
        <v>11775.73</v>
      </c>
      <c r="R152" s="316">
        <v>6</v>
      </c>
      <c r="S152" s="129">
        <f t="shared" si="9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5"/>
        <v>0</v>
      </c>
      <c r="N153" s="43"/>
      <c r="O153" s="41"/>
      <c r="P153" s="103"/>
      <c r="Q153" s="43"/>
      <c r="R153" s="44"/>
      <c r="S153" s="43">
        <f t="shared" si="9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7</v>
      </c>
      <c r="I154" s="25"/>
      <c r="J154" s="25"/>
      <c r="K154" s="26"/>
      <c r="L154" s="27"/>
      <c r="M154" s="26">
        <f t="shared" si="5"/>
        <v>0</v>
      </c>
      <c r="N154" s="26"/>
      <c r="O154" s="31"/>
      <c r="P154" s="99"/>
      <c r="Q154" s="26"/>
      <c r="R154" s="27"/>
      <c r="S154" s="26">
        <f t="shared" si="9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5"/>
        <v>0</v>
      </c>
      <c r="N155" s="39"/>
      <c r="O155" s="41"/>
      <c r="P155" s="59"/>
      <c r="Q155" s="39"/>
      <c r="R155" s="40"/>
      <c r="S155" s="39">
        <f t="shared" si="9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7</v>
      </c>
      <c r="I156" s="203">
        <v>5</v>
      </c>
      <c r="J156" s="203">
        <v>5</v>
      </c>
      <c r="K156" s="65">
        <v>7140.36</v>
      </c>
      <c r="L156" s="51"/>
      <c r="M156" s="50">
        <f t="shared" si="5"/>
        <v>6564.06</v>
      </c>
      <c r="N156" s="50"/>
      <c r="O156" s="225">
        <v>6564.06</v>
      </c>
      <c r="P156" s="108">
        <v>5</v>
      </c>
      <c r="Q156" s="65">
        <v>27150.720000000001</v>
      </c>
      <c r="R156" s="224">
        <v>2</v>
      </c>
      <c r="S156" s="50">
        <f t="shared" si="9"/>
        <v>27150.720000000001</v>
      </c>
      <c r="T156" s="65">
        <v>3694.33</v>
      </c>
      <c r="U156" s="225">
        <v>23456.39</v>
      </c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7</v>
      </c>
      <c r="I157" s="246">
        <v>2</v>
      </c>
      <c r="J157" s="246">
        <v>2</v>
      </c>
      <c r="K157" s="158">
        <v>4226.2</v>
      </c>
      <c r="L157" s="143"/>
      <c r="M157" s="142">
        <f t="shared" si="5"/>
        <v>0</v>
      </c>
      <c r="N157" s="142"/>
      <c r="O157" s="45"/>
      <c r="P157" s="157">
        <v>4</v>
      </c>
      <c r="Q157" s="158">
        <v>8625.2900000000009</v>
      </c>
      <c r="R157" s="224">
        <v>5</v>
      </c>
      <c r="S157" s="50">
        <f t="shared" si="9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5"/>
        <v>0</v>
      </c>
      <c r="N158" s="43"/>
      <c r="O158" s="41"/>
      <c r="P158" s="103"/>
      <c r="Q158" s="43"/>
      <c r="R158" s="44"/>
      <c r="S158" s="43">
        <f t="shared" si="9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9</v>
      </c>
      <c r="I159" s="62">
        <v>3</v>
      </c>
      <c r="J159" s="62">
        <v>3</v>
      </c>
      <c r="K159" s="30">
        <v>3034.21</v>
      </c>
      <c r="L159" s="27"/>
      <c r="M159" s="26">
        <f t="shared" si="5"/>
        <v>0</v>
      </c>
      <c r="N159" s="26"/>
      <c r="O159" s="31"/>
      <c r="P159" s="53">
        <v>1</v>
      </c>
      <c r="Q159" s="30">
        <v>576.29999999999995</v>
      </c>
      <c r="R159" s="205">
        <v>1</v>
      </c>
      <c r="S159" s="26">
        <f t="shared" si="9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5"/>
        <v>0</v>
      </c>
      <c r="N160" s="39"/>
      <c r="O160" s="41"/>
      <c r="P160" s="115">
        <v>2</v>
      </c>
      <c r="Q160" s="68">
        <v>3265.7</v>
      </c>
      <c r="R160" s="285">
        <v>2</v>
      </c>
      <c r="S160" s="39">
        <f t="shared" si="9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5</v>
      </c>
      <c r="I161" s="203">
        <v>4</v>
      </c>
      <c r="J161" s="203">
        <v>4</v>
      </c>
      <c r="K161" s="65">
        <v>9805.2099999999991</v>
      </c>
      <c r="L161" s="51"/>
      <c r="M161" s="50">
        <f t="shared" si="5"/>
        <v>0</v>
      </c>
      <c r="N161" s="50"/>
      <c r="O161" s="31"/>
      <c r="P161" s="108">
        <v>8</v>
      </c>
      <c r="Q161" s="65">
        <v>16335.71</v>
      </c>
      <c r="R161" s="224">
        <v>7</v>
      </c>
      <c r="S161" s="50">
        <f t="shared" si="9"/>
        <v>11686.89</v>
      </c>
      <c r="T161" s="65">
        <v>11686.89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270">
        <v>3</v>
      </c>
      <c r="M162" s="43">
        <f t="shared" si="5"/>
        <v>5225.12</v>
      </c>
      <c r="N162" s="43">
        <f>3880.42+1344.7</f>
        <v>5225.12</v>
      </c>
      <c r="O162" s="41"/>
      <c r="P162" s="113">
        <v>4</v>
      </c>
      <c r="Q162" s="114">
        <v>9124.75</v>
      </c>
      <c r="R162" s="270">
        <v>3</v>
      </c>
      <c r="S162" s="43">
        <f t="shared" si="9"/>
        <v>7203.75</v>
      </c>
      <c r="T162" s="114">
        <f>4802.5+2401.25</f>
        <v>7203.75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3</v>
      </c>
      <c r="J163" s="62">
        <v>4</v>
      </c>
      <c r="K163" s="30">
        <v>11839.32</v>
      </c>
      <c r="L163" s="27"/>
      <c r="M163" s="26">
        <f t="shared" si="5"/>
        <v>6365.22</v>
      </c>
      <c r="N163" s="26"/>
      <c r="O163" s="225">
        <v>6365.22</v>
      </c>
      <c r="P163" s="53">
        <v>10</v>
      </c>
      <c r="Q163" s="30">
        <v>30369.15</v>
      </c>
      <c r="R163" s="205">
        <v>2</v>
      </c>
      <c r="S163" s="26">
        <f t="shared" si="9"/>
        <v>17901.55</v>
      </c>
      <c r="T163" s="30">
        <v>5290.28</v>
      </c>
      <c r="U163" s="225">
        <v>12611.27</v>
      </c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5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9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4</v>
      </c>
      <c r="I165" s="62">
        <v>4</v>
      </c>
      <c r="J165" s="62">
        <v>4</v>
      </c>
      <c r="K165" s="30">
        <v>8539.0300000000007</v>
      </c>
      <c r="L165" s="27"/>
      <c r="M165" s="26">
        <f t="shared" si="5"/>
        <v>0</v>
      </c>
      <c r="N165" s="26"/>
      <c r="O165" s="159"/>
      <c r="P165" s="53">
        <v>3</v>
      </c>
      <c r="Q165" s="30">
        <v>20168.78</v>
      </c>
      <c r="R165" s="205">
        <v>3</v>
      </c>
      <c r="S165" s="26">
        <f t="shared" si="9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5"/>
        <v>1728.9</v>
      </c>
      <c r="N166" s="211">
        <f>1728.9</f>
        <v>1728.9</v>
      </c>
      <c r="O166" s="274"/>
      <c r="P166" s="262">
        <v>2</v>
      </c>
      <c r="Q166" s="209">
        <v>2420.46</v>
      </c>
      <c r="R166" s="210"/>
      <c r="S166" s="211">
        <f t="shared" si="9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1</v>
      </c>
      <c r="I167" s="25"/>
      <c r="J167" s="25"/>
      <c r="K167" s="26"/>
      <c r="L167" s="27"/>
      <c r="M167" s="26">
        <f t="shared" si="5"/>
        <v>0</v>
      </c>
      <c r="N167" s="26"/>
      <c r="O167" s="28"/>
      <c r="P167" s="214"/>
      <c r="Q167" s="30"/>
      <c r="R167" s="205"/>
      <c r="S167" s="26">
        <f t="shared" si="9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5"/>
        <v>0</v>
      </c>
      <c r="N168" s="39"/>
      <c r="O168" s="41"/>
      <c r="P168" s="217"/>
      <c r="Q168" s="68"/>
      <c r="R168" s="285"/>
      <c r="S168" s="39">
        <f t="shared" si="9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2</v>
      </c>
      <c r="J169" s="266">
        <v>2</v>
      </c>
      <c r="K169" s="79">
        <v>7085.44</v>
      </c>
      <c r="L169" s="80"/>
      <c r="M169" s="81">
        <f t="shared" si="5"/>
        <v>0</v>
      </c>
      <c r="N169" s="81"/>
      <c r="O169" s="219"/>
      <c r="P169" s="267">
        <v>2</v>
      </c>
      <c r="Q169" s="79">
        <v>5200.1499999999996</v>
      </c>
      <c r="R169" s="268">
        <v>1</v>
      </c>
      <c r="S169" s="81">
        <f t="shared" si="9"/>
        <v>2497.3000000000002</v>
      </c>
      <c r="T169" s="79">
        <v>2497.3000000000002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5"/>
        <v>0</v>
      </c>
      <c r="N170" s="43"/>
      <c r="O170" s="45"/>
      <c r="P170" s="103"/>
      <c r="Q170" s="43"/>
      <c r="R170" s="44"/>
      <c r="S170" s="43">
        <f t="shared" si="9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5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9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5"/>
        <v>0</v>
      </c>
      <c r="N172" s="211"/>
      <c r="O172" s="212"/>
      <c r="P172" s="273"/>
      <c r="Q172" s="211"/>
      <c r="R172" s="210"/>
      <c r="S172" s="211">
        <f t="shared" si="9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5"/>
        <v>0</v>
      </c>
      <c r="N173" s="26"/>
      <c r="O173" s="28"/>
      <c r="P173" s="214"/>
      <c r="Q173" s="30"/>
      <c r="R173" s="205"/>
      <c r="S173" s="26">
        <f t="shared" si="9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5"/>
        <v>0</v>
      </c>
      <c r="N174" s="39"/>
      <c r="O174" s="41"/>
      <c r="P174" s="217"/>
      <c r="Q174" s="68"/>
      <c r="R174" s="285"/>
      <c r="S174" s="39">
        <f t="shared" si="9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3</v>
      </c>
      <c r="I175" s="266">
        <v>2</v>
      </c>
      <c r="J175" s="266">
        <v>2</v>
      </c>
      <c r="K175" s="79">
        <v>2253.34</v>
      </c>
      <c r="L175" s="80"/>
      <c r="M175" s="81">
        <f t="shared" si="5"/>
        <v>0</v>
      </c>
      <c r="N175" s="81"/>
      <c r="O175" s="219"/>
      <c r="P175" s="267">
        <v>14</v>
      </c>
      <c r="Q175" s="79">
        <v>42391.839999999997</v>
      </c>
      <c r="R175" s="268">
        <v>5</v>
      </c>
      <c r="S175" s="81">
        <f t="shared" si="9"/>
        <v>34311.440000000002</v>
      </c>
      <c r="T175" s="79">
        <v>16502.04</v>
      </c>
      <c r="U175" s="269">
        <v>17809.400000000001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1</v>
      </c>
      <c r="J176" s="130">
        <v>1</v>
      </c>
      <c r="K176" s="114">
        <v>2497.3000000000002</v>
      </c>
      <c r="L176" s="316">
        <v>1</v>
      </c>
      <c r="M176" s="50">
        <f t="shared" si="5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2</v>
      </c>
      <c r="S176" s="43">
        <f t="shared" si="9"/>
        <v>6003</v>
      </c>
      <c r="T176" s="114">
        <f>576.3+5426.7</f>
        <v>6003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6</v>
      </c>
      <c r="I177" s="62">
        <v>3</v>
      </c>
      <c r="J177" s="62">
        <v>3</v>
      </c>
      <c r="K177" s="30">
        <v>5755.32</v>
      </c>
      <c r="L177" s="27"/>
      <c r="M177" s="26">
        <f t="shared" si="5"/>
        <v>1477.25</v>
      </c>
      <c r="N177" s="26"/>
      <c r="O177" s="225">
        <v>1477.25</v>
      </c>
      <c r="P177" s="53">
        <v>10</v>
      </c>
      <c r="Q177" s="30">
        <v>31881.81</v>
      </c>
      <c r="R177" s="205">
        <v>1</v>
      </c>
      <c r="S177" s="26">
        <f t="shared" si="9"/>
        <v>14675.67</v>
      </c>
      <c r="T177" s="30">
        <v>1267.8599999999999</v>
      </c>
      <c r="U177" s="225">
        <v>13407.81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5"/>
        <v>0</v>
      </c>
      <c r="N178" s="43"/>
      <c r="O178" s="41"/>
      <c r="P178" s="115">
        <v>4</v>
      </c>
      <c r="Q178" s="68">
        <v>17865.3</v>
      </c>
      <c r="R178" s="40"/>
      <c r="S178" s="39">
        <f t="shared" si="9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14</v>
      </c>
      <c r="I179" s="62">
        <v>10</v>
      </c>
      <c r="J179" s="204">
        <v>11</v>
      </c>
      <c r="K179" s="30">
        <v>18139.990000000002</v>
      </c>
      <c r="L179" s="27"/>
      <c r="M179" s="26">
        <f t="shared" si="5"/>
        <v>5615.47</v>
      </c>
      <c r="N179" s="26"/>
      <c r="O179" s="225">
        <v>5615.47</v>
      </c>
      <c r="P179" s="108">
        <v>21</v>
      </c>
      <c r="Q179" s="65">
        <v>59851.3</v>
      </c>
      <c r="R179" s="224">
        <v>5</v>
      </c>
      <c r="S179" s="50">
        <f t="shared" si="9"/>
        <v>45597.55</v>
      </c>
      <c r="T179" s="65">
        <v>17249.09</v>
      </c>
      <c r="U179" s="225">
        <v>28348.46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5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9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104"/>
      <c r="I181" s="25"/>
      <c r="J181" s="25"/>
      <c r="K181" s="162"/>
      <c r="L181" s="163"/>
      <c r="M181" s="162">
        <f t="shared" si="5"/>
        <v>0</v>
      </c>
      <c r="N181" s="162"/>
      <c r="O181" s="28"/>
      <c r="P181" s="275"/>
      <c r="Q181" s="26"/>
      <c r="R181" s="27"/>
      <c r="S181" s="26">
        <f t="shared" si="9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5"/>
        <v>0</v>
      </c>
      <c r="N182" s="164"/>
      <c r="O182" s="41"/>
      <c r="P182" s="276"/>
      <c r="Q182" s="39"/>
      <c r="R182" s="40"/>
      <c r="S182" s="39">
        <f t="shared" si="9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5"/>
        <v>0</v>
      </c>
      <c r="N183" s="293"/>
      <c r="O183" s="82"/>
      <c r="P183" s="295"/>
      <c r="Q183" s="81"/>
      <c r="R183" s="80"/>
      <c r="S183" s="81">
        <f t="shared" si="9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5"/>
        <v>0</v>
      </c>
      <c r="N184" s="164"/>
      <c r="O184" s="41"/>
      <c r="P184" s="67">
        <v>4</v>
      </c>
      <c r="Q184" s="68">
        <v>19199.810000000001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8</v>
      </c>
      <c r="I185" s="203">
        <v>7</v>
      </c>
      <c r="J185" s="203">
        <v>9</v>
      </c>
      <c r="K185" s="242">
        <v>20143.900000000001</v>
      </c>
      <c r="L185" s="167"/>
      <c r="M185" s="166">
        <f t="shared" si="5"/>
        <v>8798.4699999999993</v>
      </c>
      <c r="N185" s="166"/>
      <c r="O185" s="225">
        <v>8798.4699999999993</v>
      </c>
      <c r="P185" s="108">
        <v>6</v>
      </c>
      <c r="Q185" s="65">
        <v>34185.78</v>
      </c>
      <c r="R185" s="224">
        <v>4</v>
      </c>
      <c r="S185" s="50">
        <f t="shared" ref="S185:S204" si="10">T185+U185</f>
        <v>16635.98</v>
      </c>
      <c r="T185" s="65">
        <v>15452.64</v>
      </c>
      <c r="U185" s="225">
        <v>1183.3399999999999</v>
      </c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5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10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3</v>
      </c>
      <c r="J187" s="62">
        <v>3</v>
      </c>
      <c r="K187" s="30">
        <v>4497.1000000000004</v>
      </c>
      <c r="L187" s="27"/>
      <c r="M187" s="26">
        <f t="shared" si="5"/>
        <v>0</v>
      </c>
      <c r="N187" s="26"/>
      <c r="O187" s="31"/>
      <c r="P187" s="53">
        <v>7</v>
      </c>
      <c r="Q187" s="30">
        <v>16748.509999999998</v>
      </c>
      <c r="R187" s="205">
        <v>1</v>
      </c>
      <c r="S187" s="26">
        <f t="shared" si="10"/>
        <v>10125.48</v>
      </c>
      <c r="T187" s="30">
        <v>3759.09</v>
      </c>
      <c r="U187" s="225">
        <v>6366.39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5"/>
        <v>0</v>
      </c>
      <c r="N188" s="39"/>
      <c r="O188" s="41"/>
      <c r="P188" s="59"/>
      <c r="Q188" s="39"/>
      <c r="R188" s="40"/>
      <c r="S188" s="39">
        <f t="shared" si="10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5"/>
        <v>0</v>
      </c>
      <c r="N189" s="50"/>
      <c r="O189" s="31"/>
      <c r="P189" s="108">
        <v>2</v>
      </c>
      <c r="Q189" s="65">
        <v>14241.9</v>
      </c>
      <c r="R189" s="224">
        <v>1</v>
      </c>
      <c r="S189" s="50">
        <f t="shared" si="10"/>
        <v>11832.5</v>
      </c>
      <c r="T189" s="65">
        <v>11832.5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5"/>
        <v>0</v>
      </c>
      <c r="N190" s="43"/>
      <c r="O190" s="41"/>
      <c r="P190" s="103"/>
      <c r="Q190" s="43"/>
      <c r="R190" s="44"/>
      <c r="S190" s="43">
        <f t="shared" si="10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5"/>
        <v>0</v>
      </c>
      <c r="N191" s="26"/>
      <c r="O191" s="31"/>
      <c r="P191" s="120"/>
      <c r="Q191" s="26"/>
      <c r="R191" s="27"/>
      <c r="S191" s="26">
        <f t="shared" si="10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5"/>
        <v>0</v>
      </c>
      <c r="N192" s="39"/>
      <c r="O192" s="41"/>
      <c r="P192" s="69"/>
      <c r="Q192" s="39"/>
      <c r="R192" s="40"/>
      <c r="S192" s="39">
        <f t="shared" si="10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6</v>
      </c>
      <c r="J193" s="203">
        <v>6</v>
      </c>
      <c r="K193" s="65">
        <v>11123.36</v>
      </c>
      <c r="L193" s="51"/>
      <c r="M193" s="50">
        <f t="shared" si="5"/>
        <v>7557.22</v>
      </c>
      <c r="N193" s="50"/>
      <c r="O193" s="225">
        <v>7557.22</v>
      </c>
      <c r="P193" s="108">
        <v>8</v>
      </c>
      <c r="Q193" s="65">
        <v>20431.349999999999</v>
      </c>
      <c r="R193" s="224">
        <v>1</v>
      </c>
      <c r="S193" s="50">
        <f t="shared" si="10"/>
        <v>8066.2899999999991</v>
      </c>
      <c r="T193" s="65">
        <v>2627.93</v>
      </c>
      <c r="U193" s="225">
        <v>5438.36</v>
      </c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8"/>
      <c r="J194" s="38"/>
      <c r="K194" s="39"/>
      <c r="L194" s="40"/>
      <c r="M194" s="39">
        <f t="shared" si="5"/>
        <v>0</v>
      </c>
      <c r="N194" s="39"/>
      <c r="O194" s="41"/>
      <c r="P194" s="59"/>
      <c r="Q194" s="39"/>
      <c r="R194" s="40"/>
      <c r="S194" s="39">
        <f t="shared" si="10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12</v>
      </c>
      <c r="I195" s="203">
        <v>7</v>
      </c>
      <c r="J195" s="203">
        <v>9</v>
      </c>
      <c r="K195" s="65">
        <v>13552.93</v>
      </c>
      <c r="L195" s="51"/>
      <c r="M195" s="50">
        <f t="shared" si="5"/>
        <v>5908.22</v>
      </c>
      <c r="N195" s="50"/>
      <c r="O195" s="225">
        <v>5908.22</v>
      </c>
      <c r="P195" s="108">
        <v>24</v>
      </c>
      <c r="Q195" s="65">
        <v>38241.53</v>
      </c>
      <c r="R195" s="224">
        <v>18</v>
      </c>
      <c r="S195" s="50">
        <f t="shared" si="10"/>
        <v>34472.65</v>
      </c>
      <c r="T195" s="65">
        <v>27671.88</v>
      </c>
      <c r="U195" s="225">
        <v>6800.77</v>
      </c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3</v>
      </c>
      <c r="I196" s="130">
        <v>1</v>
      </c>
      <c r="J196" s="130">
        <v>1</v>
      </c>
      <c r="K196" s="114">
        <v>1056.55</v>
      </c>
      <c r="L196" s="316">
        <v>1</v>
      </c>
      <c r="M196" s="50">
        <f t="shared" si="5"/>
        <v>1056.55</v>
      </c>
      <c r="N196" s="43">
        <f>1056.55</f>
        <v>1056.55</v>
      </c>
      <c r="O196" s="41"/>
      <c r="P196" s="113">
        <v>3</v>
      </c>
      <c r="Q196" s="114">
        <v>5551.69</v>
      </c>
      <c r="R196" s="270">
        <v>3</v>
      </c>
      <c r="S196" s="43">
        <f t="shared" si="10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6</v>
      </c>
      <c r="I197" s="25"/>
      <c r="J197" s="25"/>
      <c r="K197" s="26"/>
      <c r="L197" s="27"/>
      <c r="M197" s="26">
        <f t="shared" si="5"/>
        <v>0</v>
      </c>
      <c r="N197" s="26"/>
      <c r="O197" s="31"/>
      <c r="P197" s="53">
        <v>3</v>
      </c>
      <c r="Q197" s="30">
        <v>8280.19</v>
      </c>
      <c r="R197" s="27"/>
      <c r="S197" s="26">
        <f t="shared" si="10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5"/>
        <v>0</v>
      </c>
      <c r="N198" s="39"/>
      <c r="O198" s="41"/>
      <c r="P198" s="59"/>
      <c r="Q198" s="39"/>
      <c r="R198" s="40"/>
      <c r="S198" s="39">
        <f t="shared" si="10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5"/>
        <v>0</v>
      </c>
      <c r="N199" s="50"/>
      <c r="O199" s="31"/>
      <c r="P199" s="123"/>
      <c r="Q199" s="50"/>
      <c r="R199" s="51"/>
      <c r="S199" s="50">
        <f t="shared" si="10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5"/>
        <v>0</v>
      </c>
      <c r="N200" s="50"/>
      <c r="O200" s="45"/>
      <c r="P200" s="123"/>
      <c r="Q200" s="50"/>
      <c r="R200" s="51"/>
      <c r="S200" s="50">
        <f t="shared" si="10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5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10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5"/>
        <v>0</v>
      </c>
      <c r="N202" s="26"/>
      <c r="O202" s="31"/>
      <c r="P202" s="99"/>
      <c r="Q202" s="26"/>
      <c r="R202" s="27"/>
      <c r="S202" s="26">
        <f t="shared" si="10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5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10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5"/>
        <v>0</v>
      </c>
      <c r="N204" s="26"/>
      <c r="O204" s="31"/>
      <c r="P204" s="99"/>
      <c r="Q204" s="26"/>
      <c r="R204" s="27"/>
      <c r="S204" s="26">
        <f t="shared" si="10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5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5"/>
        <v>0</v>
      </c>
      <c r="N206" s="50"/>
      <c r="O206" s="31"/>
      <c r="P206" s="108">
        <v>3</v>
      </c>
      <c r="Q206" s="65">
        <v>12689.15</v>
      </c>
      <c r="R206" s="224">
        <v>2</v>
      </c>
      <c r="S206" s="50">
        <f t="shared" ref="S206:S220" si="11">T206+U206</f>
        <v>12689.150000000001</v>
      </c>
      <c r="T206" s="65">
        <v>2541.1999999999998</v>
      </c>
      <c r="U206" s="225">
        <v>10147.950000000001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5"/>
        <v>0</v>
      </c>
      <c r="N207" s="43"/>
      <c r="O207" s="45"/>
      <c r="P207" s="273"/>
      <c r="Q207" s="211"/>
      <c r="R207" s="210"/>
      <c r="S207" s="211">
        <f t="shared" si="11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05">
        <v>1</v>
      </c>
      <c r="M208" s="26">
        <f t="shared" si="5"/>
        <v>576.29999999999995</v>
      </c>
      <c r="N208" s="30">
        <v>576.29999999999995</v>
      </c>
      <c r="O208" s="308"/>
      <c r="P208" s="99"/>
      <c r="Q208" s="26"/>
      <c r="R208" s="27"/>
      <c r="S208" s="26">
        <f t="shared" si="11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3</v>
      </c>
      <c r="I209" s="37"/>
      <c r="J209" s="37"/>
      <c r="K209" s="39"/>
      <c r="L209" s="40"/>
      <c r="M209" s="39">
        <f t="shared" si="5"/>
        <v>0</v>
      </c>
      <c r="N209" s="39"/>
      <c r="O209" s="309"/>
      <c r="P209" s="310">
        <v>4</v>
      </c>
      <c r="Q209" s="245">
        <v>19651.830000000002</v>
      </c>
      <c r="R209" s="40"/>
      <c r="S209" s="39">
        <f t="shared" si="11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5"/>
        <v>0</v>
      </c>
      <c r="N210" s="50"/>
      <c r="O210" s="31"/>
      <c r="P210" s="277"/>
      <c r="Q210" s="81"/>
      <c r="R210" s="80"/>
      <c r="S210" s="81">
        <f t="shared" si="11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5"/>
        <v>0</v>
      </c>
      <c r="N211" s="43"/>
      <c r="O211" s="41"/>
      <c r="P211" s="113">
        <v>1</v>
      </c>
      <c r="Q211" s="114">
        <v>3842</v>
      </c>
      <c r="R211" s="128"/>
      <c r="S211" s="50">
        <f t="shared" si="11"/>
        <v>0</v>
      </c>
      <c r="T211" s="43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8</v>
      </c>
      <c r="I212" s="62">
        <v>6</v>
      </c>
      <c r="J212" s="62">
        <v>10</v>
      </c>
      <c r="K212" s="30">
        <v>22151.4</v>
      </c>
      <c r="L212" s="27"/>
      <c r="M212" s="26">
        <f t="shared" si="5"/>
        <v>5413.52</v>
      </c>
      <c r="N212" s="26"/>
      <c r="O212" s="225">
        <v>5413.52</v>
      </c>
      <c r="P212" s="53">
        <v>17</v>
      </c>
      <c r="Q212" s="30">
        <v>46159.82</v>
      </c>
      <c r="R212" s="205">
        <v>9</v>
      </c>
      <c r="S212" s="26">
        <f t="shared" si="11"/>
        <v>34299.050000000003</v>
      </c>
      <c r="T212" s="30">
        <v>22498.43</v>
      </c>
      <c r="U212" s="225">
        <v>11800.62</v>
      </c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5"/>
        <v>0</v>
      </c>
      <c r="N213" s="39"/>
      <c r="O213" s="41"/>
      <c r="P213" s="59"/>
      <c r="Q213" s="39"/>
      <c r="R213" s="40"/>
      <c r="S213" s="39">
        <f t="shared" si="11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2</v>
      </c>
      <c r="I214" s="49"/>
      <c r="J214" s="49"/>
      <c r="K214" s="50"/>
      <c r="L214" s="51"/>
      <c r="M214" s="50">
        <f t="shared" si="5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11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5"/>
        <v>0</v>
      </c>
      <c r="N215" s="43"/>
      <c r="O215" s="41"/>
      <c r="P215" s="113">
        <v>1</v>
      </c>
      <c r="Q215" s="114">
        <v>4226.2</v>
      </c>
      <c r="R215" s="44"/>
      <c r="S215" s="43">
        <f t="shared" si="1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11</v>
      </c>
      <c r="I216" s="62">
        <v>8</v>
      </c>
      <c r="J216" s="62">
        <v>8</v>
      </c>
      <c r="K216" s="30">
        <v>5106.5200000000004</v>
      </c>
      <c r="L216" s="27"/>
      <c r="M216" s="26">
        <f t="shared" si="5"/>
        <v>806.82</v>
      </c>
      <c r="N216" s="26"/>
      <c r="O216" s="225">
        <v>806.82</v>
      </c>
      <c r="P216" s="53">
        <v>27</v>
      </c>
      <c r="Q216" s="30">
        <v>36893.15</v>
      </c>
      <c r="R216" s="205">
        <v>4</v>
      </c>
      <c r="S216" s="26">
        <f t="shared" si="11"/>
        <v>34055.83</v>
      </c>
      <c r="T216" s="30">
        <v>6109.65</v>
      </c>
      <c r="U216" s="30">
        <v>27946.18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5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1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23</v>
      </c>
      <c r="I218" s="25"/>
      <c r="J218" s="25"/>
      <c r="K218" s="26"/>
      <c r="L218" s="27"/>
      <c r="M218" s="26">
        <f t="shared" si="5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1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7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5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1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9</v>
      </c>
      <c r="I220" s="203">
        <v>7</v>
      </c>
      <c r="J220" s="203">
        <v>8</v>
      </c>
      <c r="K220" s="65">
        <v>16934.2</v>
      </c>
      <c r="L220" s="51"/>
      <c r="M220" s="50">
        <f t="shared" si="5"/>
        <v>5845.61</v>
      </c>
      <c r="N220" s="50"/>
      <c r="O220" s="225">
        <v>5845.61</v>
      </c>
      <c r="P220" s="108">
        <v>17</v>
      </c>
      <c r="Q220" s="65">
        <v>54358.97</v>
      </c>
      <c r="R220" s="224">
        <v>5</v>
      </c>
      <c r="S220" s="50">
        <f t="shared" si="11"/>
        <v>48720.17</v>
      </c>
      <c r="T220" s="65">
        <v>24141.61</v>
      </c>
      <c r="U220" s="225">
        <v>24578.560000000001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1</v>
      </c>
      <c r="I221" s="57"/>
      <c r="J221" s="57"/>
      <c r="K221" s="43"/>
      <c r="L221" s="44"/>
      <c r="M221" s="43">
        <f t="shared" si="5"/>
        <v>0</v>
      </c>
      <c r="N221" s="43"/>
      <c r="O221" s="41"/>
      <c r="P221" s="113">
        <v>6</v>
      </c>
      <c r="Q221" s="114">
        <v>32210.18</v>
      </c>
      <c r="R221" s="270">
        <v>5</v>
      </c>
      <c r="S221" s="114">
        <v>24781.439999999999</v>
      </c>
      <c r="T221" s="114">
        <v>24781.439999999999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7"/>
      <c r="M222" s="26">
        <f t="shared" si="5"/>
        <v>1185.45</v>
      </c>
      <c r="N222" s="26"/>
      <c r="O222" s="225">
        <v>1185.45</v>
      </c>
      <c r="P222" s="53">
        <v>14</v>
      </c>
      <c r="Q222" s="30">
        <v>45509.18</v>
      </c>
      <c r="R222" s="205">
        <v>7</v>
      </c>
      <c r="S222" s="26">
        <f t="shared" ref="S222:S244" si="12">T222+U222</f>
        <v>28989.79</v>
      </c>
      <c r="T222" s="30">
        <v>19390.669999999998</v>
      </c>
      <c r="U222" s="225">
        <v>9599.1200000000008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5"/>
        <v>0</v>
      </c>
      <c r="N223" s="43"/>
      <c r="O223" s="41"/>
      <c r="P223" s="103"/>
      <c r="Q223" s="43"/>
      <c r="R223" s="44"/>
      <c r="S223" s="43">
        <f t="shared" si="12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2</v>
      </c>
      <c r="I224" s="25"/>
      <c r="J224" s="25"/>
      <c r="K224" s="26"/>
      <c r="L224" s="27"/>
      <c r="M224" s="26">
        <f t="shared" si="5"/>
        <v>0</v>
      </c>
      <c r="N224" s="26"/>
      <c r="O224" s="31"/>
      <c r="P224" s="120"/>
      <c r="Q224" s="26"/>
      <c r="R224" s="27"/>
      <c r="S224" s="26">
        <f t="shared" si="12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6"/>
      <c r="G225" s="282" t="s">
        <v>28</v>
      </c>
      <c r="H225" s="131"/>
      <c r="I225" s="57"/>
      <c r="J225" s="57"/>
      <c r="K225" s="43"/>
      <c r="L225" s="44"/>
      <c r="M225" s="43">
        <f t="shared" si="5"/>
        <v>0</v>
      </c>
      <c r="N225" s="43"/>
      <c r="O225" s="45"/>
      <c r="P225" s="42"/>
      <c r="Q225" s="43"/>
      <c r="R225" s="44"/>
      <c r="S225" s="43">
        <f t="shared" si="12"/>
        <v>0</v>
      </c>
      <c r="T225" s="43"/>
      <c r="U225" s="4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179</v>
      </c>
      <c r="C226" s="374"/>
      <c r="D226" s="374"/>
      <c r="E226" s="374" t="s">
        <v>27</v>
      </c>
      <c r="F226" s="22"/>
      <c r="G226" s="176" t="s">
        <v>24</v>
      </c>
      <c r="H226" s="61">
        <v>2</v>
      </c>
      <c r="I226" s="25"/>
      <c r="J226" s="25"/>
      <c r="K226" s="26"/>
      <c r="L226" s="27"/>
      <c r="M226" s="26">
        <f t="shared" si="5"/>
        <v>0</v>
      </c>
      <c r="N226" s="26"/>
      <c r="O226" s="28"/>
      <c r="P226" s="120"/>
      <c r="Q226" s="26"/>
      <c r="R226" s="27"/>
      <c r="S226" s="26">
        <f t="shared" si="12"/>
        <v>0</v>
      </c>
      <c r="T226" s="26"/>
      <c r="U226" s="28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105"/>
      <c r="G227" s="229" t="s">
        <v>28</v>
      </c>
      <c r="H227" s="298"/>
      <c r="I227" s="261"/>
      <c r="J227" s="261"/>
      <c r="K227" s="211"/>
      <c r="L227" s="210"/>
      <c r="M227" s="211">
        <f t="shared" si="5"/>
        <v>0</v>
      </c>
      <c r="N227" s="211"/>
      <c r="O227" s="212"/>
      <c r="P227" s="284"/>
      <c r="Q227" s="211"/>
      <c r="R227" s="210"/>
      <c r="S227" s="211">
        <f t="shared" si="12"/>
        <v>0</v>
      </c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378</v>
      </c>
      <c r="C228" s="374" t="s">
        <v>46</v>
      </c>
      <c r="D228" s="374" t="s">
        <v>422</v>
      </c>
      <c r="E228" s="374" t="s">
        <v>27</v>
      </c>
      <c r="F228" s="232" t="s">
        <v>423</v>
      </c>
      <c r="G228" s="213" t="s">
        <v>24</v>
      </c>
      <c r="H228" s="61">
        <v>5</v>
      </c>
      <c r="I228" s="62">
        <v>3</v>
      </c>
      <c r="J228" s="62">
        <v>4</v>
      </c>
      <c r="K228" s="30">
        <v>4555.37</v>
      </c>
      <c r="L228" s="27"/>
      <c r="M228" s="26">
        <f t="shared" si="5"/>
        <v>0</v>
      </c>
      <c r="N228" s="26"/>
      <c r="O228" s="28"/>
      <c r="P228" s="214"/>
      <c r="Q228" s="30"/>
      <c r="R228" s="205"/>
      <c r="S228" s="26">
        <f t="shared" si="12"/>
        <v>0</v>
      </c>
      <c r="T228" s="30"/>
      <c r="U228" s="2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/>
      <c r="G229" s="215" t="s">
        <v>28</v>
      </c>
      <c r="H229" s="117">
        <v>5</v>
      </c>
      <c r="I229" s="37">
        <v>1</v>
      </c>
      <c r="J229" s="37">
        <v>1</v>
      </c>
      <c r="K229" s="68">
        <v>1152.5999999999999</v>
      </c>
      <c r="L229" s="40"/>
      <c r="M229" s="39">
        <f t="shared" si="5"/>
        <v>0</v>
      </c>
      <c r="N229" s="39"/>
      <c r="O229" s="41"/>
      <c r="P229" s="217"/>
      <c r="Q229" s="68"/>
      <c r="R229" s="285"/>
      <c r="S229" s="39">
        <f t="shared" si="12"/>
        <v>0</v>
      </c>
      <c r="T229" s="68"/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6"/>
      <c r="B230" s="377" t="s">
        <v>180</v>
      </c>
      <c r="C230" s="377" t="s">
        <v>46</v>
      </c>
      <c r="D230" s="377" t="s">
        <v>181</v>
      </c>
      <c r="E230" s="377" t="s">
        <v>27</v>
      </c>
      <c r="F230" s="232" t="s">
        <v>228</v>
      </c>
      <c r="G230" s="95" t="s">
        <v>24</v>
      </c>
      <c r="H230" s="265">
        <v>9</v>
      </c>
      <c r="I230" s="266">
        <v>6</v>
      </c>
      <c r="J230" s="266">
        <v>7</v>
      </c>
      <c r="K230" s="79">
        <v>5186.71</v>
      </c>
      <c r="L230" s="80"/>
      <c r="M230" s="81">
        <f t="shared" si="5"/>
        <v>0</v>
      </c>
      <c r="N230" s="81"/>
      <c r="O230" s="219"/>
      <c r="P230" s="267">
        <v>13</v>
      </c>
      <c r="Q230" s="79">
        <v>42826.720000000001</v>
      </c>
      <c r="R230" s="268">
        <v>9</v>
      </c>
      <c r="S230" s="81">
        <f t="shared" si="12"/>
        <v>31034.59</v>
      </c>
      <c r="T230" s="79">
        <v>31034.59</v>
      </c>
      <c r="U230" s="269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9"/>
      <c r="B231" s="380"/>
      <c r="C231" s="380"/>
      <c r="D231" s="380"/>
      <c r="E231" s="380"/>
      <c r="F231" s="54"/>
      <c r="G231" s="55" t="s">
        <v>28</v>
      </c>
      <c r="H231" s="116"/>
      <c r="I231" s="57"/>
      <c r="J231" s="57"/>
      <c r="K231" s="43"/>
      <c r="L231" s="128"/>
      <c r="M231" s="50">
        <f t="shared" si="5"/>
        <v>0</v>
      </c>
      <c r="N231" s="43"/>
      <c r="O231" s="41"/>
      <c r="P231" s="113">
        <v>2</v>
      </c>
      <c r="Q231" s="114">
        <v>14503.6</v>
      </c>
      <c r="R231" s="44"/>
      <c r="S231" s="43">
        <f t="shared" si="12"/>
        <v>2209.1999999999998</v>
      </c>
      <c r="T231" s="114">
        <v>2209.1999999999998</v>
      </c>
      <c r="U231" s="4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6.5" customHeight="1">
      <c r="A232" s="372"/>
      <c r="B232" s="374" t="s">
        <v>182</v>
      </c>
      <c r="C232" s="374" t="s">
        <v>46</v>
      </c>
      <c r="D232" s="374" t="s">
        <v>181</v>
      </c>
      <c r="E232" s="374" t="s">
        <v>27</v>
      </c>
      <c r="F232" s="204" t="s">
        <v>379</v>
      </c>
      <c r="G232" s="23" t="s">
        <v>24</v>
      </c>
      <c r="H232" s="48">
        <v>16</v>
      </c>
      <c r="I232" s="62">
        <v>13</v>
      </c>
      <c r="J232" s="62">
        <v>15</v>
      </c>
      <c r="K232" s="30">
        <v>19551.57</v>
      </c>
      <c r="L232" s="27"/>
      <c r="M232" s="26">
        <f t="shared" si="5"/>
        <v>0</v>
      </c>
      <c r="N232" s="26"/>
      <c r="O232" s="31"/>
      <c r="P232" s="53">
        <v>9</v>
      </c>
      <c r="Q232" s="30">
        <v>61174.91</v>
      </c>
      <c r="R232" s="205">
        <v>2</v>
      </c>
      <c r="S232" s="26">
        <f t="shared" si="12"/>
        <v>10615.44</v>
      </c>
      <c r="T232" s="30">
        <v>10615.44</v>
      </c>
      <c r="U232" s="100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6.5" customHeight="1">
      <c r="A233" s="373"/>
      <c r="B233" s="375"/>
      <c r="C233" s="375"/>
      <c r="D233" s="375"/>
      <c r="E233" s="375"/>
      <c r="F233" s="34"/>
      <c r="G233" s="35" t="s">
        <v>28</v>
      </c>
      <c r="H233" s="116"/>
      <c r="I233" s="38"/>
      <c r="J233" s="38"/>
      <c r="K233" s="39"/>
      <c r="L233" s="40"/>
      <c r="M233" s="39">
        <f t="shared" si="5"/>
        <v>0</v>
      </c>
      <c r="N233" s="39"/>
      <c r="O233" s="41"/>
      <c r="P233" s="115">
        <v>1</v>
      </c>
      <c r="Q233" s="68">
        <v>3073.6</v>
      </c>
      <c r="R233" s="40"/>
      <c r="S233" s="39">
        <f t="shared" si="12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82"/>
      <c r="B234" s="381" t="s">
        <v>183</v>
      </c>
      <c r="C234" s="381" t="s">
        <v>22</v>
      </c>
      <c r="D234" s="381"/>
      <c r="E234" s="381" t="s">
        <v>99</v>
      </c>
      <c r="F234" s="223" t="s">
        <v>380</v>
      </c>
      <c r="G234" s="23" t="s">
        <v>24</v>
      </c>
      <c r="H234" s="48">
        <v>3</v>
      </c>
      <c r="I234" s="49"/>
      <c r="J234" s="49"/>
      <c r="K234" s="50"/>
      <c r="L234" s="51"/>
      <c r="M234" s="50">
        <f t="shared" si="5"/>
        <v>0</v>
      </c>
      <c r="N234" s="50"/>
      <c r="O234" s="31"/>
      <c r="P234" s="108">
        <v>10</v>
      </c>
      <c r="Q234" s="65">
        <v>15519.54</v>
      </c>
      <c r="R234" s="224">
        <v>1</v>
      </c>
      <c r="S234" s="50">
        <f t="shared" si="12"/>
        <v>8094.01</v>
      </c>
      <c r="T234" s="65">
        <v>1319.81</v>
      </c>
      <c r="U234" s="225">
        <v>6774.2</v>
      </c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9"/>
      <c r="B235" s="380"/>
      <c r="C235" s="380"/>
      <c r="D235" s="380"/>
      <c r="E235" s="380"/>
      <c r="F235" s="233" t="s">
        <v>252</v>
      </c>
      <c r="G235" s="227" t="s">
        <v>28</v>
      </c>
      <c r="H235" s="292">
        <v>5</v>
      </c>
      <c r="I235" s="261"/>
      <c r="J235" s="261"/>
      <c r="K235" s="211"/>
      <c r="L235" s="210"/>
      <c r="M235" s="211">
        <f t="shared" si="5"/>
        <v>0</v>
      </c>
      <c r="N235" s="211"/>
      <c r="O235" s="212"/>
      <c r="P235" s="262">
        <v>1</v>
      </c>
      <c r="Q235" s="209">
        <v>4034.1</v>
      </c>
      <c r="R235" s="210"/>
      <c r="S235" s="211">
        <f t="shared" si="12"/>
        <v>4034.1</v>
      </c>
      <c r="T235" s="211">
        <f>4034.1</f>
        <v>4034.1</v>
      </c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425</v>
      </c>
      <c r="C236" s="374" t="s">
        <v>22</v>
      </c>
      <c r="D236" s="374"/>
      <c r="E236" s="374" t="s">
        <v>131</v>
      </c>
      <c r="F236" s="204" t="s">
        <v>426</v>
      </c>
      <c r="G236" s="176" t="s">
        <v>24</v>
      </c>
      <c r="H236" s="61">
        <v>1</v>
      </c>
      <c r="I236" s="25"/>
      <c r="J236" s="25"/>
      <c r="K236" s="26"/>
      <c r="L236" s="27"/>
      <c r="M236" s="26">
        <f t="shared" si="5"/>
        <v>0</v>
      </c>
      <c r="N236" s="26"/>
      <c r="O236" s="28"/>
      <c r="P236" s="275"/>
      <c r="Q236" s="26"/>
      <c r="R236" s="27"/>
      <c r="S236" s="26">
        <f t="shared" si="12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229" t="s">
        <v>25</v>
      </c>
      <c r="H237" s="106"/>
      <c r="I237" s="38"/>
      <c r="J237" s="38"/>
      <c r="K237" s="39"/>
      <c r="L237" s="40"/>
      <c r="M237" s="39">
        <f t="shared" si="5"/>
        <v>0</v>
      </c>
      <c r="N237" s="39"/>
      <c r="O237" s="41"/>
      <c r="P237" s="276"/>
      <c r="Q237" s="39"/>
      <c r="R237" s="40"/>
      <c r="S237" s="39">
        <f t="shared" si="12"/>
        <v>0</v>
      </c>
      <c r="T237" s="39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6"/>
      <c r="B238" s="377" t="s">
        <v>184</v>
      </c>
      <c r="C238" s="377" t="s">
        <v>22</v>
      </c>
      <c r="D238" s="377"/>
      <c r="E238" s="377" t="s">
        <v>27</v>
      </c>
      <c r="F238" s="76"/>
      <c r="G238" s="95" t="s">
        <v>24</v>
      </c>
      <c r="H238" s="74"/>
      <c r="I238" s="96"/>
      <c r="J238" s="96"/>
      <c r="K238" s="81"/>
      <c r="L238" s="80"/>
      <c r="M238" s="81">
        <f t="shared" si="5"/>
        <v>0</v>
      </c>
      <c r="N238" s="81"/>
      <c r="O238" s="219"/>
      <c r="P238" s="277"/>
      <c r="Q238" s="81"/>
      <c r="R238" s="80"/>
      <c r="S238" s="81">
        <f t="shared" si="12"/>
        <v>0</v>
      </c>
      <c r="T238" s="81"/>
      <c r="U238" s="21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253</v>
      </c>
      <c r="G239" s="227" t="s">
        <v>28</v>
      </c>
      <c r="H239" s="153">
        <v>4</v>
      </c>
      <c r="I239" s="130">
        <v>1</v>
      </c>
      <c r="J239" s="130">
        <v>1</v>
      </c>
      <c r="K239" s="114">
        <v>1921</v>
      </c>
      <c r="L239" s="44"/>
      <c r="M239" s="43">
        <f t="shared" si="5"/>
        <v>0</v>
      </c>
      <c r="N239" s="43"/>
      <c r="O239" s="41"/>
      <c r="P239" s="113">
        <v>4</v>
      </c>
      <c r="Q239" s="114">
        <v>7107.7</v>
      </c>
      <c r="R239" s="44"/>
      <c r="S239" s="43">
        <f t="shared" si="12"/>
        <v>2958.34</v>
      </c>
      <c r="T239" s="114">
        <v>2958.34</v>
      </c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185</v>
      </c>
      <c r="C240" s="374" t="s">
        <v>22</v>
      </c>
      <c r="D240" s="374"/>
      <c r="E240" s="374" t="s">
        <v>27</v>
      </c>
      <c r="F240" s="204" t="s">
        <v>341</v>
      </c>
      <c r="G240" s="176" t="s">
        <v>24</v>
      </c>
      <c r="H240" s="98"/>
      <c r="I240" s="25"/>
      <c r="J240" s="25"/>
      <c r="K240" s="26"/>
      <c r="L240" s="27"/>
      <c r="M240" s="26">
        <f t="shared" si="5"/>
        <v>0</v>
      </c>
      <c r="N240" s="26"/>
      <c r="O240" s="31"/>
      <c r="P240" s="53">
        <v>2</v>
      </c>
      <c r="Q240" s="30">
        <v>2633.4</v>
      </c>
      <c r="R240" s="205">
        <v>2</v>
      </c>
      <c r="S240" s="26">
        <f t="shared" si="12"/>
        <v>2633.4</v>
      </c>
      <c r="T240" s="30">
        <v>2633.4</v>
      </c>
      <c r="U240" s="225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3"/>
      <c r="B241" s="375"/>
      <c r="C241" s="375"/>
      <c r="D241" s="375"/>
      <c r="E241" s="375"/>
      <c r="F241" s="220" t="s">
        <v>342</v>
      </c>
      <c r="G241" s="229" t="s">
        <v>28</v>
      </c>
      <c r="H241" s="133">
        <v>2</v>
      </c>
      <c r="I241" s="57"/>
      <c r="J241" s="57"/>
      <c r="K241" s="43"/>
      <c r="L241" s="44"/>
      <c r="M241" s="43">
        <f t="shared" si="5"/>
        <v>0</v>
      </c>
      <c r="N241" s="43"/>
      <c r="O241" s="41"/>
      <c r="P241" s="113">
        <v>1</v>
      </c>
      <c r="Q241" s="114">
        <v>2994.47</v>
      </c>
      <c r="R241" s="44"/>
      <c r="S241" s="43">
        <f t="shared" si="12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186</v>
      </c>
      <c r="C242" s="374" t="s">
        <v>22</v>
      </c>
      <c r="D242" s="374"/>
      <c r="E242" s="374" t="s">
        <v>99</v>
      </c>
      <c r="F242" s="232" t="s">
        <v>315</v>
      </c>
      <c r="G242" s="23" t="s">
        <v>24</v>
      </c>
      <c r="H242" s="48">
        <v>5</v>
      </c>
      <c r="I242" s="62">
        <v>4</v>
      </c>
      <c r="J242" s="62">
        <v>4</v>
      </c>
      <c r="K242" s="30">
        <v>7196.58</v>
      </c>
      <c r="L242" s="27"/>
      <c r="M242" s="26">
        <f t="shared" si="5"/>
        <v>0</v>
      </c>
      <c r="N242" s="26"/>
      <c r="O242" s="31"/>
      <c r="P242" s="53">
        <v>12</v>
      </c>
      <c r="Q242" s="30">
        <v>25258.31</v>
      </c>
      <c r="R242" s="205">
        <v>3</v>
      </c>
      <c r="S242" s="26">
        <f t="shared" si="12"/>
        <v>18348.190000000002</v>
      </c>
      <c r="T242" s="30">
        <v>6447.76</v>
      </c>
      <c r="U242" s="225">
        <v>11900.43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254</v>
      </c>
      <c r="G243" s="35" t="s">
        <v>28</v>
      </c>
      <c r="H243" s="153">
        <v>6</v>
      </c>
      <c r="I243" s="38"/>
      <c r="J243" s="38"/>
      <c r="K243" s="39"/>
      <c r="L243" s="40"/>
      <c r="M243" s="39">
        <f t="shared" si="5"/>
        <v>0</v>
      </c>
      <c r="N243" s="39"/>
      <c r="O243" s="41"/>
      <c r="P243" s="59"/>
      <c r="Q243" s="39"/>
      <c r="R243" s="40"/>
      <c r="S243" s="39">
        <f t="shared" si="12"/>
        <v>0</v>
      </c>
      <c r="T243" s="39"/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82"/>
      <c r="B244" s="381" t="s">
        <v>187</v>
      </c>
      <c r="C244" s="381" t="s">
        <v>22</v>
      </c>
      <c r="D244" s="381"/>
      <c r="E244" s="381" t="s">
        <v>131</v>
      </c>
      <c r="F244" s="223" t="s">
        <v>343</v>
      </c>
      <c r="G244" s="23" t="s">
        <v>24</v>
      </c>
      <c r="H244" s="48">
        <v>12</v>
      </c>
      <c r="I244" s="203">
        <v>8</v>
      </c>
      <c r="J244" s="203">
        <v>10</v>
      </c>
      <c r="K244" s="65">
        <v>11647.22</v>
      </c>
      <c r="L244" s="224">
        <v>2</v>
      </c>
      <c r="M244" s="50">
        <f t="shared" si="5"/>
        <v>7297.6</v>
      </c>
      <c r="N244" s="65">
        <v>2218.7600000000002</v>
      </c>
      <c r="O244" s="225">
        <v>5078.84</v>
      </c>
      <c r="P244" s="108">
        <v>17</v>
      </c>
      <c r="Q244" s="65">
        <v>44479.839999999997</v>
      </c>
      <c r="R244" s="224">
        <v>11</v>
      </c>
      <c r="S244" s="50">
        <f t="shared" si="12"/>
        <v>32281.95</v>
      </c>
      <c r="T244" s="65">
        <v>25044.9</v>
      </c>
      <c r="U244" s="225">
        <v>7237.05</v>
      </c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9"/>
      <c r="B245" s="380"/>
      <c r="C245" s="380"/>
      <c r="D245" s="380"/>
      <c r="E245" s="380"/>
      <c r="F245" s="247"/>
      <c r="G245" s="227" t="s">
        <v>25</v>
      </c>
      <c r="H245" s="111"/>
      <c r="I245" s="57"/>
      <c r="J245" s="57"/>
      <c r="K245" s="43"/>
      <c r="L245" s="44"/>
      <c r="M245" s="43">
        <f t="shared" si="5"/>
        <v>0</v>
      </c>
      <c r="N245" s="43"/>
      <c r="O245" s="41"/>
      <c r="P245" s="113">
        <v>2</v>
      </c>
      <c r="Q245" s="114">
        <v>15252.74</v>
      </c>
      <c r="R245" s="270">
        <v>2</v>
      </c>
      <c r="S245" s="114">
        <v>15252.74</v>
      </c>
      <c r="T245" s="114">
        <v>15252.74</v>
      </c>
      <c r="U245" s="23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429</v>
      </c>
      <c r="C246" s="374" t="s">
        <v>22</v>
      </c>
      <c r="D246" s="374"/>
      <c r="E246" s="374" t="s">
        <v>27</v>
      </c>
      <c r="F246" s="22"/>
      <c r="G246" s="176" t="s">
        <v>24</v>
      </c>
      <c r="H246" s="151"/>
      <c r="I246" s="25"/>
      <c r="J246" s="25"/>
      <c r="K246" s="26"/>
      <c r="L246" s="27"/>
      <c r="M246" s="26">
        <f t="shared" si="5"/>
        <v>0</v>
      </c>
      <c r="N246" s="26"/>
      <c r="O246" s="31"/>
      <c r="P246" s="53">
        <v>1</v>
      </c>
      <c r="Q246" s="30">
        <v>36784.050000000003</v>
      </c>
      <c r="R246" s="27"/>
      <c r="S246" s="26">
        <f t="shared" ref="S246:S272" si="13">T246+U246</f>
        <v>0</v>
      </c>
      <c r="T246" s="26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/>
      <c r="G247" s="229" t="s">
        <v>28</v>
      </c>
      <c r="H247" s="56"/>
      <c r="I247" s="57"/>
      <c r="J247" s="57"/>
      <c r="K247" s="43"/>
      <c r="L247" s="44"/>
      <c r="M247" s="43">
        <f t="shared" si="5"/>
        <v>0</v>
      </c>
      <c r="N247" s="43"/>
      <c r="O247" s="45"/>
      <c r="P247" s="113"/>
      <c r="Q247" s="114"/>
      <c r="R247" s="44"/>
      <c r="S247" s="43">
        <f t="shared" si="13"/>
        <v>0</v>
      </c>
      <c r="T247" s="114"/>
      <c r="U247" s="22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188</v>
      </c>
      <c r="C248" s="374" t="s">
        <v>39</v>
      </c>
      <c r="D248" s="374"/>
      <c r="E248" s="374" t="s">
        <v>27</v>
      </c>
      <c r="F248" s="22"/>
      <c r="G248" s="176" t="s">
        <v>24</v>
      </c>
      <c r="H248" s="151">
        <v>1</v>
      </c>
      <c r="I248" s="25"/>
      <c r="J248" s="25"/>
      <c r="K248" s="26"/>
      <c r="L248" s="27"/>
      <c r="M248" s="26">
        <f t="shared" si="5"/>
        <v>0</v>
      </c>
      <c r="N248" s="26"/>
      <c r="O248" s="31"/>
      <c r="P248" s="53">
        <v>1</v>
      </c>
      <c r="Q248" s="30">
        <v>2000</v>
      </c>
      <c r="R248" s="27"/>
      <c r="S248" s="26">
        <f t="shared" si="13"/>
        <v>0</v>
      </c>
      <c r="T248" s="26"/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20.25" customHeight="1">
      <c r="A249" s="373"/>
      <c r="B249" s="375"/>
      <c r="C249" s="375"/>
      <c r="D249" s="375"/>
      <c r="E249" s="375"/>
      <c r="F249" s="220" t="s">
        <v>344</v>
      </c>
      <c r="G249" s="229" t="s">
        <v>28</v>
      </c>
      <c r="H249" s="56">
        <v>3</v>
      </c>
      <c r="I249" s="130">
        <v>1</v>
      </c>
      <c r="J249" s="130">
        <v>1</v>
      </c>
      <c r="K249" s="114">
        <v>1052.5999999999999</v>
      </c>
      <c r="L249" s="44"/>
      <c r="M249" s="43">
        <f t="shared" si="5"/>
        <v>0</v>
      </c>
      <c r="N249" s="43"/>
      <c r="O249" s="222">
        <v>0</v>
      </c>
      <c r="P249" s="113">
        <v>13</v>
      </c>
      <c r="Q249" s="114">
        <v>15160.1</v>
      </c>
      <c r="R249" s="44"/>
      <c r="S249" s="43">
        <f t="shared" si="13"/>
        <v>4050.2</v>
      </c>
      <c r="T249" s="114">
        <v>4050.2</v>
      </c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189</v>
      </c>
      <c r="C250" s="374" t="s">
        <v>39</v>
      </c>
      <c r="D250" s="374" t="s">
        <v>427</v>
      </c>
      <c r="E250" s="374" t="s">
        <v>27</v>
      </c>
      <c r="F250" s="232" t="s">
        <v>428</v>
      </c>
      <c r="G250" s="23" t="s">
        <v>24</v>
      </c>
      <c r="H250" s="24">
        <v>12</v>
      </c>
      <c r="I250" s="62">
        <v>6</v>
      </c>
      <c r="J250" s="62">
        <v>8</v>
      </c>
      <c r="K250" s="30">
        <v>12276.73</v>
      </c>
      <c r="L250" s="205">
        <v>2</v>
      </c>
      <c r="M250" s="26">
        <f t="shared" si="5"/>
        <v>6835.8799999999992</v>
      </c>
      <c r="N250" s="30">
        <v>3404.99</v>
      </c>
      <c r="O250" s="241">
        <v>3430.89</v>
      </c>
      <c r="P250" s="29">
        <v>2</v>
      </c>
      <c r="Q250" s="30">
        <v>1870.81</v>
      </c>
      <c r="R250" s="205">
        <v>2</v>
      </c>
      <c r="S250" s="26">
        <f t="shared" si="13"/>
        <v>1870.81</v>
      </c>
      <c r="T250" s="30">
        <v>1870.81</v>
      </c>
      <c r="U250" s="2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256</v>
      </c>
      <c r="G251" s="35" t="s">
        <v>28</v>
      </c>
      <c r="H251" s="66">
        <v>3</v>
      </c>
      <c r="I251" s="38"/>
      <c r="J251" s="38"/>
      <c r="K251" s="39"/>
      <c r="L251" s="40"/>
      <c r="M251" s="39">
        <f t="shared" si="5"/>
        <v>0</v>
      </c>
      <c r="N251" s="39"/>
      <c r="O251" s="41"/>
      <c r="P251" s="69"/>
      <c r="Q251" s="39"/>
      <c r="R251" s="40"/>
      <c r="S251" s="39">
        <f t="shared" si="13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190</v>
      </c>
      <c r="C252" s="381" t="s">
        <v>39</v>
      </c>
      <c r="D252" s="381" t="s">
        <v>191</v>
      </c>
      <c r="E252" s="381" t="s">
        <v>27</v>
      </c>
      <c r="F252" s="46"/>
      <c r="G252" s="47" t="s">
        <v>24</v>
      </c>
      <c r="H252" s="98"/>
      <c r="I252" s="49"/>
      <c r="J252" s="49"/>
      <c r="K252" s="50"/>
      <c r="L252" s="51"/>
      <c r="M252" s="50">
        <f t="shared" si="5"/>
        <v>0</v>
      </c>
      <c r="N252" s="50"/>
      <c r="O252" s="31"/>
      <c r="P252" s="123"/>
      <c r="Q252" s="50"/>
      <c r="R252" s="51"/>
      <c r="S252" s="50">
        <f t="shared" si="13"/>
        <v>0</v>
      </c>
      <c r="T252" s="50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345</v>
      </c>
      <c r="G253" s="35" t="s">
        <v>28</v>
      </c>
      <c r="H253" s="112">
        <v>2</v>
      </c>
      <c r="I253" s="57"/>
      <c r="J253" s="57"/>
      <c r="K253" s="43"/>
      <c r="L253" s="44"/>
      <c r="M253" s="43">
        <f t="shared" si="5"/>
        <v>0</v>
      </c>
      <c r="N253" s="43"/>
      <c r="O253" s="45"/>
      <c r="P253" s="115">
        <v>4</v>
      </c>
      <c r="Q253" s="68">
        <v>5106.7</v>
      </c>
      <c r="R253" s="40"/>
      <c r="S253" s="39">
        <f t="shared" si="13"/>
        <v>6739.58</v>
      </c>
      <c r="T253" s="68">
        <f>3818+2921.58</f>
        <v>6739.58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192</v>
      </c>
      <c r="C254" s="374" t="s">
        <v>22</v>
      </c>
      <c r="D254" s="374"/>
      <c r="E254" s="374" t="s">
        <v>193</v>
      </c>
      <c r="F254" s="204" t="s">
        <v>318</v>
      </c>
      <c r="G254" s="176" t="s">
        <v>24</v>
      </c>
      <c r="H254" s="61">
        <v>8</v>
      </c>
      <c r="I254" s="62">
        <v>5</v>
      </c>
      <c r="J254" s="62">
        <v>5</v>
      </c>
      <c r="K254" s="30">
        <v>5727.17</v>
      </c>
      <c r="L254" s="27"/>
      <c r="M254" s="26">
        <f t="shared" si="5"/>
        <v>0</v>
      </c>
      <c r="N254" s="26"/>
      <c r="O254" s="100"/>
      <c r="P254" s="64">
        <v>19</v>
      </c>
      <c r="Q254" s="65">
        <v>50291.24</v>
      </c>
      <c r="R254" s="224">
        <v>14</v>
      </c>
      <c r="S254" s="50">
        <f t="shared" si="13"/>
        <v>32753.78</v>
      </c>
      <c r="T254" s="65">
        <v>32753.78</v>
      </c>
      <c r="U254" s="225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346</v>
      </c>
      <c r="G255" s="229" t="s">
        <v>28</v>
      </c>
      <c r="H255" s="133">
        <v>1</v>
      </c>
      <c r="I255" s="37">
        <v>1</v>
      </c>
      <c r="J255" s="37">
        <v>1</v>
      </c>
      <c r="K255" s="68">
        <v>1728.9</v>
      </c>
      <c r="L255" s="285">
        <v>1</v>
      </c>
      <c r="M255" s="39">
        <f t="shared" si="5"/>
        <v>1728.9</v>
      </c>
      <c r="N255" s="39">
        <f>1728.9</f>
        <v>1728.9</v>
      </c>
      <c r="O255" s="41"/>
      <c r="P255" s="42"/>
      <c r="Q255" s="43"/>
      <c r="R255" s="44"/>
      <c r="S255" s="43">
        <f t="shared" si="13"/>
        <v>0</v>
      </c>
      <c r="T255" s="43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194</v>
      </c>
      <c r="C256" s="377" t="s">
        <v>39</v>
      </c>
      <c r="D256" s="377" t="s">
        <v>319</v>
      </c>
      <c r="E256" s="374" t="s">
        <v>160</v>
      </c>
      <c r="F256" s="232" t="s">
        <v>320</v>
      </c>
      <c r="G256" s="23" t="s">
        <v>24</v>
      </c>
      <c r="H256" s="48">
        <v>5</v>
      </c>
      <c r="I256" s="203">
        <v>4</v>
      </c>
      <c r="J256" s="203">
        <v>4</v>
      </c>
      <c r="K256" s="65">
        <v>2968.33</v>
      </c>
      <c r="L256" s="316">
        <v>1</v>
      </c>
      <c r="M256" s="129">
        <f t="shared" si="5"/>
        <v>288.14999999999998</v>
      </c>
      <c r="N256" s="65">
        <v>288.14999999999998</v>
      </c>
      <c r="O256" s="225"/>
      <c r="P256" s="29">
        <v>3</v>
      </c>
      <c r="Q256" s="30">
        <v>6107.21</v>
      </c>
      <c r="R256" s="205">
        <v>3</v>
      </c>
      <c r="S256" s="26">
        <f t="shared" si="13"/>
        <v>6107.21</v>
      </c>
      <c r="T256" s="30">
        <v>6107.21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347</v>
      </c>
      <c r="G257" s="35" t="s">
        <v>28</v>
      </c>
      <c r="H257" s="117">
        <v>1</v>
      </c>
      <c r="I257" s="37"/>
      <c r="J257" s="37"/>
      <c r="K257" s="39"/>
      <c r="L257" s="44"/>
      <c r="M257" s="43">
        <f t="shared" si="5"/>
        <v>0</v>
      </c>
      <c r="N257" s="39"/>
      <c r="O257" s="41"/>
      <c r="P257" s="37">
        <v>5</v>
      </c>
      <c r="Q257" s="37">
        <v>12038.63</v>
      </c>
      <c r="R257" s="40"/>
      <c r="S257" s="39">
        <f t="shared" si="13"/>
        <v>4621.6400000000003</v>
      </c>
      <c r="T257" s="68">
        <f>576.3+4045.34</f>
        <v>4621.6400000000003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82"/>
      <c r="B258" s="381" t="s">
        <v>195</v>
      </c>
      <c r="C258" s="377" t="s">
        <v>39</v>
      </c>
      <c r="D258" s="377" t="s">
        <v>231</v>
      </c>
      <c r="E258" s="381" t="s">
        <v>27</v>
      </c>
      <c r="F258" s="204" t="s">
        <v>232</v>
      </c>
      <c r="G258" s="47" t="s">
        <v>24</v>
      </c>
      <c r="H258" s="61">
        <v>1</v>
      </c>
      <c r="I258" s="25"/>
      <c r="J258" s="25"/>
      <c r="K258" s="26"/>
      <c r="L258" s="27"/>
      <c r="M258" s="26">
        <f t="shared" si="5"/>
        <v>0</v>
      </c>
      <c r="N258" s="26"/>
      <c r="O258" s="31"/>
      <c r="P258" s="64">
        <v>7</v>
      </c>
      <c r="Q258" s="65">
        <v>46859.35</v>
      </c>
      <c r="R258" s="224">
        <v>4</v>
      </c>
      <c r="S258" s="50">
        <f t="shared" si="13"/>
        <v>46859.35</v>
      </c>
      <c r="T258" s="65">
        <v>38298.17</v>
      </c>
      <c r="U258" s="225">
        <v>8561.18</v>
      </c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1" t="s">
        <v>260</v>
      </c>
      <c r="G259" s="55" t="s">
        <v>28</v>
      </c>
      <c r="H259" s="178">
        <v>5</v>
      </c>
      <c r="I259" s="130">
        <v>1</v>
      </c>
      <c r="J259" s="130">
        <v>1</v>
      </c>
      <c r="K259" s="114">
        <v>1152.5999999999999</v>
      </c>
      <c r="L259" s="44"/>
      <c r="M259" s="43">
        <f t="shared" si="5"/>
        <v>1152.5999999999999</v>
      </c>
      <c r="N259" s="43">
        <f>1152.6</f>
        <v>1152.5999999999999</v>
      </c>
      <c r="O259" s="222"/>
      <c r="P259" s="130">
        <v>5</v>
      </c>
      <c r="Q259" s="130">
        <v>17217.55</v>
      </c>
      <c r="R259" s="270">
        <v>6</v>
      </c>
      <c r="S259" s="43">
        <f t="shared" si="13"/>
        <v>18249.5</v>
      </c>
      <c r="T259" s="114">
        <f>4994.6+12678.6+576.3</f>
        <v>18249.5</v>
      </c>
      <c r="U259" s="222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196</v>
      </c>
      <c r="C260" s="381" t="s">
        <v>22</v>
      </c>
      <c r="D260" s="374"/>
      <c r="E260" s="381" t="s">
        <v>27</v>
      </c>
      <c r="F260" s="22"/>
      <c r="G260" s="23" t="s">
        <v>24</v>
      </c>
      <c r="H260" s="119"/>
      <c r="I260" s="25"/>
      <c r="J260" s="25"/>
      <c r="K260" s="26"/>
      <c r="L260" s="27"/>
      <c r="M260" s="26">
        <f t="shared" si="5"/>
        <v>0</v>
      </c>
      <c r="N260" s="26"/>
      <c r="O260" s="28"/>
      <c r="P260" s="120"/>
      <c r="Q260" s="26"/>
      <c r="R260" s="27"/>
      <c r="S260" s="26">
        <f t="shared" si="13"/>
        <v>0</v>
      </c>
      <c r="T260" s="26"/>
      <c r="U260" s="28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348</v>
      </c>
      <c r="G261" s="35" t="s">
        <v>28</v>
      </c>
      <c r="H261" s="66">
        <v>4</v>
      </c>
      <c r="I261" s="38"/>
      <c r="J261" s="38"/>
      <c r="K261" s="39"/>
      <c r="L261" s="40"/>
      <c r="M261" s="39">
        <f t="shared" si="5"/>
        <v>0</v>
      </c>
      <c r="N261" s="39"/>
      <c r="O261" s="41"/>
      <c r="P261" s="67">
        <v>4</v>
      </c>
      <c r="Q261" s="68">
        <v>11282.42</v>
      </c>
      <c r="R261" s="40"/>
      <c r="S261" s="39">
        <f t="shared" si="13"/>
        <v>0</v>
      </c>
      <c r="T261" s="39"/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197</v>
      </c>
      <c r="C262" s="381" t="s">
        <v>39</v>
      </c>
      <c r="D262" s="381" t="s">
        <v>381</v>
      </c>
      <c r="E262" s="381" t="s">
        <v>27</v>
      </c>
      <c r="F262" s="204" t="s">
        <v>382</v>
      </c>
      <c r="G262" s="47" t="s">
        <v>24</v>
      </c>
      <c r="H262" s="98"/>
      <c r="I262" s="49"/>
      <c r="J262" s="49"/>
      <c r="K262" s="50"/>
      <c r="L262" s="51"/>
      <c r="M262" s="50">
        <f t="shared" si="5"/>
        <v>0</v>
      </c>
      <c r="N262" s="50"/>
      <c r="O262" s="31"/>
      <c r="P262" s="108">
        <v>1</v>
      </c>
      <c r="Q262" s="65">
        <v>748.24</v>
      </c>
      <c r="R262" s="224">
        <v>1</v>
      </c>
      <c r="S262" s="50">
        <f t="shared" si="13"/>
        <v>748.24</v>
      </c>
      <c r="T262" s="65">
        <v>748.24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9"/>
      <c r="B263" s="380"/>
      <c r="C263" s="380"/>
      <c r="D263" s="380"/>
      <c r="E263" s="380"/>
      <c r="F263" s="221" t="s">
        <v>349</v>
      </c>
      <c r="G263" s="55" t="s">
        <v>28</v>
      </c>
      <c r="H263" s="153">
        <v>3</v>
      </c>
      <c r="I263" s="130">
        <v>2</v>
      </c>
      <c r="J263" s="130">
        <v>2</v>
      </c>
      <c r="K263" s="114">
        <v>3265.7</v>
      </c>
      <c r="L263" s="270">
        <v>1</v>
      </c>
      <c r="M263" s="43">
        <f t="shared" si="5"/>
        <v>1056.55</v>
      </c>
      <c r="N263" s="43">
        <f>1056.55</f>
        <v>1056.55</v>
      </c>
      <c r="O263" s="41"/>
      <c r="P263" s="103"/>
      <c r="Q263" s="43"/>
      <c r="R263" s="44"/>
      <c r="S263" s="43">
        <f t="shared" si="13"/>
        <v>3765.16</v>
      </c>
      <c r="T263" s="114">
        <f>1440.75+2324.41</f>
        <v>3765.16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198</v>
      </c>
      <c r="C264" s="374" t="s">
        <v>22</v>
      </c>
      <c r="D264" s="374"/>
      <c r="E264" s="374" t="s">
        <v>112</v>
      </c>
      <c r="F264" s="204" t="s">
        <v>383</v>
      </c>
      <c r="G264" s="23" t="s">
        <v>24</v>
      </c>
      <c r="H264" s="48">
        <v>5</v>
      </c>
      <c r="I264" s="62">
        <v>5</v>
      </c>
      <c r="J264" s="62">
        <v>5</v>
      </c>
      <c r="K264" s="30">
        <v>5867.69</v>
      </c>
      <c r="L264" s="27"/>
      <c r="M264" s="26">
        <f t="shared" si="5"/>
        <v>0</v>
      </c>
      <c r="N264" s="26"/>
      <c r="O264" s="31"/>
      <c r="P264" s="53">
        <v>12</v>
      </c>
      <c r="Q264" s="30">
        <v>46848.4</v>
      </c>
      <c r="R264" s="205">
        <v>3</v>
      </c>
      <c r="S264" s="26">
        <f t="shared" si="13"/>
        <v>25614.959999999999</v>
      </c>
      <c r="T264" s="30">
        <v>10703.11</v>
      </c>
      <c r="U264" s="225">
        <v>14911.85</v>
      </c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350</v>
      </c>
      <c r="G265" s="35" t="s">
        <v>28</v>
      </c>
      <c r="H265" s="153">
        <v>1</v>
      </c>
      <c r="I265" s="38"/>
      <c r="J265" s="38"/>
      <c r="K265" s="39"/>
      <c r="L265" s="40"/>
      <c r="M265" s="39">
        <f t="shared" si="5"/>
        <v>0</v>
      </c>
      <c r="N265" s="39"/>
      <c r="O265" s="41"/>
      <c r="P265" s="59"/>
      <c r="Q265" s="39"/>
      <c r="R265" s="40"/>
      <c r="S265" s="39">
        <f t="shared" si="13"/>
        <v>0</v>
      </c>
      <c r="T265" s="39"/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199</v>
      </c>
      <c r="C266" s="381" t="s">
        <v>22</v>
      </c>
      <c r="D266" s="381"/>
      <c r="E266" s="381" t="s">
        <v>131</v>
      </c>
      <c r="F266" s="46"/>
      <c r="G266" s="23" t="s">
        <v>24</v>
      </c>
      <c r="H266" s="98"/>
      <c r="I266" s="49"/>
      <c r="J266" s="49"/>
      <c r="K266" s="50"/>
      <c r="L266" s="51"/>
      <c r="M266" s="50">
        <f t="shared" si="5"/>
        <v>0</v>
      </c>
      <c r="N266" s="50"/>
      <c r="O266" s="31"/>
      <c r="P266" s="123"/>
      <c r="Q266" s="50"/>
      <c r="R266" s="51"/>
      <c r="S266" s="50">
        <f t="shared" si="13"/>
        <v>0</v>
      </c>
      <c r="T266" s="50"/>
      <c r="U266" s="3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126"/>
      <c r="G267" s="55" t="s">
        <v>25</v>
      </c>
      <c r="H267" s="118"/>
      <c r="I267" s="57"/>
      <c r="J267" s="57"/>
      <c r="K267" s="43"/>
      <c r="L267" s="44"/>
      <c r="M267" s="43">
        <f t="shared" si="5"/>
        <v>0</v>
      </c>
      <c r="N267" s="43"/>
      <c r="O267" s="41"/>
      <c r="P267" s="103"/>
      <c r="Q267" s="43"/>
      <c r="R267" s="44"/>
      <c r="S267" s="43">
        <f t="shared" si="13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200</v>
      </c>
      <c r="C268" s="374" t="s">
        <v>22</v>
      </c>
      <c r="D268" s="374"/>
      <c r="E268" s="374" t="s">
        <v>27</v>
      </c>
      <c r="F268" s="204" t="s">
        <v>384</v>
      </c>
      <c r="G268" s="23" t="s">
        <v>24</v>
      </c>
      <c r="H268" s="61">
        <v>1</v>
      </c>
      <c r="I268" s="25"/>
      <c r="J268" s="25"/>
      <c r="K268" s="26"/>
      <c r="L268" s="27"/>
      <c r="M268" s="26">
        <f t="shared" si="5"/>
        <v>0</v>
      </c>
      <c r="N268" s="26"/>
      <c r="O268" s="31"/>
      <c r="P268" s="29">
        <v>5</v>
      </c>
      <c r="Q268" s="30">
        <v>20287.48</v>
      </c>
      <c r="R268" s="205">
        <v>1</v>
      </c>
      <c r="S268" s="26">
        <f t="shared" si="13"/>
        <v>12991.56</v>
      </c>
      <c r="T268" s="30">
        <v>1911.09</v>
      </c>
      <c r="U268" s="225">
        <v>11080.47</v>
      </c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33" t="s">
        <v>351</v>
      </c>
      <c r="G269" s="227" t="s">
        <v>28</v>
      </c>
      <c r="H269" s="207">
        <v>1</v>
      </c>
      <c r="I269" s="208">
        <v>1</v>
      </c>
      <c r="J269" s="208">
        <v>1</v>
      </c>
      <c r="K269" s="209">
        <v>1056.55</v>
      </c>
      <c r="L269" s="210"/>
      <c r="M269" s="211">
        <f t="shared" si="5"/>
        <v>0</v>
      </c>
      <c r="N269" s="211"/>
      <c r="O269" s="212"/>
      <c r="P269" s="284"/>
      <c r="Q269" s="211"/>
      <c r="R269" s="210"/>
      <c r="S269" s="211">
        <f t="shared" si="13"/>
        <v>1921</v>
      </c>
      <c r="T269" s="209">
        <v>1921</v>
      </c>
      <c r="U269" s="212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430</v>
      </c>
      <c r="C270" s="374" t="s">
        <v>39</v>
      </c>
      <c r="D270" s="374" t="s">
        <v>439</v>
      </c>
      <c r="E270" s="374" t="s">
        <v>27</v>
      </c>
      <c r="F270" s="204" t="s">
        <v>440</v>
      </c>
      <c r="G270" s="213" t="s">
        <v>24</v>
      </c>
      <c r="H270" s="61"/>
      <c r="I270" s="62"/>
      <c r="J270" s="62"/>
      <c r="K270" s="30"/>
      <c r="L270" s="27"/>
      <c r="M270" s="26">
        <f t="shared" si="5"/>
        <v>0</v>
      </c>
      <c r="N270" s="26"/>
      <c r="O270" s="241"/>
      <c r="P270" s="214"/>
      <c r="Q270" s="30"/>
      <c r="R270" s="205"/>
      <c r="S270" s="26">
        <f t="shared" si="13"/>
        <v>0</v>
      </c>
      <c r="T270" s="30"/>
      <c r="U270" s="28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0"/>
      <c r="G271" s="215" t="s">
        <v>28</v>
      </c>
      <c r="H271" s="117"/>
      <c r="I271" s="37"/>
      <c r="J271" s="37"/>
      <c r="K271" s="68"/>
      <c r="L271" s="40"/>
      <c r="M271" s="39">
        <f t="shared" si="5"/>
        <v>0</v>
      </c>
      <c r="N271" s="39"/>
      <c r="O271" s="234"/>
      <c r="P271" s="217"/>
      <c r="Q271" s="68"/>
      <c r="R271" s="285"/>
      <c r="S271" s="39">
        <f t="shared" si="13"/>
        <v>0</v>
      </c>
      <c r="T271" s="68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6"/>
      <c r="B272" s="377" t="s">
        <v>201</v>
      </c>
      <c r="C272" s="377" t="s">
        <v>39</v>
      </c>
      <c r="D272" s="377" t="s">
        <v>385</v>
      </c>
      <c r="E272" s="377" t="s">
        <v>386</v>
      </c>
      <c r="F272" s="232" t="s">
        <v>387</v>
      </c>
      <c r="G272" s="95" t="s">
        <v>24</v>
      </c>
      <c r="H272" s="265">
        <v>10</v>
      </c>
      <c r="I272" s="266">
        <v>9</v>
      </c>
      <c r="J272" s="266">
        <v>12</v>
      </c>
      <c r="K272" s="79">
        <v>15909.92</v>
      </c>
      <c r="L272" s="268">
        <v>4</v>
      </c>
      <c r="M272" s="81">
        <f t="shared" si="5"/>
        <v>8145.2199999999993</v>
      </c>
      <c r="N272" s="79">
        <v>4589.6499999999996</v>
      </c>
      <c r="O272" s="313">
        <v>3555.57</v>
      </c>
      <c r="P272" s="267">
        <v>2</v>
      </c>
      <c r="Q272" s="79">
        <v>4356.83</v>
      </c>
      <c r="R272" s="268">
        <v>2</v>
      </c>
      <c r="S272" s="81">
        <f t="shared" si="13"/>
        <v>4356.83</v>
      </c>
      <c r="T272" s="79">
        <v>4356.83</v>
      </c>
      <c r="U272" s="8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105"/>
      <c r="G273" s="35" t="s">
        <v>25</v>
      </c>
      <c r="H273" s="106"/>
      <c r="I273" s="38"/>
      <c r="J273" s="38"/>
      <c r="K273" s="39"/>
      <c r="L273" s="40"/>
      <c r="M273" s="39">
        <f t="shared" si="5"/>
        <v>0</v>
      </c>
      <c r="N273" s="39"/>
      <c r="O273" s="58"/>
      <c r="P273" s="115">
        <v>2</v>
      </c>
      <c r="Q273" s="68">
        <v>4418.3</v>
      </c>
      <c r="R273" s="285">
        <v>2</v>
      </c>
      <c r="S273" s="68">
        <v>4418.3</v>
      </c>
      <c r="T273" s="68">
        <v>4418.3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202</v>
      </c>
      <c r="C274" s="381" t="s">
        <v>39</v>
      </c>
      <c r="D274" s="377" t="s">
        <v>441</v>
      </c>
      <c r="E274" s="381" t="s">
        <v>27</v>
      </c>
      <c r="F274" s="204" t="s">
        <v>442</v>
      </c>
      <c r="G274" s="47" t="s">
        <v>24</v>
      </c>
      <c r="H274" s="48">
        <v>2</v>
      </c>
      <c r="I274" s="203">
        <v>1</v>
      </c>
      <c r="J274" s="203">
        <v>1</v>
      </c>
      <c r="K274" s="65">
        <v>1690.48</v>
      </c>
      <c r="L274" s="51"/>
      <c r="M274" s="50">
        <f t="shared" si="5"/>
        <v>0</v>
      </c>
      <c r="N274" s="50"/>
      <c r="O274" s="31"/>
      <c r="P274" s="108">
        <v>2</v>
      </c>
      <c r="Q274" s="65">
        <v>4082.51</v>
      </c>
      <c r="R274" s="51"/>
      <c r="S274" s="50">
        <f t="shared" ref="S274:S278" si="14">T274+U274</f>
        <v>1124.17</v>
      </c>
      <c r="T274" s="50"/>
      <c r="U274" s="225">
        <v>1124.17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1" t="s">
        <v>262</v>
      </c>
      <c r="G275" s="55" t="s">
        <v>28</v>
      </c>
      <c r="H275" s="112">
        <v>2</v>
      </c>
      <c r="I275" s="57"/>
      <c r="J275" s="57"/>
      <c r="K275" s="43"/>
      <c r="L275" s="128"/>
      <c r="M275" s="129">
        <f t="shared" si="5"/>
        <v>0</v>
      </c>
      <c r="N275" s="43"/>
      <c r="O275" s="45"/>
      <c r="P275" s="113">
        <v>2</v>
      </c>
      <c r="Q275" s="114">
        <v>8452.4</v>
      </c>
      <c r="R275" s="128"/>
      <c r="S275" s="129">
        <f t="shared" si="14"/>
        <v>4994.6000000000004</v>
      </c>
      <c r="T275" s="114">
        <f>3649.9+1344.7</f>
        <v>4994.6000000000004</v>
      </c>
      <c r="U275" s="4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203</v>
      </c>
      <c r="C276" s="374"/>
      <c r="D276" s="374"/>
      <c r="E276" s="374" t="s">
        <v>27</v>
      </c>
      <c r="F276" s="60"/>
      <c r="G276" s="23" t="s">
        <v>24</v>
      </c>
      <c r="H276" s="61">
        <v>1</v>
      </c>
      <c r="I276" s="25"/>
      <c r="J276" s="25"/>
      <c r="K276" s="26"/>
      <c r="L276" s="27"/>
      <c r="M276" s="26">
        <f t="shared" si="5"/>
        <v>0</v>
      </c>
      <c r="N276" s="26"/>
      <c r="O276" s="28"/>
      <c r="P276" s="120"/>
      <c r="Q276" s="26"/>
      <c r="R276" s="27"/>
      <c r="S276" s="26">
        <f t="shared" si="14"/>
        <v>0</v>
      </c>
      <c r="T276" s="26"/>
      <c r="U276" s="28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34"/>
      <c r="G277" s="35" t="s">
        <v>28</v>
      </c>
      <c r="H277" s="117"/>
      <c r="I277" s="38"/>
      <c r="J277" s="38"/>
      <c r="K277" s="39"/>
      <c r="L277" s="40"/>
      <c r="M277" s="39">
        <f t="shared" si="5"/>
        <v>0</v>
      </c>
      <c r="N277" s="39"/>
      <c r="O277" s="41"/>
      <c r="P277" s="69"/>
      <c r="Q277" s="39"/>
      <c r="R277" s="40"/>
      <c r="S277" s="39">
        <f t="shared" si="14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204</v>
      </c>
      <c r="C278" s="381" t="s">
        <v>22</v>
      </c>
      <c r="D278" s="381"/>
      <c r="E278" s="381" t="s">
        <v>23</v>
      </c>
      <c r="F278" s="204" t="s">
        <v>431</v>
      </c>
      <c r="G278" s="47" t="s">
        <v>24</v>
      </c>
      <c r="H278" s="48">
        <v>8</v>
      </c>
      <c r="I278" s="203">
        <v>5</v>
      </c>
      <c r="J278" s="203">
        <v>6</v>
      </c>
      <c r="K278" s="65">
        <v>7650.47</v>
      </c>
      <c r="L278" s="51"/>
      <c r="M278" s="50">
        <f t="shared" si="5"/>
        <v>384.2</v>
      </c>
      <c r="N278" s="50"/>
      <c r="O278" s="225">
        <v>384.2</v>
      </c>
      <c r="P278" s="108">
        <v>4</v>
      </c>
      <c r="Q278" s="65">
        <v>3363.11</v>
      </c>
      <c r="R278" s="51"/>
      <c r="S278" s="50">
        <f t="shared" si="14"/>
        <v>3363.11</v>
      </c>
      <c r="T278" s="50"/>
      <c r="U278" s="225">
        <v>3363.11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25</v>
      </c>
      <c r="H279" s="111"/>
      <c r="I279" s="38"/>
      <c r="J279" s="38"/>
      <c r="K279" s="39"/>
      <c r="L279" s="40"/>
      <c r="M279" s="39">
        <f t="shared" si="5"/>
        <v>0</v>
      </c>
      <c r="N279" s="39"/>
      <c r="O279" s="41"/>
      <c r="P279" s="115">
        <v>1</v>
      </c>
      <c r="Q279" s="68">
        <v>2305.1999999999998</v>
      </c>
      <c r="R279" s="285">
        <v>1</v>
      </c>
      <c r="S279" s="68">
        <v>2305.1999999999998</v>
      </c>
      <c r="T279" s="68">
        <v>2305.1999999999998</v>
      </c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179"/>
      <c r="B280" s="180" t="s">
        <v>205</v>
      </c>
      <c r="C280" s="180"/>
      <c r="D280" s="180"/>
      <c r="E280" s="180"/>
      <c r="F280" s="180"/>
      <c r="G280" s="181"/>
      <c r="H280" s="182">
        <f t="shared" ref="H280:U280" si="15">SUM(H9:H279)</f>
        <v>892</v>
      </c>
      <c r="I280" s="183">
        <f t="shared" si="15"/>
        <v>436</v>
      </c>
      <c r="J280" s="183">
        <f t="shared" si="15"/>
        <v>505</v>
      </c>
      <c r="K280" s="184">
        <f t="shared" si="15"/>
        <v>783473.55999999947</v>
      </c>
      <c r="L280" s="185">
        <f t="shared" si="15"/>
        <v>76</v>
      </c>
      <c r="M280" s="184">
        <f t="shared" si="15"/>
        <v>293921.40999999992</v>
      </c>
      <c r="N280" s="184">
        <f t="shared" si="15"/>
        <v>106418.96</v>
      </c>
      <c r="O280" s="186">
        <f t="shared" si="15"/>
        <v>187502.45</v>
      </c>
      <c r="P280" s="187">
        <f t="shared" si="15"/>
        <v>1061</v>
      </c>
      <c r="Q280" s="188">
        <f t="shared" si="15"/>
        <v>3395938.7299999991</v>
      </c>
      <c r="R280" s="185">
        <f t="shared" si="15"/>
        <v>483</v>
      </c>
      <c r="S280" s="188">
        <f t="shared" si="15"/>
        <v>2430192.9200000009</v>
      </c>
      <c r="T280" s="188">
        <f t="shared" si="15"/>
        <v>1601632.1100000006</v>
      </c>
      <c r="U280" s="189">
        <f t="shared" si="15"/>
        <v>828560.81000000029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I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 t="s">
        <v>206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27.75" customHeight="1">
      <c r="A284" s="4"/>
      <c r="B284" s="4"/>
      <c r="C284" s="4"/>
      <c r="D284" s="4"/>
      <c r="E284" s="4"/>
      <c r="F284" s="394"/>
      <c r="G284" s="395" t="s">
        <v>5</v>
      </c>
      <c r="H284" s="396"/>
      <c r="I284" s="396"/>
      <c r="J284" s="396"/>
      <c r="K284" s="396"/>
      <c r="L284" s="396"/>
      <c r="M284" s="396"/>
      <c r="N284" s="397"/>
      <c r="O284" s="395" t="s">
        <v>6</v>
      </c>
      <c r="P284" s="396"/>
      <c r="Q284" s="396"/>
      <c r="R284" s="396"/>
      <c r="S284" s="396"/>
      <c r="T284" s="397"/>
      <c r="U284" s="393" t="s">
        <v>207</v>
      </c>
      <c r="V284" s="393" t="s">
        <v>208</v>
      </c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386"/>
      <c r="G285" s="190" t="s">
        <v>13</v>
      </c>
      <c r="H285" s="190" t="s">
        <v>14</v>
      </c>
      <c r="I285" s="190" t="s">
        <v>15</v>
      </c>
      <c r="J285" s="190" t="s">
        <v>16</v>
      </c>
      <c r="K285" s="191" t="s">
        <v>17</v>
      </c>
      <c r="L285" s="190" t="s">
        <v>18</v>
      </c>
      <c r="M285" s="190" t="s">
        <v>19</v>
      </c>
      <c r="N285" s="190" t="s">
        <v>20</v>
      </c>
      <c r="O285" s="190" t="s">
        <v>15</v>
      </c>
      <c r="P285" s="190" t="s">
        <v>16</v>
      </c>
      <c r="Q285" s="191" t="s">
        <v>17</v>
      </c>
      <c r="R285" s="190" t="s">
        <v>18</v>
      </c>
      <c r="S285" s="190" t="s">
        <v>19</v>
      </c>
      <c r="T285" s="190" t="s">
        <v>20</v>
      </c>
      <c r="U285" s="392"/>
      <c r="V285" s="392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192" t="s">
        <v>24</v>
      </c>
      <c r="G286" s="193">
        <f t="shared" ref="G286:I286" si="16">SUMIF($G$9:$G$279,$F$286,H9:H279)</f>
        <v>622</v>
      </c>
      <c r="H286" s="193">
        <f t="shared" si="16"/>
        <v>363</v>
      </c>
      <c r="I286" s="193">
        <f t="shared" si="16"/>
        <v>432</v>
      </c>
      <c r="J286" s="194">
        <f t="shared" ref="J286:J288" si="17">SUMIF($G$9:$G$279,F286,$K$9:$K$279)</f>
        <v>676650.59999999963</v>
      </c>
      <c r="K286" s="195">
        <f t="shared" ref="K286:K288" si="18">SUMIF($G$9:$G$279,F286,$L$9:$L$279)</f>
        <v>43</v>
      </c>
      <c r="L286" s="194">
        <f t="shared" ref="L286:L288" si="19">SUMIF($G$9:$G$279,F286,$M$9:$M$279)</f>
        <v>237447</v>
      </c>
      <c r="M286" s="194">
        <f t="shared" ref="M286:O286" si="20">SUMIF($G$9:$G$279,$F$286,N9:N279)</f>
        <v>49944.550000000017</v>
      </c>
      <c r="N286" s="194">
        <f t="shared" si="20"/>
        <v>187502.45</v>
      </c>
      <c r="O286" s="193">
        <f t="shared" si="20"/>
        <v>884</v>
      </c>
      <c r="P286" s="194">
        <f t="shared" ref="P286:P288" si="21">SUMIF($G$9:$G$279,F286,$Q$9:$Q$279)</f>
        <v>2876498.7699999991</v>
      </c>
      <c r="Q286" s="195">
        <f t="shared" ref="Q286:Q288" si="22">SUMIF($G$9:$G$279,F286,$R$9:$R$279)</f>
        <v>402</v>
      </c>
      <c r="R286" s="194">
        <f t="shared" ref="R286:R288" si="23">SUMIF($G$9:$G$279,F286,$S$9:$S$279)</f>
        <v>2034828.6600000001</v>
      </c>
      <c r="S286" s="194">
        <f t="shared" ref="S286:T286" si="24">SUMIF($G$9:$G$279,$F$286,T9:T279)</f>
        <v>1206267.8500000006</v>
      </c>
      <c r="T286" s="194">
        <f t="shared" si="24"/>
        <v>828560.81000000029</v>
      </c>
      <c r="U286" s="194">
        <f t="shared" ref="U286:U288" si="25">S286+M286</f>
        <v>1256212.4000000006</v>
      </c>
      <c r="V286" s="196">
        <f t="shared" ref="V286:V288" si="26">J286-M286+P286-S286</f>
        <v>2296936.9699999979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192" t="s">
        <v>28</v>
      </c>
      <c r="G287" s="236">
        <f t="shared" ref="G287:I287" si="27">SUMIF($G$9:$G$279,$F$287,H9:H279)</f>
        <v>225</v>
      </c>
      <c r="H287" s="193">
        <f t="shared" si="27"/>
        <v>56</v>
      </c>
      <c r="I287" s="193">
        <f t="shared" si="27"/>
        <v>56</v>
      </c>
      <c r="J287" s="194">
        <f t="shared" si="17"/>
        <v>84366.47000000003</v>
      </c>
      <c r="K287" s="195">
        <f t="shared" si="18"/>
        <v>18</v>
      </c>
      <c r="L287" s="194">
        <f t="shared" si="19"/>
        <v>36707.32</v>
      </c>
      <c r="M287" s="194">
        <f t="shared" ref="M287:O287" si="28">SUMIF($G$9:$G$279,$F$287,N9:N279)</f>
        <v>36707.32</v>
      </c>
      <c r="N287" s="194">
        <f t="shared" si="28"/>
        <v>0</v>
      </c>
      <c r="O287" s="193">
        <f t="shared" si="28"/>
        <v>134</v>
      </c>
      <c r="P287" s="194">
        <f t="shared" si="21"/>
        <v>378115.72999999992</v>
      </c>
      <c r="Q287" s="195">
        <f t="shared" si="22"/>
        <v>45</v>
      </c>
      <c r="R287" s="194">
        <f t="shared" si="23"/>
        <v>280404.69</v>
      </c>
      <c r="S287" s="194">
        <f t="shared" ref="S287:T287" si="29">SUMIF($G$9:$G$279,$F$287,T9:T279)</f>
        <v>280404.69</v>
      </c>
      <c r="T287" s="194">
        <f t="shared" si="29"/>
        <v>0</v>
      </c>
      <c r="U287" s="194">
        <f t="shared" si="25"/>
        <v>317112.01</v>
      </c>
      <c r="V287" s="196">
        <f t="shared" si="26"/>
        <v>145370.18999999994</v>
      </c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25</v>
      </c>
      <c r="G288" s="193">
        <f t="shared" ref="G288:I288" si="30">SUMIF($G$9:$G$279,$F$288,H9:H279)</f>
        <v>45</v>
      </c>
      <c r="H288" s="193">
        <f t="shared" si="30"/>
        <v>17</v>
      </c>
      <c r="I288" s="193">
        <f t="shared" si="30"/>
        <v>17</v>
      </c>
      <c r="J288" s="194">
        <f t="shared" si="17"/>
        <v>22456.489999999998</v>
      </c>
      <c r="K288" s="195">
        <f t="shared" si="18"/>
        <v>15</v>
      </c>
      <c r="L288" s="194">
        <f t="shared" si="19"/>
        <v>19767.09</v>
      </c>
      <c r="M288" s="194">
        <f t="shared" ref="M288:O288" si="31">SUMIF($G$9:$G$279,$F$288,N9:N279)</f>
        <v>19767.09</v>
      </c>
      <c r="N288" s="194">
        <f t="shared" si="31"/>
        <v>0</v>
      </c>
      <c r="O288" s="193">
        <f t="shared" si="31"/>
        <v>43</v>
      </c>
      <c r="P288" s="194">
        <f t="shared" si="21"/>
        <v>141324.22999999998</v>
      </c>
      <c r="Q288" s="195">
        <f t="shared" si="22"/>
        <v>36</v>
      </c>
      <c r="R288" s="194">
        <f t="shared" si="23"/>
        <v>114959.57000000002</v>
      </c>
      <c r="S288" s="194">
        <f t="shared" ref="S288:T288" si="32">SUMIF($G$9:$G$279,$F$288,T9:T279)</f>
        <v>114959.57000000002</v>
      </c>
      <c r="T288" s="194">
        <f t="shared" si="32"/>
        <v>0</v>
      </c>
      <c r="U288" s="194">
        <f t="shared" si="25"/>
        <v>134726.66000000003</v>
      </c>
      <c r="V288" s="196">
        <f t="shared" si="26"/>
        <v>29054.059999999954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197">
        <f t="shared" ref="G289:V289" si="33">G288+G287+G286</f>
        <v>892</v>
      </c>
      <c r="H289" s="197">
        <f t="shared" si="33"/>
        <v>436</v>
      </c>
      <c r="I289" s="197">
        <f t="shared" si="33"/>
        <v>505</v>
      </c>
      <c r="J289" s="198">
        <f t="shared" si="33"/>
        <v>783473.55999999959</v>
      </c>
      <c r="K289" s="199">
        <f t="shared" si="33"/>
        <v>76</v>
      </c>
      <c r="L289" s="198">
        <f t="shared" si="33"/>
        <v>293921.41000000003</v>
      </c>
      <c r="M289" s="198">
        <f t="shared" si="33"/>
        <v>106418.96000000002</v>
      </c>
      <c r="N289" s="198">
        <f t="shared" si="33"/>
        <v>187502.45</v>
      </c>
      <c r="O289" s="197">
        <f t="shared" si="33"/>
        <v>1061</v>
      </c>
      <c r="P289" s="198">
        <f t="shared" si="33"/>
        <v>3395938.7299999991</v>
      </c>
      <c r="Q289" s="200">
        <f t="shared" si="33"/>
        <v>483</v>
      </c>
      <c r="R289" s="198">
        <f t="shared" si="33"/>
        <v>2430192.92</v>
      </c>
      <c r="S289" s="198">
        <f t="shared" si="33"/>
        <v>1601632.1100000006</v>
      </c>
      <c r="T289" s="198">
        <f t="shared" si="33"/>
        <v>828560.81000000029</v>
      </c>
      <c r="U289" s="198">
        <f t="shared" si="33"/>
        <v>1708051.0700000008</v>
      </c>
      <c r="V289" s="198">
        <f t="shared" si="33"/>
        <v>2471361.2199999979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K290" s="201"/>
      <c r="L290" s="201"/>
      <c r="R290" s="2"/>
    </row>
    <row r="291" spans="1:32" ht="15.75" customHeight="1">
      <c r="K291" s="201"/>
      <c r="L291" s="201"/>
      <c r="R291" s="2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L442" s="2"/>
      <c r="R442" s="2"/>
    </row>
    <row r="443" spans="11:18" ht="15.75" customHeight="1">
      <c r="L443" s="2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</sheetData>
  <mergeCells count="67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C165:C166"/>
    <mergeCell ref="A167:A168"/>
    <mergeCell ref="B167:B168"/>
    <mergeCell ref="C167:C168"/>
    <mergeCell ref="B169:B170"/>
    <mergeCell ref="C169:C170"/>
    <mergeCell ref="A169:A170"/>
    <mergeCell ref="A171:A172"/>
    <mergeCell ref="B171:B172"/>
    <mergeCell ref="C171:C172"/>
    <mergeCell ref="A181:A182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D274:D275"/>
    <mergeCell ref="E274:E275"/>
    <mergeCell ref="A276:A277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B276:B277"/>
    <mergeCell ref="C276:C277"/>
    <mergeCell ref="A278:A279"/>
    <mergeCell ref="B278:B279"/>
    <mergeCell ref="C278:C279"/>
    <mergeCell ref="A272:A273"/>
    <mergeCell ref="A274:A275"/>
    <mergeCell ref="B274:B275"/>
    <mergeCell ref="C274:C275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4:U285"/>
    <mergeCell ref="V284:V285"/>
    <mergeCell ref="D276:D277"/>
    <mergeCell ref="E276:E277"/>
    <mergeCell ref="D278:D279"/>
    <mergeCell ref="E278:E279"/>
    <mergeCell ref="F284:F285"/>
    <mergeCell ref="G284:N284"/>
    <mergeCell ref="O284:T284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3</v>
      </c>
      <c r="J9" s="62">
        <v>3</v>
      </c>
      <c r="K9" s="62">
        <v>3875.24</v>
      </c>
      <c r="L9" s="205">
        <v>1</v>
      </c>
      <c r="M9" s="26">
        <f t="shared" ref="M9:M31" si="0">N9+O9</f>
        <v>2161.6999999999998</v>
      </c>
      <c r="N9" s="30">
        <v>2161.6999999999998</v>
      </c>
      <c r="O9" s="28"/>
      <c r="P9" s="29">
        <v>14</v>
      </c>
      <c r="Q9" s="30">
        <v>40163.040000000001</v>
      </c>
      <c r="R9" s="205">
        <v>11</v>
      </c>
      <c r="S9" s="26">
        <f t="shared" ref="S9:S31" si="1">T9+U9</f>
        <v>21561.78</v>
      </c>
      <c r="T9" s="30">
        <v>21561.78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9</v>
      </c>
      <c r="I11" s="203">
        <v>7</v>
      </c>
      <c r="J11" s="203">
        <v>8</v>
      </c>
      <c r="K11" s="65">
        <v>16836.45</v>
      </c>
      <c r="L11" s="224">
        <v>7</v>
      </c>
      <c r="M11" s="50">
        <f t="shared" si="0"/>
        <v>13908.85</v>
      </c>
      <c r="N11" s="65">
        <v>13908.85</v>
      </c>
      <c r="O11" s="52"/>
      <c r="P11" s="53">
        <v>11</v>
      </c>
      <c r="Q11" s="30">
        <v>77623.600000000006</v>
      </c>
      <c r="R11" s="205">
        <v>9</v>
      </c>
      <c r="S11" s="26">
        <f t="shared" si="1"/>
        <v>67281.350000000006</v>
      </c>
      <c r="T11" s="30">
        <v>67281.350000000006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4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9</v>
      </c>
      <c r="I13" s="62">
        <v>9</v>
      </c>
      <c r="J13" s="62">
        <v>15</v>
      </c>
      <c r="K13" s="30">
        <v>40383.43</v>
      </c>
      <c r="L13" s="205">
        <v>12</v>
      </c>
      <c r="M13" s="26">
        <f t="shared" si="0"/>
        <v>30978.39</v>
      </c>
      <c r="N13" s="30">
        <v>30978.39</v>
      </c>
      <c r="O13" s="299"/>
      <c r="P13" s="64">
        <v>17</v>
      </c>
      <c r="Q13" s="65">
        <v>77967.320000000007</v>
      </c>
      <c r="R13" s="224">
        <v>15</v>
      </c>
      <c r="S13" s="50">
        <f t="shared" si="1"/>
        <v>68385.73</v>
      </c>
      <c r="T13" s="65">
        <v>68385.73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2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10"/>
      <c r="M16" s="211">
        <f t="shared" si="0"/>
        <v>0</v>
      </c>
      <c r="N16" s="211"/>
      <c r="O16" s="212"/>
      <c r="P16" s="262">
        <v>4</v>
      </c>
      <c r="Q16" s="209">
        <v>5186.7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6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10</v>
      </c>
      <c r="Q17" s="30">
        <v>23125.88</v>
      </c>
      <c r="R17" s="205">
        <v>10</v>
      </c>
      <c r="S17" s="26">
        <f t="shared" si="1"/>
        <v>23125.88</v>
      </c>
      <c r="T17" s="30">
        <v>23125.88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6</v>
      </c>
      <c r="I19" s="266">
        <v>2</v>
      </c>
      <c r="J19" s="266">
        <v>3</v>
      </c>
      <c r="K19" s="79">
        <v>3431.39</v>
      </c>
      <c r="L19" s="268">
        <v>3</v>
      </c>
      <c r="M19" s="81">
        <f t="shared" si="0"/>
        <v>3431.39</v>
      </c>
      <c r="N19" s="79">
        <v>3431.39</v>
      </c>
      <c r="O19" s="269"/>
      <c r="P19" s="267">
        <v>10</v>
      </c>
      <c r="Q19" s="79">
        <v>21035.62</v>
      </c>
      <c r="R19" s="268">
        <v>8</v>
      </c>
      <c r="S19" s="81">
        <f t="shared" si="1"/>
        <v>13219.07</v>
      </c>
      <c r="T19" s="79">
        <v>13219.07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9</v>
      </c>
      <c r="I21" s="203">
        <v>5</v>
      </c>
      <c r="J21" s="203">
        <v>10</v>
      </c>
      <c r="K21" s="65">
        <v>16224.89</v>
      </c>
      <c r="L21" s="224">
        <v>10</v>
      </c>
      <c r="M21" s="50">
        <f t="shared" si="0"/>
        <v>16224.89</v>
      </c>
      <c r="N21" s="65">
        <v>16224.89</v>
      </c>
      <c r="O21" s="225"/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4454.6099999999997</v>
      </c>
      <c r="L23" s="205">
        <v>4</v>
      </c>
      <c r="M23" s="26">
        <f t="shared" si="0"/>
        <v>3686.21</v>
      </c>
      <c r="N23" s="30">
        <v>3686.21</v>
      </c>
      <c r="O23" s="225"/>
      <c r="P23" s="53">
        <v>6</v>
      </c>
      <c r="Q23" s="30">
        <v>6346.45</v>
      </c>
      <c r="R23" s="205">
        <v>3</v>
      </c>
      <c r="S23" s="26">
        <f t="shared" si="1"/>
        <v>4222.78</v>
      </c>
      <c r="T23" s="30">
        <v>4222.78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15</v>
      </c>
      <c r="K25" s="65">
        <v>26674.51</v>
      </c>
      <c r="L25" s="224">
        <v>14</v>
      </c>
      <c r="M25" s="50">
        <f t="shared" si="0"/>
        <v>24819.63</v>
      </c>
      <c r="N25" s="65">
        <v>24819.63</v>
      </c>
      <c r="O25" s="225"/>
      <c r="P25" s="53">
        <v>13</v>
      </c>
      <c r="Q25" s="30">
        <v>20738.62</v>
      </c>
      <c r="R25" s="205">
        <v>12</v>
      </c>
      <c r="S25" s="26">
        <f t="shared" si="1"/>
        <v>19364.259999999998</v>
      </c>
      <c r="T25" s="30">
        <v>19364.259999999998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3</v>
      </c>
      <c r="Q26" s="68">
        <v>12370.2</v>
      </c>
      <c r="R26" s="285">
        <v>4</v>
      </c>
      <c r="S26" s="39">
        <f t="shared" si="1"/>
        <v>14036.900000000001</v>
      </c>
      <c r="T26" s="68">
        <f>4302+3533.6+960.5+5240.8</f>
        <v>14036.900000000001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3</v>
      </c>
      <c r="Q28" s="114">
        <v>8452.4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5</v>
      </c>
      <c r="I31" s="203">
        <v>2</v>
      </c>
      <c r="J31" s="203">
        <v>2</v>
      </c>
      <c r="K31" s="65">
        <v>2091.96</v>
      </c>
      <c r="L31" s="224">
        <v>2</v>
      </c>
      <c r="M31" s="50">
        <f t="shared" si="0"/>
        <v>2091.96</v>
      </c>
      <c r="N31" s="65">
        <v>2091.96</v>
      </c>
      <c r="O31" s="225"/>
      <c r="P31" s="108">
        <v>9</v>
      </c>
      <c r="Q31" s="65">
        <v>26163.18</v>
      </c>
      <c r="R31" s="224">
        <v>9</v>
      </c>
      <c r="S31" s="50">
        <f t="shared" si="1"/>
        <v>26163.18</v>
      </c>
      <c r="T31" s="65">
        <v>26163.18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4</v>
      </c>
      <c r="J32" s="130">
        <v>4</v>
      </c>
      <c r="K32" s="114">
        <v>11526</v>
      </c>
      <c r="L32" s="270">
        <v>3</v>
      </c>
      <c r="M32" s="114">
        <v>6147.2</v>
      </c>
      <c r="N32" s="114">
        <v>6147.2</v>
      </c>
      <c r="O32" s="222"/>
      <c r="P32" s="113">
        <v>5</v>
      </c>
      <c r="Q32" s="114">
        <v>13543.05</v>
      </c>
      <c r="R32" s="270">
        <v>4</v>
      </c>
      <c r="S32" s="114">
        <v>8548.4500000000007</v>
      </c>
      <c r="T32" s="114">
        <v>8548.4500000000007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3</v>
      </c>
      <c r="J35" s="203">
        <v>3</v>
      </c>
      <c r="K35" s="65">
        <v>1796.46</v>
      </c>
      <c r="L35" s="224">
        <v>2</v>
      </c>
      <c r="M35" s="50">
        <f t="shared" si="2"/>
        <v>951.22</v>
      </c>
      <c r="N35" s="65">
        <v>951.22</v>
      </c>
      <c r="O35" s="31"/>
      <c r="P35" s="64">
        <v>4</v>
      </c>
      <c r="Q35" s="65">
        <v>14213.44</v>
      </c>
      <c r="R35" s="290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2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00"/>
      <c r="I41" s="25"/>
      <c r="J41" s="25"/>
      <c r="K41" s="26"/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9</v>
      </c>
      <c r="I43" s="266">
        <v>9</v>
      </c>
      <c r="J43" s="266">
        <v>9</v>
      </c>
      <c r="K43" s="79">
        <v>10392.620000000001</v>
      </c>
      <c r="L43" s="268">
        <v>7</v>
      </c>
      <c r="M43" s="81">
        <f t="shared" si="2"/>
        <v>8433.7800000000007</v>
      </c>
      <c r="N43" s="79">
        <v>8433.7800000000007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7</v>
      </c>
      <c r="I45" s="62">
        <v>2</v>
      </c>
      <c r="J45" s="62">
        <v>2</v>
      </c>
      <c r="K45" s="30">
        <v>956.76</v>
      </c>
      <c r="L45" s="205">
        <v>1</v>
      </c>
      <c r="M45" s="26">
        <f t="shared" si="2"/>
        <v>631.82000000000005</v>
      </c>
      <c r="N45" s="30">
        <v>631.82000000000005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5</v>
      </c>
      <c r="I46" s="261"/>
      <c r="J46" s="261"/>
      <c r="K46" s="211"/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2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2</v>
      </c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5</v>
      </c>
      <c r="Q53" s="65">
        <v>13594.65</v>
      </c>
      <c r="R53" s="224">
        <v>3</v>
      </c>
      <c r="S53" s="50">
        <f t="shared" si="3"/>
        <v>9057.6299999999992</v>
      </c>
      <c r="T53" s="65">
        <v>9057.6299999999992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11</v>
      </c>
      <c r="S54" s="39">
        <f t="shared" si="3"/>
        <v>23705.43</v>
      </c>
      <c r="T54" s="68">
        <f>2209.2+576.3+13639.1+1921+1921+3438.83</f>
        <v>23705.43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3</v>
      </c>
      <c r="J55" s="203">
        <v>3</v>
      </c>
      <c r="K55" s="65">
        <v>3998.34</v>
      </c>
      <c r="L55" s="224">
        <v>2</v>
      </c>
      <c r="M55" s="50">
        <f t="shared" si="2"/>
        <v>2025.09</v>
      </c>
      <c r="N55" s="65">
        <v>2025.09</v>
      </c>
      <c r="O55" s="31"/>
      <c r="P55" s="53">
        <v>3</v>
      </c>
      <c r="Q55" s="30">
        <v>9783.23</v>
      </c>
      <c r="R55" s="205">
        <v>2</v>
      </c>
      <c r="S55" s="26">
        <f t="shared" si="3"/>
        <v>5899.35</v>
      </c>
      <c r="T55" s="30">
        <v>5899.35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14217.9</v>
      </c>
      <c r="L57" s="205">
        <v>7</v>
      </c>
      <c r="M57" s="26">
        <f t="shared" si="2"/>
        <v>14217.9</v>
      </c>
      <c r="N57" s="30">
        <v>14217.9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3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12</v>
      </c>
      <c r="I59" s="203">
        <v>10</v>
      </c>
      <c r="J59" s="203">
        <v>11</v>
      </c>
      <c r="K59" s="65">
        <v>13748.69</v>
      </c>
      <c r="L59" s="224">
        <v>11</v>
      </c>
      <c r="M59" s="50">
        <f t="shared" si="2"/>
        <v>12927.23</v>
      </c>
      <c r="N59" s="65">
        <v>12927.23</v>
      </c>
      <c r="O59" s="225"/>
      <c r="P59" s="53">
        <v>34</v>
      </c>
      <c r="Q59" s="30">
        <v>80148.39</v>
      </c>
      <c r="R59" s="205">
        <v>33</v>
      </c>
      <c r="S59" s="26">
        <f t="shared" si="3"/>
        <v>80088.850000000006</v>
      </c>
      <c r="T59" s="30">
        <v>80088.850000000006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6</v>
      </c>
      <c r="I61" s="62">
        <v>2</v>
      </c>
      <c r="J61" s="62">
        <v>2</v>
      </c>
      <c r="K61" s="30">
        <v>3714.93</v>
      </c>
      <c r="L61" s="205">
        <v>2</v>
      </c>
      <c r="M61" s="26">
        <f t="shared" si="2"/>
        <v>3714.93</v>
      </c>
      <c r="N61" s="30">
        <v>3714.93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3</v>
      </c>
      <c r="I63" s="62">
        <v>1</v>
      </c>
      <c r="J63" s="62">
        <v>1</v>
      </c>
      <c r="K63" s="30">
        <v>2531.11</v>
      </c>
      <c r="L63" s="205">
        <v>1</v>
      </c>
      <c r="M63" s="26">
        <f t="shared" si="2"/>
        <v>2531.11</v>
      </c>
      <c r="N63" s="30">
        <v>2531.11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4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3</v>
      </c>
      <c r="I65" s="266">
        <v>2</v>
      </c>
      <c r="J65" s="266">
        <v>2</v>
      </c>
      <c r="K65" s="79">
        <v>9046.4500000000007</v>
      </c>
      <c r="L65" s="268">
        <v>1</v>
      </c>
      <c r="M65" s="81">
        <f t="shared" si="2"/>
        <v>576.29999999999995</v>
      </c>
      <c r="N65" s="79">
        <v>576.29999999999995</v>
      </c>
      <c r="O65" s="219"/>
      <c r="P65" s="267">
        <v>4</v>
      </c>
      <c r="Q65" s="79">
        <v>5093.67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3</v>
      </c>
      <c r="I66" s="130">
        <v>3</v>
      </c>
      <c r="J66" s="130">
        <v>3</v>
      </c>
      <c r="K66" s="114">
        <v>5196.28</v>
      </c>
      <c r="L66" s="128"/>
      <c r="M66" s="129">
        <f t="shared" si="2"/>
        <v>0</v>
      </c>
      <c r="N66" s="43"/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18</v>
      </c>
      <c r="Q69" s="65">
        <v>59443.27</v>
      </c>
      <c r="R69" s="224">
        <v>12</v>
      </c>
      <c r="S69" s="50">
        <f t="shared" si="3"/>
        <v>47225.71</v>
      </c>
      <c r="T69" s="65">
        <v>47225.71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2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44"/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9</v>
      </c>
      <c r="I71" s="62">
        <v>4</v>
      </c>
      <c r="J71" s="62">
        <v>5</v>
      </c>
      <c r="K71" s="30">
        <v>10912.81</v>
      </c>
      <c r="L71" s="205">
        <v>4</v>
      </c>
      <c r="M71" s="26">
        <f t="shared" si="2"/>
        <v>9933.1</v>
      </c>
      <c r="N71" s="30">
        <v>9933.1</v>
      </c>
      <c r="O71" s="225"/>
      <c r="P71" s="29">
        <v>4</v>
      </c>
      <c r="Q71" s="30">
        <v>2984.28</v>
      </c>
      <c r="R71" s="205">
        <v>4</v>
      </c>
      <c r="S71" s="26">
        <f t="shared" si="3"/>
        <v>2984.28</v>
      </c>
      <c r="T71" s="30">
        <v>2984.28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5</v>
      </c>
      <c r="I75" s="62">
        <v>3</v>
      </c>
      <c r="J75" s="62">
        <v>3</v>
      </c>
      <c r="K75" s="30">
        <v>3685.15</v>
      </c>
      <c r="L75" s="205">
        <v>3</v>
      </c>
      <c r="M75" s="26">
        <f t="shared" si="2"/>
        <v>3685.15</v>
      </c>
      <c r="N75" s="30">
        <v>3685.15</v>
      </c>
      <c r="O75" s="31"/>
      <c r="P75" s="53">
        <v>1</v>
      </c>
      <c r="Q75" s="30">
        <v>1505.87</v>
      </c>
      <c r="R75" s="27"/>
      <c r="S75" s="26">
        <f t="shared" si="3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5</v>
      </c>
      <c r="J77" s="203">
        <v>6</v>
      </c>
      <c r="K77" s="114">
        <v>8554.2099999999991</v>
      </c>
      <c r="L77" s="224">
        <v>4</v>
      </c>
      <c r="M77" s="50">
        <f t="shared" ref="M77:M93" si="4">N77+O77</f>
        <v>3878.5</v>
      </c>
      <c r="N77" s="65">
        <v>3878.5</v>
      </c>
      <c r="O77" s="225"/>
      <c r="P77" s="108">
        <v>9</v>
      </c>
      <c r="Q77" s="65">
        <v>35662.49</v>
      </c>
      <c r="R77" s="224">
        <v>6</v>
      </c>
      <c r="S77" s="50">
        <f t="shared" si="3"/>
        <v>19829.79</v>
      </c>
      <c r="T77" s="65">
        <v>19829.79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26</v>
      </c>
      <c r="I79" s="62">
        <v>19</v>
      </c>
      <c r="J79" s="62">
        <v>29</v>
      </c>
      <c r="K79" s="30">
        <v>57740.59</v>
      </c>
      <c r="L79" s="205">
        <v>29</v>
      </c>
      <c r="M79" s="26">
        <f t="shared" si="4"/>
        <v>57740.59</v>
      </c>
      <c r="N79" s="30">
        <v>57740.59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3</v>
      </c>
      <c r="I81" s="62">
        <v>2</v>
      </c>
      <c r="J81" s="62">
        <v>2</v>
      </c>
      <c r="K81" s="30">
        <v>768.4</v>
      </c>
      <c r="L81" s="205">
        <v>2</v>
      </c>
      <c r="M81" s="26">
        <f t="shared" si="4"/>
        <v>768.4</v>
      </c>
      <c r="N81" s="30">
        <v>768.4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8</v>
      </c>
      <c r="I85" s="266">
        <v>3</v>
      </c>
      <c r="J85" s="266">
        <v>4</v>
      </c>
      <c r="K85" s="79">
        <v>5917.36</v>
      </c>
      <c r="L85" s="268">
        <v>4</v>
      </c>
      <c r="M85" s="81">
        <f t="shared" si="4"/>
        <v>5917.36</v>
      </c>
      <c r="N85" s="79">
        <v>5917.36</v>
      </c>
      <c r="O85" s="269"/>
      <c r="P85" s="267">
        <v>9</v>
      </c>
      <c r="Q85" s="79">
        <v>14307.26</v>
      </c>
      <c r="R85" s="268">
        <v>8</v>
      </c>
      <c r="S85" s="81">
        <f t="shared" si="3"/>
        <v>13202.66</v>
      </c>
      <c r="T85" s="79">
        <v>13202.66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3</v>
      </c>
      <c r="S91" s="26">
        <f t="shared" si="3"/>
        <v>7652.33</v>
      </c>
      <c r="T91" s="30">
        <v>7652.33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8</v>
      </c>
      <c r="J93" s="62">
        <v>9</v>
      </c>
      <c r="K93" s="30">
        <v>16530.419999999998</v>
      </c>
      <c r="L93" s="205">
        <v>7</v>
      </c>
      <c r="M93" s="26">
        <f t="shared" si="4"/>
        <v>13410.66</v>
      </c>
      <c r="N93" s="30">
        <v>13410.66</v>
      </c>
      <c r="O93" s="31"/>
      <c r="P93" s="53">
        <v>8</v>
      </c>
      <c r="Q93" s="30">
        <v>31399.9</v>
      </c>
      <c r="R93" s="205">
        <v>8</v>
      </c>
      <c r="S93" s="26">
        <f t="shared" si="3"/>
        <v>31399.9</v>
      </c>
      <c r="T93" s="30">
        <v>31399.9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3</v>
      </c>
      <c r="J94" s="37">
        <v>3</v>
      </c>
      <c r="K94" s="68">
        <v>3380.96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2</v>
      </c>
      <c r="J95" s="203">
        <v>2</v>
      </c>
      <c r="K95" s="65">
        <v>2731.66</v>
      </c>
      <c r="L95" s="224">
        <v>1</v>
      </c>
      <c r="M95" s="50">
        <f t="shared" ref="M95:M225" si="5">N95+O95</f>
        <v>697.32</v>
      </c>
      <c r="N95" s="65">
        <v>697.32</v>
      </c>
      <c r="O95" s="31"/>
      <c r="P95" s="108">
        <v>8</v>
      </c>
      <c r="Q95" s="65">
        <v>93924.24</v>
      </c>
      <c r="R95" s="224">
        <v>7</v>
      </c>
      <c r="S95" s="50">
        <f t="shared" ref="S95:S101" si="6">T95+U95</f>
        <v>55584.74</v>
      </c>
      <c r="T95" s="65">
        <v>55584.74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2</v>
      </c>
      <c r="J97" s="62">
        <v>2</v>
      </c>
      <c r="K97" s="30">
        <v>6064.6</v>
      </c>
      <c r="L97" s="205">
        <v>1</v>
      </c>
      <c r="M97" s="26">
        <f t="shared" si="5"/>
        <v>4374.12</v>
      </c>
      <c r="N97" s="30">
        <v>4374.12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130">
        <v>1</v>
      </c>
      <c r="J98" s="130">
        <v>1</v>
      </c>
      <c r="K98" s="114">
        <v>552.29999999999995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2</v>
      </c>
      <c r="J99" s="62">
        <v>3</v>
      </c>
      <c r="K99" s="30">
        <v>4738.63</v>
      </c>
      <c r="L99" s="205">
        <v>2</v>
      </c>
      <c r="M99" s="26">
        <f t="shared" si="5"/>
        <v>4354.43</v>
      </c>
      <c r="N99" s="30">
        <v>4354.43</v>
      </c>
      <c r="O99" s="225"/>
      <c r="P99" s="53">
        <v>3</v>
      </c>
      <c r="Q99" s="30">
        <v>15479.57</v>
      </c>
      <c r="R99" s="205">
        <v>2</v>
      </c>
      <c r="S99" s="26">
        <f t="shared" si="6"/>
        <v>2699.68</v>
      </c>
      <c r="T99" s="30">
        <v>2699.68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4</v>
      </c>
      <c r="J101" s="62">
        <v>4</v>
      </c>
      <c r="K101" s="30">
        <v>10036.370000000001</v>
      </c>
      <c r="L101" s="205">
        <v>2</v>
      </c>
      <c r="M101" s="26">
        <f t="shared" si="5"/>
        <v>6578.57</v>
      </c>
      <c r="N101" s="30">
        <v>6578.57</v>
      </c>
      <c r="O101" s="31"/>
      <c r="P101" s="53">
        <v>20</v>
      </c>
      <c r="Q101" s="30">
        <v>47266.68</v>
      </c>
      <c r="R101" s="205">
        <v>20</v>
      </c>
      <c r="S101" s="26">
        <f t="shared" si="6"/>
        <v>47266.68</v>
      </c>
      <c r="T101" s="30">
        <v>47266.68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4</v>
      </c>
      <c r="J102" s="130">
        <v>4</v>
      </c>
      <c r="K102" s="114">
        <v>4994.6000000000004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7</v>
      </c>
      <c r="Q102" s="114">
        <v>19417.740000000002</v>
      </c>
      <c r="R102" s="270">
        <v>4</v>
      </c>
      <c r="S102" s="114">
        <v>11577.6</v>
      </c>
      <c r="T102" s="114">
        <v>11577.6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5</v>
      </c>
      <c r="I103" s="62">
        <v>5</v>
      </c>
      <c r="J103" s="62">
        <v>5</v>
      </c>
      <c r="K103" s="30">
        <v>3208.34</v>
      </c>
      <c r="L103" s="205">
        <v>3</v>
      </c>
      <c r="M103" s="26">
        <f t="shared" si="5"/>
        <v>1118.98</v>
      </c>
      <c r="N103" s="30">
        <v>1118.98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7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4</v>
      </c>
      <c r="I104" s="208">
        <v>3</v>
      </c>
      <c r="J104" s="208">
        <v>3</v>
      </c>
      <c r="K104" s="209">
        <v>4610.3999999999996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44"/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8</v>
      </c>
      <c r="I105" s="62">
        <v>6</v>
      </c>
      <c r="J105" s="62">
        <v>7</v>
      </c>
      <c r="K105" s="30">
        <v>10146.31</v>
      </c>
      <c r="L105" s="205">
        <v>7</v>
      </c>
      <c r="M105" s="26">
        <f t="shared" si="5"/>
        <v>10146.31</v>
      </c>
      <c r="N105" s="30">
        <v>10146.31</v>
      </c>
      <c r="O105" s="241"/>
      <c r="P105" s="214">
        <v>11</v>
      </c>
      <c r="Q105" s="30">
        <v>49430.98</v>
      </c>
      <c r="R105" s="205">
        <v>11</v>
      </c>
      <c r="S105" s="26">
        <f t="shared" si="7"/>
        <v>49430.98</v>
      </c>
      <c r="T105" s="30">
        <v>49430.98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5</v>
      </c>
      <c r="I106" s="286">
        <v>3</v>
      </c>
      <c r="J106" s="286">
        <v>3</v>
      </c>
      <c r="K106" s="287">
        <v>6915.6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40"/>
      <c r="S106" s="39">
        <f t="shared" si="7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4</v>
      </c>
      <c r="Q107" s="65">
        <v>32263.11</v>
      </c>
      <c r="R107" s="224">
        <v>1</v>
      </c>
      <c r="S107" s="50">
        <f t="shared" si="7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40"/>
      <c r="M108" s="39">
        <f t="shared" si="5"/>
        <v>0</v>
      </c>
      <c r="N108" s="39"/>
      <c r="O108" s="41"/>
      <c r="P108" s="59"/>
      <c r="Q108" s="39"/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5</v>
      </c>
      <c r="M109" s="50">
        <f t="shared" si="5"/>
        <v>8143.62</v>
      </c>
      <c r="N109" s="65">
        <v>8143.62</v>
      </c>
      <c r="O109" s="225"/>
      <c r="P109" s="108">
        <v>9</v>
      </c>
      <c r="Q109" s="65">
        <v>19656.830000000002</v>
      </c>
      <c r="R109" s="224">
        <v>9</v>
      </c>
      <c r="S109" s="50">
        <f t="shared" si="7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3</v>
      </c>
      <c r="M110" s="50">
        <f t="shared" si="5"/>
        <v>3733.7999999999997</v>
      </c>
      <c r="N110" s="43">
        <f>1290.6+1152.6+1290.6</f>
        <v>3733.7999999999997</v>
      </c>
      <c r="O110" s="41"/>
      <c r="P110" s="113">
        <v>2</v>
      </c>
      <c r="Q110" s="114">
        <v>8007.8</v>
      </c>
      <c r="R110" s="270">
        <v>3</v>
      </c>
      <c r="S110" s="43">
        <f t="shared" si="7"/>
        <v>12810.6</v>
      </c>
      <c r="T110" s="114">
        <f>4358.2+3649.9+4802.5</f>
        <v>12810.6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5"/>
        <v>3538.71</v>
      </c>
      <c r="N111" s="30">
        <v>3538.71</v>
      </c>
      <c r="O111" s="225"/>
      <c r="P111" s="53">
        <v>5</v>
      </c>
      <c r="Q111" s="30">
        <v>7208.15</v>
      </c>
      <c r="R111" s="205">
        <v>5</v>
      </c>
      <c r="S111" s="26">
        <f t="shared" si="7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285">
        <v>2</v>
      </c>
      <c r="M112" s="39">
        <f t="shared" si="5"/>
        <v>4934.5</v>
      </c>
      <c r="N112" s="39">
        <f>1580.8+3353.7</f>
        <v>4934.5</v>
      </c>
      <c r="O112" s="41"/>
      <c r="P112" s="115">
        <v>1</v>
      </c>
      <c r="Q112" s="68">
        <v>1377.7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10</v>
      </c>
      <c r="I113" s="203">
        <v>7</v>
      </c>
      <c r="J113" s="203">
        <v>7</v>
      </c>
      <c r="K113" s="65">
        <v>17655</v>
      </c>
      <c r="L113" s="224">
        <v>5</v>
      </c>
      <c r="M113" s="50">
        <f t="shared" si="5"/>
        <v>10662.56</v>
      </c>
      <c r="N113" s="65">
        <v>10662.56</v>
      </c>
      <c r="O113" s="225"/>
      <c r="P113" s="108">
        <v>18</v>
      </c>
      <c r="Q113" s="65">
        <v>49334.39</v>
      </c>
      <c r="R113" s="224">
        <v>11</v>
      </c>
      <c r="S113" s="50">
        <f t="shared" si="7"/>
        <v>36822.959999999999</v>
      </c>
      <c r="T113" s="65">
        <v>36822.959999999999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5</v>
      </c>
      <c r="I115" s="62">
        <v>4</v>
      </c>
      <c r="J115" s="62">
        <v>4</v>
      </c>
      <c r="K115" s="30">
        <v>3730.31</v>
      </c>
      <c r="L115" s="205">
        <v>3</v>
      </c>
      <c r="M115" s="26">
        <f t="shared" si="5"/>
        <v>3154.01</v>
      </c>
      <c r="N115" s="30">
        <v>3154.01</v>
      </c>
      <c r="O115" s="31"/>
      <c r="P115" s="53">
        <v>9</v>
      </c>
      <c r="Q115" s="30">
        <v>62029.02</v>
      </c>
      <c r="R115" s="205">
        <v>8</v>
      </c>
      <c r="S115" s="26">
        <f t="shared" si="7"/>
        <v>61606.400000000001</v>
      </c>
      <c r="T115" s="30">
        <v>61606.400000000001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3</v>
      </c>
      <c r="I116" s="57"/>
      <c r="J116" s="57"/>
      <c r="K116" s="43"/>
      <c r="L116" s="44"/>
      <c r="M116" s="43">
        <f t="shared" si="5"/>
        <v>0</v>
      </c>
      <c r="N116" s="43"/>
      <c r="O116" s="41"/>
      <c r="P116" s="113">
        <v>2</v>
      </c>
      <c r="Q116" s="114">
        <v>2881.5</v>
      </c>
      <c r="R116" s="270">
        <v>2</v>
      </c>
      <c r="S116" s="43">
        <f t="shared" si="7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9</v>
      </c>
      <c r="I117" s="62">
        <v>7</v>
      </c>
      <c r="J117" s="62">
        <v>7</v>
      </c>
      <c r="K117" s="30">
        <v>7494.45</v>
      </c>
      <c r="L117" s="205">
        <v>3</v>
      </c>
      <c r="M117" s="26">
        <f t="shared" si="5"/>
        <v>2714.37</v>
      </c>
      <c r="N117" s="30">
        <v>2714.37</v>
      </c>
      <c r="O117" s="31"/>
      <c r="P117" s="53">
        <v>7</v>
      </c>
      <c r="Q117" s="30">
        <v>28154.06</v>
      </c>
      <c r="R117" s="205">
        <v>7</v>
      </c>
      <c r="S117" s="26">
        <f t="shared" si="7"/>
        <v>28154.06</v>
      </c>
      <c r="T117" s="30">
        <v>28154.06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40"/>
      <c r="M119" s="39">
        <f t="shared" si="5"/>
        <v>0</v>
      </c>
      <c r="N119" s="39"/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1</v>
      </c>
      <c r="K120" s="65">
        <v>1267.8599999999999</v>
      </c>
      <c r="L120" s="224">
        <v>1</v>
      </c>
      <c r="M120" s="50">
        <f t="shared" si="5"/>
        <v>1267.8599999999999</v>
      </c>
      <c r="N120" s="65">
        <v>1267.8599999999999</v>
      </c>
      <c r="O120" s="31"/>
      <c r="P120" s="108">
        <v>4</v>
      </c>
      <c r="Q120" s="65">
        <v>10383.700000000001</v>
      </c>
      <c r="R120" s="224">
        <v>3</v>
      </c>
      <c r="S120" s="50">
        <f t="shared" si="7"/>
        <v>9678.9</v>
      </c>
      <c r="T120" s="65">
        <v>9678.9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5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4</v>
      </c>
      <c r="I122" s="62">
        <v>3</v>
      </c>
      <c r="J122" s="62">
        <v>4</v>
      </c>
      <c r="K122" s="30">
        <v>4102.0200000000004</v>
      </c>
      <c r="L122" s="205">
        <v>2</v>
      </c>
      <c r="M122" s="26">
        <f t="shared" si="5"/>
        <v>1719.3</v>
      </c>
      <c r="N122" s="30">
        <v>1719.3</v>
      </c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5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11</v>
      </c>
      <c r="I124" s="62">
        <v>9</v>
      </c>
      <c r="J124" s="62">
        <v>14</v>
      </c>
      <c r="K124" s="30">
        <v>21067.56</v>
      </c>
      <c r="L124" s="205">
        <v>9</v>
      </c>
      <c r="M124" s="26">
        <f t="shared" si="5"/>
        <v>11503.24</v>
      </c>
      <c r="N124" s="30">
        <v>11503.24</v>
      </c>
      <c r="O124" s="225"/>
      <c r="P124" s="53">
        <v>10</v>
      </c>
      <c r="Q124" s="30">
        <v>26937.9</v>
      </c>
      <c r="R124" s="205">
        <v>9</v>
      </c>
      <c r="S124" s="26">
        <f t="shared" si="7"/>
        <v>22270.76</v>
      </c>
      <c r="T124" s="30">
        <v>22270.76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2</v>
      </c>
      <c r="J125" s="130">
        <v>2</v>
      </c>
      <c r="K125" s="114">
        <v>2497.3000000000002</v>
      </c>
      <c r="L125" s="44"/>
      <c r="M125" s="43">
        <f t="shared" si="5"/>
        <v>1152.5999999999999</v>
      </c>
      <c r="N125" s="43">
        <f>1152.6</f>
        <v>1152.5999999999999</v>
      </c>
      <c r="O125" s="45"/>
      <c r="P125" s="113">
        <v>2</v>
      </c>
      <c r="Q125" s="114">
        <v>5186.7</v>
      </c>
      <c r="R125" s="44"/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5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5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6</v>
      </c>
      <c r="I128" s="62">
        <v>3</v>
      </c>
      <c r="J128" s="62">
        <v>4</v>
      </c>
      <c r="K128" s="30">
        <v>5120.59</v>
      </c>
      <c r="L128" s="205">
        <v>3</v>
      </c>
      <c r="M128" s="26">
        <f t="shared" si="5"/>
        <v>3189.98</v>
      </c>
      <c r="N128" s="30">
        <v>3189.98</v>
      </c>
      <c r="O128" s="243"/>
      <c r="P128" s="64">
        <v>4</v>
      </c>
      <c r="Q128" s="65">
        <v>11112.76</v>
      </c>
      <c r="R128" s="224">
        <v>2</v>
      </c>
      <c r="S128" s="50">
        <f t="shared" si="7"/>
        <v>3540.18</v>
      </c>
      <c r="T128" s="65">
        <v>3540.18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5"/>
        <v>0</v>
      </c>
      <c r="N129" s="39"/>
      <c r="O129" s="41"/>
      <c r="P129" s="67">
        <v>1</v>
      </c>
      <c r="Q129" s="68">
        <v>2305.1999999999998</v>
      </c>
      <c r="R129" s="40"/>
      <c r="S129" s="39">
        <f t="shared" si="7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12</v>
      </c>
      <c r="I130" s="203">
        <v>8</v>
      </c>
      <c r="J130" s="203">
        <v>9</v>
      </c>
      <c r="K130" s="65">
        <v>19906.349999999999</v>
      </c>
      <c r="L130" s="224">
        <v>5</v>
      </c>
      <c r="M130" s="50">
        <f t="shared" si="5"/>
        <v>13711.53</v>
      </c>
      <c r="N130" s="65">
        <v>13711.53</v>
      </c>
      <c r="O130" s="225"/>
      <c r="P130" s="108">
        <v>25</v>
      </c>
      <c r="Q130" s="65">
        <v>93722.79</v>
      </c>
      <c r="R130" s="224">
        <v>18</v>
      </c>
      <c r="S130" s="50">
        <f t="shared" si="7"/>
        <v>59334.53</v>
      </c>
      <c r="T130" s="65">
        <v>59334.53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5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9</v>
      </c>
      <c r="I132" s="62">
        <v>1</v>
      </c>
      <c r="J132" s="62">
        <v>1</v>
      </c>
      <c r="K132" s="30">
        <v>1405.21</v>
      </c>
      <c r="L132" s="27"/>
      <c r="M132" s="26">
        <f t="shared" si="5"/>
        <v>0</v>
      </c>
      <c r="N132" s="26"/>
      <c r="O132" s="31"/>
      <c r="P132" s="53">
        <v>13</v>
      </c>
      <c r="Q132" s="30">
        <v>46879.51</v>
      </c>
      <c r="R132" s="205">
        <v>12</v>
      </c>
      <c r="S132" s="26">
        <f t="shared" si="7"/>
        <v>46294.31</v>
      </c>
      <c r="T132" s="30">
        <v>46294.31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5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12</v>
      </c>
      <c r="I134" s="62">
        <v>5</v>
      </c>
      <c r="J134" s="62">
        <v>5</v>
      </c>
      <c r="K134" s="30">
        <v>6628.44</v>
      </c>
      <c r="L134" s="205">
        <v>3</v>
      </c>
      <c r="M134" s="26">
        <f t="shared" si="5"/>
        <v>2221.61</v>
      </c>
      <c r="N134" s="30">
        <v>2221.61</v>
      </c>
      <c r="O134" s="31"/>
      <c r="P134" s="53">
        <v>24</v>
      </c>
      <c r="Q134" s="30">
        <v>39369.230000000003</v>
      </c>
      <c r="R134" s="205">
        <v>24</v>
      </c>
      <c r="S134" s="26">
        <f t="shared" si="7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3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5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5"/>
        <v>0</v>
      </c>
      <c r="N136" s="26"/>
      <c r="O136" s="28"/>
      <c r="P136" s="214"/>
      <c r="Q136" s="30"/>
      <c r="R136" s="205"/>
      <c r="S136" s="26">
        <f t="shared" ref="S136:S149" si="8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5"/>
        <v>0</v>
      </c>
      <c r="N137" s="39"/>
      <c r="O137" s="41"/>
      <c r="P137" s="217"/>
      <c r="Q137" s="68"/>
      <c r="R137" s="285"/>
      <c r="S137" s="39">
        <f t="shared" si="8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16</v>
      </c>
      <c r="I138" s="266">
        <v>14</v>
      </c>
      <c r="J138" s="266">
        <v>19</v>
      </c>
      <c r="K138" s="79">
        <v>30833.119999999999</v>
      </c>
      <c r="L138" s="268">
        <v>7</v>
      </c>
      <c r="M138" s="81">
        <f t="shared" si="5"/>
        <v>9796.43</v>
      </c>
      <c r="N138" s="79">
        <v>9796.43</v>
      </c>
      <c r="O138" s="269"/>
      <c r="P138" s="267">
        <v>15</v>
      </c>
      <c r="Q138" s="79">
        <v>74080.17</v>
      </c>
      <c r="R138" s="268">
        <v>14</v>
      </c>
      <c r="S138" s="81">
        <f t="shared" si="8"/>
        <v>68482.759999999995</v>
      </c>
      <c r="T138" s="79">
        <v>68482.759999999995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5"/>
        <v>0</v>
      </c>
      <c r="N139" s="39"/>
      <c r="O139" s="41"/>
      <c r="P139" s="59"/>
      <c r="Q139" s="39"/>
      <c r="R139" s="40"/>
      <c r="S139" s="39">
        <f t="shared" si="8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12</v>
      </c>
      <c r="I140" s="203">
        <v>5</v>
      </c>
      <c r="J140" s="203">
        <v>7</v>
      </c>
      <c r="K140" s="65">
        <v>11288.37</v>
      </c>
      <c r="L140" s="224">
        <v>6</v>
      </c>
      <c r="M140" s="50">
        <f t="shared" si="5"/>
        <v>11288.37</v>
      </c>
      <c r="N140" s="65">
        <v>11288.37</v>
      </c>
      <c r="O140" s="225"/>
      <c r="P140" s="108">
        <v>46</v>
      </c>
      <c r="Q140" s="65">
        <v>278048.76</v>
      </c>
      <c r="R140" s="224">
        <v>43</v>
      </c>
      <c r="S140" s="50">
        <f t="shared" si="8"/>
        <v>253338.63</v>
      </c>
      <c r="T140" s="65">
        <v>253338.63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5"/>
        <v>0</v>
      </c>
      <c r="N141" s="129"/>
      <c r="O141" s="45"/>
      <c r="P141" s="156"/>
      <c r="Q141" s="129"/>
      <c r="R141" s="128"/>
      <c r="S141" s="129">
        <f t="shared" si="8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5"/>
        <v>0</v>
      </c>
      <c r="N142" s="43"/>
      <c r="O142" s="41"/>
      <c r="P142" s="113">
        <v>2</v>
      </c>
      <c r="Q142" s="114">
        <v>6912.6</v>
      </c>
      <c r="R142" s="270">
        <v>2</v>
      </c>
      <c r="S142" s="43">
        <f t="shared" si="8"/>
        <v>6531.4</v>
      </c>
      <c r="T142" s="114">
        <f>2305.2+4226.2</f>
        <v>6531.4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2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5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8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5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8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7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5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8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5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8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5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8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5"/>
        <v>0</v>
      </c>
      <c r="N148" s="43"/>
      <c r="O148" s="41"/>
      <c r="P148" s="103"/>
      <c r="Q148" s="43"/>
      <c r="R148" s="44"/>
      <c r="S148" s="43">
        <f t="shared" si="8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62">
        <v>1</v>
      </c>
      <c r="J149" s="62">
        <v>1</v>
      </c>
      <c r="K149" s="30">
        <v>1854.88</v>
      </c>
      <c r="L149" s="205">
        <v>1</v>
      </c>
      <c r="M149" s="26">
        <f t="shared" si="5"/>
        <v>1854.88</v>
      </c>
      <c r="N149" s="30">
        <v>1854.88</v>
      </c>
      <c r="O149" s="31"/>
      <c r="P149" s="53">
        <v>4</v>
      </c>
      <c r="Q149" s="30">
        <v>22885.21</v>
      </c>
      <c r="R149" s="205">
        <v>3</v>
      </c>
      <c r="S149" s="26">
        <f t="shared" si="8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5"/>
        <v>1728.9</v>
      </c>
      <c r="N150" s="114">
        <v>1728.9</v>
      </c>
      <c r="O150" s="234"/>
      <c r="P150" s="113">
        <v>3</v>
      </c>
      <c r="Q150" s="114">
        <v>7539.8</v>
      </c>
      <c r="R150" s="270">
        <v>1</v>
      </c>
      <c r="S150" s="114">
        <v>3457.8</v>
      </c>
      <c r="T150" s="114">
        <v>3457.8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9</v>
      </c>
      <c r="I151" s="62">
        <v>7</v>
      </c>
      <c r="J151" s="62">
        <v>8</v>
      </c>
      <c r="K151" s="30">
        <v>9587.24</v>
      </c>
      <c r="L151" s="205">
        <v>7</v>
      </c>
      <c r="M151" s="26">
        <f t="shared" si="5"/>
        <v>7882.16</v>
      </c>
      <c r="N151" s="30">
        <v>7882.16</v>
      </c>
      <c r="O151" s="225"/>
      <c r="P151" s="53">
        <v>12</v>
      </c>
      <c r="Q151" s="30">
        <v>45972.74</v>
      </c>
      <c r="R151" s="205">
        <v>10</v>
      </c>
      <c r="S151" s="26">
        <f t="shared" ref="S151:S183" si="9">T151+U151</f>
        <v>30631.77</v>
      </c>
      <c r="T151" s="30">
        <v>30631.77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5"/>
        <v>0</v>
      </c>
      <c r="N152" s="129"/>
      <c r="O152" s="45"/>
      <c r="P152" s="238">
        <v>7</v>
      </c>
      <c r="Q152" s="239">
        <v>11775.73</v>
      </c>
      <c r="R152" s="316">
        <v>6</v>
      </c>
      <c r="S152" s="129">
        <f t="shared" si="9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5"/>
        <v>0</v>
      </c>
      <c r="N153" s="43"/>
      <c r="O153" s="41"/>
      <c r="P153" s="103"/>
      <c r="Q153" s="43"/>
      <c r="R153" s="44"/>
      <c r="S153" s="43">
        <f t="shared" si="9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9</v>
      </c>
      <c r="I154" s="25"/>
      <c r="J154" s="25"/>
      <c r="K154" s="26"/>
      <c r="L154" s="27"/>
      <c r="M154" s="26">
        <f t="shared" si="5"/>
        <v>0</v>
      </c>
      <c r="N154" s="26"/>
      <c r="O154" s="31"/>
      <c r="P154" s="99"/>
      <c r="Q154" s="26"/>
      <c r="R154" s="27"/>
      <c r="S154" s="26">
        <f t="shared" si="9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5"/>
        <v>0</v>
      </c>
      <c r="N155" s="39"/>
      <c r="O155" s="41"/>
      <c r="P155" s="59"/>
      <c r="Q155" s="39"/>
      <c r="R155" s="40"/>
      <c r="S155" s="39">
        <f t="shared" si="9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8</v>
      </c>
      <c r="I156" s="203">
        <v>5</v>
      </c>
      <c r="J156" s="203">
        <v>5</v>
      </c>
      <c r="K156" s="65">
        <v>7140.36</v>
      </c>
      <c r="L156" s="224">
        <v>3</v>
      </c>
      <c r="M156" s="50">
        <f t="shared" si="5"/>
        <v>6564.06</v>
      </c>
      <c r="N156" s="65">
        <v>6564.06</v>
      </c>
      <c r="O156" s="225"/>
      <c r="P156" s="108">
        <v>5</v>
      </c>
      <c r="Q156" s="65">
        <v>27150.720000000001</v>
      </c>
      <c r="R156" s="224">
        <v>5</v>
      </c>
      <c r="S156" s="50">
        <f t="shared" si="9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8</v>
      </c>
      <c r="I157" s="246">
        <v>2</v>
      </c>
      <c r="J157" s="246">
        <v>2</v>
      </c>
      <c r="K157" s="158">
        <v>4226.2</v>
      </c>
      <c r="L157" s="143"/>
      <c r="M157" s="142">
        <f t="shared" si="5"/>
        <v>0</v>
      </c>
      <c r="N157" s="142"/>
      <c r="O157" s="45"/>
      <c r="P157" s="157">
        <v>4</v>
      </c>
      <c r="Q157" s="158">
        <v>8625.2900000000009</v>
      </c>
      <c r="R157" s="224">
        <v>5</v>
      </c>
      <c r="S157" s="50">
        <f t="shared" si="9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5"/>
        <v>0</v>
      </c>
      <c r="N158" s="43"/>
      <c r="O158" s="41"/>
      <c r="P158" s="103"/>
      <c r="Q158" s="43"/>
      <c r="R158" s="44"/>
      <c r="S158" s="43">
        <f t="shared" si="9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9</v>
      </c>
      <c r="I159" s="62">
        <v>5</v>
      </c>
      <c r="J159" s="62">
        <v>5</v>
      </c>
      <c r="K159" s="30">
        <v>8972.02</v>
      </c>
      <c r="L159" s="205">
        <v>3</v>
      </c>
      <c r="M159" s="26">
        <f t="shared" si="5"/>
        <v>3034.21</v>
      </c>
      <c r="N159" s="30">
        <v>3034.21</v>
      </c>
      <c r="O159" s="31"/>
      <c r="P159" s="53">
        <v>1</v>
      </c>
      <c r="Q159" s="30">
        <v>576.29999999999995</v>
      </c>
      <c r="R159" s="205">
        <v>1</v>
      </c>
      <c r="S159" s="26">
        <f t="shared" si="9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5</v>
      </c>
      <c r="I160" s="37">
        <v>1</v>
      </c>
      <c r="J160" s="37">
        <v>1</v>
      </c>
      <c r="K160" s="68">
        <v>576.29999999999995</v>
      </c>
      <c r="L160" s="40"/>
      <c r="M160" s="39">
        <f t="shared" si="5"/>
        <v>0</v>
      </c>
      <c r="N160" s="39"/>
      <c r="O160" s="41"/>
      <c r="P160" s="115">
        <v>2</v>
      </c>
      <c r="Q160" s="68">
        <v>3265.7</v>
      </c>
      <c r="R160" s="285">
        <v>2</v>
      </c>
      <c r="S160" s="39">
        <f t="shared" si="9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6</v>
      </c>
      <c r="I161" s="203">
        <v>4</v>
      </c>
      <c r="J161" s="203">
        <v>5</v>
      </c>
      <c r="K161" s="65">
        <v>12340.93</v>
      </c>
      <c r="L161" s="224">
        <v>3</v>
      </c>
      <c r="M161" s="50">
        <f t="shared" si="5"/>
        <v>7338.22</v>
      </c>
      <c r="N161" s="65">
        <v>7338.22</v>
      </c>
      <c r="O161" s="31"/>
      <c r="P161" s="108">
        <v>8</v>
      </c>
      <c r="Q161" s="65">
        <v>16335.71</v>
      </c>
      <c r="R161" s="224">
        <v>8</v>
      </c>
      <c r="S161" s="50">
        <f t="shared" si="9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2</v>
      </c>
      <c r="J162" s="130">
        <v>2</v>
      </c>
      <c r="K162" s="114">
        <v>3880.42</v>
      </c>
      <c r="L162" s="270">
        <v>3</v>
      </c>
      <c r="M162" s="43">
        <f t="shared" si="5"/>
        <v>5225.12</v>
      </c>
      <c r="N162" s="43">
        <f>3880.42+1344.7</f>
        <v>5225.12</v>
      </c>
      <c r="O162" s="41"/>
      <c r="P162" s="113">
        <v>5</v>
      </c>
      <c r="Q162" s="114">
        <v>11814.15</v>
      </c>
      <c r="R162" s="270">
        <v>3</v>
      </c>
      <c r="S162" s="43">
        <f t="shared" si="9"/>
        <v>7203.75</v>
      </c>
      <c r="T162" s="114">
        <f>4802.5+2401.25</f>
        <v>7203.75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14075.36</v>
      </c>
      <c r="L163" s="205">
        <v>4</v>
      </c>
      <c r="M163" s="26">
        <f t="shared" si="5"/>
        <v>11839.32</v>
      </c>
      <c r="N163" s="30">
        <v>11839.32</v>
      </c>
      <c r="O163" s="225"/>
      <c r="P163" s="53">
        <v>11</v>
      </c>
      <c r="Q163" s="30">
        <v>35731.35</v>
      </c>
      <c r="R163" s="205">
        <v>10</v>
      </c>
      <c r="S163" s="26">
        <f t="shared" si="9"/>
        <v>30369.15</v>
      </c>
      <c r="T163" s="30">
        <v>30369.15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5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9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5</v>
      </c>
      <c r="I165" s="62">
        <v>4</v>
      </c>
      <c r="J165" s="62">
        <v>4</v>
      </c>
      <c r="K165" s="30">
        <v>8539.0300000000007</v>
      </c>
      <c r="L165" s="205">
        <v>3</v>
      </c>
      <c r="M165" s="26">
        <f t="shared" si="5"/>
        <v>6561.17</v>
      </c>
      <c r="N165" s="30">
        <v>6561.17</v>
      </c>
      <c r="O165" s="159"/>
      <c r="P165" s="53">
        <v>3</v>
      </c>
      <c r="Q165" s="30">
        <v>20168.78</v>
      </c>
      <c r="R165" s="205">
        <v>3</v>
      </c>
      <c r="S165" s="26">
        <f t="shared" si="9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5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10"/>
      <c r="S166" s="211">
        <f t="shared" si="9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2</v>
      </c>
      <c r="I167" s="25"/>
      <c r="J167" s="25"/>
      <c r="K167" s="26"/>
      <c r="L167" s="27"/>
      <c r="M167" s="26">
        <f t="shared" si="5"/>
        <v>0</v>
      </c>
      <c r="N167" s="26"/>
      <c r="O167" s="28"/>
      <c r="P167" s="214"/>
      <c r="Q167" s="30"/>
      <c r="R167" s="205"/>
      <c r="S167" s="26">
        <f t="shared" si="9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5"/>
        <v>0</v>
      </c>
      <c r="N168" s="39"/>
      <c r="O168" s="41"/>
      <c r="P168" s="217"/>
      <c r="Q168" s="68"/>
      <c r="R168" s="285"/>
      <c r="S168" s="39">
        <f t="shared" si="9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5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9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5"/>
        <v>0</v>
      </c>
      <c r="N170" s="43"/>
      <c r="O170" s="45"/>
      <c r="P170" s="103"/>
      <c r="Q170" s="43"/>
      <c r="R170" s="44"/>
      <c r="S170" s="43">
        <f t="shared" si="9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5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9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5"/>
        <v>0</v>
      </c>
      <c r="N172" s="211"/>
      <c r="O172" s="212"/>
      <c r="P172" s="273"/>
      <c r="Q172" s="211"/>
      <c r="R172" s="210"/>
      <c r="S172" s="211">
        <f t="shared" si="9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5"/>
        <v>0</v>
      </c>
      <c r="N173" s="26"/>
      <c r="O173" s="28"/>
      <c r="P173" s="214"/>
      <c r="Q173" s="30"/>
      <c r="R173" s="205"/>
      <c r="S173" s="26">
        <f t="shared" si="9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5"/>
        <v>0</v>
      </c>
      <c r="N174" s="39"/>
      <c r="O174" s="41"/>
      <c r="P174" s="217"/>
      <c r="Q174" s="68"/>
      <c r="R174" s="285"/>
      <c r="S174" s="39">
        <f t="shared" si="9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2</v>
      </c>
      <c r="J175" s="266">
        <v>2</v>
      </c>
      <c r="K175" s="79">
        <v>2253.34</v>
      </c>
      <c r="L175" s="268">
        <v>2</v>
      </c>
      <c r="M175" s="81">
        <f t="shared" si="5"/>
        <v>2253.34</v>
      </c>
      <c r="N175" s="79">
        <v>2253.34</v>
      </c>
      <c r="O175" s="219"/>
      <c r="P175" s="267">
        <v>14</v>
      </c>
      <c r="Q175" s="79">
        <v>42391.839999999997</v>
      </c>
      <c r="R175" s="268">
        <v>14</v>
      </c>
      <c r="S175" s="81">
        <f t="shared" si="9"/>
        <v>42391.839999999997</v>
      </c>
      <c r="T175" s="79">
        <v>42391.839999999997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1</v>
      </c>
      <c r="J176" s="130">
        <v>1</v>
      </c>
      <c r="K176" s="114">
        <v>2497.3000000000002</v>
      </c>
      <c r="L176" s="316">
        <v>1</v>
      </c>
      <c r="M176" s="50">
        <f t="shared" si="5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3</v>
      </c>
      <c r="S176" s="43">
        <f t="shared" si="9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7</v>
      </c>
      <c r="I177" s="62">
        <v>3</v>
      </c>
      <c r="J177" s="62">
        <v>3</v>
      </c>
      <c r="K177" s="30">
        <v>5755.32</v>
      </c>
      <c r="L177" s="205">
        <v>3</v>
      </c>
      <c r="M177" s="26">
        <f t="shared" si="5"/>
        <v>5755.32</v>
      </c>
      <c r="N177" s="30">
        <v>5755.32</v>
      </c>
      <c r="O177" s="225"/>
      <c r="P177" s="53">
        <v>10</v>
      </c>
      <c r="Q177" s="30">
        <v>32403.07</v>
      </c>
      <c r="R177" s="205">
        <v>9</v>
      </c>
      <c r="S177" s="26">
        <f t="shared" si="9"/>
        <v>29348.55</v>
      </c>
      <c r="T177" s="30">
        <v>29348.55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5"/>
        <v>0</v>
      </c>
      <c r="N178" s="43"/>
      <c r="O178" s="41"/>
      <c r="P178" s="115">
        <v>5</v>
      </c>
      <c r="Q178" s="68">
        <v>19344.47</v>
      </c>
      <c r="R178" s="40"/>
      <c r="S178" s="39">
        <f t="shared" si="9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14</v>
      </c>
      <c r="I179" s="62">
        <v>10</v>
      </c>
      <c r="J179" s="204">
        <v>11</v>
      </c>
      <c r="K179" s="30">
        <v>18139.990000000002</v>
      </c>
      <c r="L179" s="205">
        <v>11</v>
      </c>
      <c r="M179" s="26">
        <f t="shared" si="5"/>
        <v>18139.990000000002</v>
      </c>
      <c r="N179" s="30">
        <v>18139.990000000002</v>
      </c>
      <c r="O179" s="225"/>
      <c r="P179" s="108">
        <v>21</v>
      </c>
      <c r="Q179" s="65">
        <v>60276.03</v>
      </c>
      <c r="R179" s="224">
        <v>20</v>
      </c>
      <c r="S179" s="50">
        <f t="shared" si="9"/>
        <v>58682.48</v>
      </c>
      <c r="T179" s="65">
        <v>58682.48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5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9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25"/>
      <c r="J181" s="25"/>
      <c r="K181" s="162"/>
      <c r="L181" s="163"/>
      <c r="M181" s="162">
        <f t="shared" si="5"/>
        <v>0</v>
      </c>
      <c r="N181" s="162"/>
      <c r="O181" s="28"/>
      <c r="P181" s="275"/>
      <c r="Q181" s="26"/>
      <c r="R181" s="27"/>
      <c r="S181" s="26">
        <f t="shared" si="9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5"/>
        <v>0</v>
      </c>
      <c r="N182" s="164"/>
      <c r="O182" s="41"/>
      <c r="P182" s="276"/>
      <c r="Q182" s="39"/>
      <c r="R182" s="40"/>
      <c r="S182" s="39">
        <f t="shared" si="9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5"/>
        <v>0</v>
      </c>
      <c r="N183" s="293"/>
      <c r="O183" s="82"/>
      <c r="P183" s="295"/>
      <c r="Q183" s="81"/>
      <c r="R183" s="80"/>
      <c r="S183" s="81">
        <f t="shared" si="9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5"/>
        <v>0</v>
      </c>
      <c r="N184" s="164"/>
      <c r="O184" s="41"/>
      <c r="P184" s="67">
        <v>4</v>
      </c>
      <c r="Q184" s="68">
        <v>19199.810000000001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10</v>
      </c>
      <c r="I185" s="203">
        <v>8</v>
      </c>
      <c r="J185" s="203">
        <v>11</v>
      </c>
      <c r="K185" s="242">
        <v>27608.02</v>
      </c>
      <c r="L185" s="320">
        <v>9</v>
      </c>
      <c r="M185" s="166">
        <f t="shared" si="5"/>
        <v>20143.900000000001</v>
      </c>
      <c r="N185" s="242">
        <v>20143.900000000001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0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5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10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3</v>
      </c>
      <c r="J187" s="62">
        <v>3</v>
      </c>
      <c r="K187" s="30">
        <v>4497.1000000000004</v>
      </c>
      <c r="L187" s="205">
        <v>3</v>
      </c>
      <c r="M187" s="26">
        <f t="shared" si="5"/>
        <v>4497.1000000000004</v>
      </c>
      <c r="N187" s="30">
        <v>4497.1000000000004</v>
      </c>
      <c r="O187" s="31"/>
      <c r="P187" s="53">
        <v>7</v>
      </c>
      <c r="Q187" s="30">
        <v>16748.509999999998</v>
      </c>
      <c r="R187" s="205">
        <v>7</v>
      </c>
      <c r="S187" s="26">
        <f t="shared" si="10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5"/>
        <v>0</v>
      </c>
      <c r="N188" s="39"/>
      <c r="O188" s="41"/>
      <c r="P188" s="59"/>
      <c r="Q188" s="39"/>
      <c r="R188" s="40"/>
      <c r="S188" s="39">
        <f t="shared" si="10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5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0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5"/>
        <v>0</v>
      </c>
      <c r="N190" s="43"/>
      <c r="O190" s="41"/>
      <c r="P190" s="103"/>
      <c r="Q190" s="43"/>
      <c r="R190" s="44"/>
      <c r="S190" s="43">
        <f t="shared" si="10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5"/>
        <v>0</v>
      </c>
      <c r="N191" s="26"/>
      <c r="O191" s="31"/>
      <c r="P191" s="120"/>
      <c r="Q191" s="26"/>
      <c r="R191" s="27"/>
      <c r="S191" s="26">
        <f t="shared" si="10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5"/>
        <v>0</v>
      </c>
      <c r="N192" s="39"/>
      <c r="O192" s="41"/>
      <c r="P192" s="69"/>
      <c r="Q192" s="39"/>
      <c r="R192" s="40"/>
      <c r="S192" s="39">
        <f t="shared" si="10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6</v>
      </c>
      <c r="M193" s="50">
        <f t="shared" si="5"/>
        <v>11123.36</v>
      </c>
      <c r="N193" s="65">
        <v>11123.36</v>
      </c>
      <c r="O193" s="225"/>
      <c r="P193" s="108">
        <v>8</v>
      </c>
      <c r="Q193" s="65">
        <v>20431.349999999999</v>
      </c>
      <c r="R193" s="224">
        <v>7</v>
      </c>
      <c r="S193" s="50">
        <f t="shared" si="10"/>
        <v>14878.93</v>
      </c>
      <c r="T193" s="65">
        <v>14878.93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1</v>
      </c>
      <c r="J194" s="37">
        <v>1</v>
      </c>
      <c r="K194" s="68">
        <v>1921</v>
      </c>
      <c r="L194" s="40"/>
      <c r="M194" s="39">
        <f t="shared" si="5"/>
        <v>0</v>
      </c>
      <c r="N194" s="39"/>
      <c r="O194" s="41"/>
      <c r="P194" s="59"/>
      <c r="Q194" s="39"/>
      <c r="R194" s="40"/>
      <c r="S194" s="39">
        <f t="shared" si="10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15</v>
      </c>
      <c r="I195" s="203">
        <v>11</v>
      </c>
      <c r="J195" s="203">
        <v>14</v>
      </c>
      <c r="K195" s="65">
        <v>24813.84</v>
      </c>
      <c r="L195" s="224">
        <v>12</v>
      </c>
      <c r="M195" s="50">
        <f t="shared" si="5"/>
        <v>20574.29</v>
      </c>
      <c r="N195" s="65">
        <v>20574.29</v>
      </c>
      <c r="O195" s="225"/>
      <c r="P195" s="108">
        <v>24</v>
      </c>
      <c r="Q195" s="65">
        <v>38241.53</v>
      </c>
      <c r="R195" s="224">
        <v>23</v>
      </c>
      <c r="S195" s="50">
        <f t="shared" si="10"/>
        <v>37107.68</v>
      </c>
      <c r="T195" s="65">
        <v>37107.68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4</v>
      </c>
      <c r="I196" s="130">
        <v>2</v>
      </c>
      <c r="J196" s="130">
        <v>2</v>
      </c>
      <c r="K196" s="114">
        <v>2401.25</v>
      </c>
      <c r="L196" s="316">
        <v>1</v>
      </c>
      <c r="M196" s="50">
        <f t="shared" si="5"/>
        <v>1056.55</v>
      </c>
      <c r="N196" s="43">
        <f>1056.55</f>
        <v>1056.55</v>
      </c>
      <c r="O196" s="41"/>
      <c r="P196" s="113">
        <v>3</v>
      </c>
      <c r="Q196" s="114">
        <v>5551.69</v>
      </c>
      <c r="R196" s="270">
        <v>3</v>
      </c>
      <c r="S196" s="43">
        <f t="shared" si="10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7</v>
      </c>
      <c r="I197" s="25"/>
      <c r="J197" s="25"/>
      <c r="K197" s="26"/>
      <c r="L197" s="27"/>
      <c r="M197" s="26">
        <f t="shared" si="5"/>
        <v>0</v>
      </c>
      <c r="N197" s="26"/>
      <c r="O197" s="31"/>
      <c r="P197" s="53">
        <v>3</v>
      </c>
      <c r="Q197" s="30">
        <v>8280.19</v>
      </c>
      <c r="R197" s="27"/>
      <c r="S197" s="26">
        <f t="shared" si="10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5"/>
        <v>0</v>
      </c>
      <c r="N198" s="39"/>
      <c r="O198" s="41"/>
      <c r="P198" s="59"/>
      <c r="Q198" s="39"/>
      <c r="R198" s="40"/>
      <c r="S198" s="39">
        <f t="shared" si="10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5"/>
        <v>0</v>
      </c>
      <c r="N199" s="50"/>
      <c r="O199" s="31"/>
      <c r="P199" s="123"/>
      <c r="Q199" s="50"/>
      <c r="R199" s="51"/>
      <c r="S199" s="50">
        <f t="shared" si="10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5"/>
        <v>0</v>
      </c>
      <c r="N200" s="50"/>
      <c r="O200" s="45"/>
      <c r="P200" s="123"/>
      <c r="Q200" s="50"/>
      <c r="R200" s="51"/>
      <c r="S200" s="50">
        <f t="shared" si="10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5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10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5"/>
        <v>0</v>
      </c>
      <c r="N202" s="26"/>
      <c r="O202" s="31"/>
      <c r="P202" s="99"/>
      <c r="Q202" s="26"/>
      <c r="R202" s="27"/>
      <c r="S202" s="26">
        <f t="shared" si="10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5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10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5"/>
        <v>0</v>
      </c>
      <c r="N204" s="26"/>
      <c r="O204" s="31"/>
      <c r="P204" s="99"/>
      <c r="Q204" s="26"/>
      <c r="R204" s="27"/>
      <c r="S204" s="26">
        <f t="shared" si="10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5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98"/>
      <c r="I206" s="49"/>
      <c r="J206" s="49"/>
      <c r="K206" s="50"/>
      <c r="L206" s="51"/>
      <c r="M206" s="50">
        <f t="shared" si="5"/>
        <v>0</v>
      </c>
      <c r="N206" s="50"/>
      <c r="O206" s="31"/>
      <c r="P206" s="108">
        <v>3</v>
      </c>
      <c r="Q206" s="65">
        <v>12689.15</v>
      </c>
      <c r="R206" s="224">
        <v>3</v>
      </c>
      <c r="S206" s="50">
        <f t="shared" ref="S206:S220" si="11">T206+U206</f>
        <v>12689.15</v>
      </c>
      <c r="T206" s="65">
        <v>12689.15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5"/>
        <v>0</v>
      </c>
      <c r="N207" s="43"/>
      <c r="O207" s="45"/>
      <c r="P207" s="273"/>
      <c r="Q207" s="211"/>
      <c r="R207" s="210"/>
      <c r="S207" s="211">
        <f t="shared" si="11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3</v>
      </c>
      <c r="I208" s="62">
        <v>2</v>
      </c>
      <c r="J208" s="62">
        <v>2</v>
      </c>
      <c r="K208" s="30">
        <v>1152.5999999999999</v>
      </c>
      <c r="L208" s="205">
        <v>1</v>
      </c>
      <c r="M208" s="26">
        <f t="shared" si="5"/>
        <v>576.29999999999995</v>
      </c>
      <c r="N208" s="30">
        <v>576.29999999999995</v>
      </c>
      <c r="O208" s="308"/>
      <c r="P208" s="99"/>
      <c r="Q208" s="26"/>
      <c r="R208" s="27"/>
      <c r="S208" s="26">
        <f t="shared" si="11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4</v>
      </c>
      <c r="I209" s="37"/>
      <c r="J209" s="37"/>
      <c r="K209" s="39"/>
      <c r="L209" s="285">
        <v>1</v>
      </c>
      <c r="M209" s="39">
        <f t="shared" si="5"/>
        <v>1985.09</v>
      </c>
      <c r="N209" s="39">
        <f>1985.09</f>
        <v>1985.09</v>
      </c>
      <c r="O209" s="309"/>
      <c r="P209" s="310">
        <v>5</v>
      </c>
      <c r="Q209" s="245">
        <v>21572.83</v>
      </c>
      <c r="R209" s="40"/>
      <c r="S209" s="39">
        <f t="shared" si="11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5"/>
        <v>0</v>
      </c>
      <c r="N210" s="50"/>
      <c r="O210" s="31"/>
      <c r="P210" s="277"/>
      <c r="Q210" s="81"/>
      <c r="R210" s="80"/>
      <c r="S210" s="81">
        <f t="shared" si="11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5"/>
        <v>0</v>
      </c>
      <c r="N211" s="43"/>
      <c r="O211" s="41"/>
      <c r="P211" s="113">
        <v>1</v>
      </c>
      <c r="Q211" s="114">
        <v>3842</v>
      </c>
      <c r="R211" s="316">
        <v>1</v>
      </c>
      <c r="S211" s="50">
        <f t="shared" si="11"/>
        <v>3842</v>
      </c>
      <c r="T211" s="43">
        <f>3842</f>
        <v>3842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11</v>
      </c>
      <c r="I212" s="62">
        <v>6</v>
      </c>
      <c r="J212" s="62">
        <v>10</v>
      </c>
      <c r="K212" s="30">
        <v>22151.4</v>
      </c>
      <c r="L212" s="205">
        <v>10</v>
      </c>
      <c r="M212" s="26">
        <f t="shared" si="5"/>
        <v>22151.4</v>
      </c>
      <c r="N212" s="30">
        <v>22151.4</v>
      </c>
      <c r="O212" s="225"/>
      <c r="P212" s="53">
        <v>19</v>
      </c>
      <c r="Q212" s="30">
        <v>56697.56</v>
      </c>
      <c r="R212" s="205">
        <v>17</v>
      </c>
      <c r="S212" s="26">
        <f t="shared" si="11"/>
        <v>46159.82</v>
      </c>
      <c r="T212" s="30">
        <v>46159.82</v>
      </c>
      <c r="U212" s="225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5"/>
        <v>0</v>
      </c>
      <c r="N213" s="39"/>
      <c r="O213" s="41"/>
      <c r="P213" s="59"/>
      <c r="Q213" s="39"/>
      <c r="R213" s="40"/>
      <c r="S213" s="39">
        <f t="shared" si="11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3</v>
      </c>
      <c r="I214" s="49"/>
      <c r="J214" s="49"/>
      <c r="K214" s="50"/>
      <c r="L214" s="51"/>
      <c r="M214" s="50">
        <f t="shared" si="5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11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5"/>
        <v>0</v>
      </c>
      <c r="N215" s="43"/>
      <c r="O215" s="41"/>
      <c r="P215" s="113">
        <v>2</v>
      </c>
      <c r="Q215" s="114">
        <v>7299.8</v>
      </c>
      <c r="R215" s="44"/>
      <c r="S215" s="43">
        <f t="shared" si="1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16</v>
      </c>
      <c r="I216" s="62">
        <v>8</v>
      </c>
      <c r="J216" s="62">
        <v>8</v>
      </c>
      <c r="K216" s="30">
        <v>5106.5200000000004</v>
      </c>
      <c r="L216" s="205">
        <v>5</v>
      </c>
      <c r="M216" s="26">
        <f t="shared" si="5"/>
        <v>4097.9799999999996</v>
      </c>
      <c r="N216" s="30">
        <v>4097.9799999999996</v>
      </c>
      <c r="O216" s="225"/>
      <c r="P216" s="53">
        <v>27</v>
      </c>
      <c r="Q216" s="30">
        <v>36893.15</v>
      </c>
      <c r="R216" s="205">
        <v>25</v>
      </c>
      <c r="S216" s="26">
        <f t="shared" si="11"/>
        <v>36047.910000000003</v>
      </c>
      <c r="T216" s="30">
        <v>36047.910000000003</v>
      </c>
      <c r="U216" s="30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5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1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23</v>
      </c>
      <c r="I218" s="25"/>
      <c r="J218" s="25"/>
      <c r="K218" s="26"/>
      <c r="L218" s="27"/>
      <c r="M218" s="26">
        <f t="shared" si="5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1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8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5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1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12</v>
      </c>
      <c r="I220" s="203">
        <v>7</v>
      </c>
      <c r="J220" s="203">
        <v>8</v>
      </c>
      <c r="K220" s="65">
        <v>16934.2</v>
      </c>
      <c r="L220" s="224">
        <v>7</v>
      </c>
      <c r="M220" s="50">
        <f t="shared" si="5"/>
        <v>10361.719999999999</v>
      </c>
      <c r="N220" s="65">
        <v>10361.719999999999</v>
      </c>
      <c r="O220" s="225"/>
      <c r="P220" s="108">
        <v>17</v>
      </c>
      <c r="Q220" s="65">
        <v>54358.97</v>
      </c>
      <c r="R220" s="224">
        <v>17</v>
      </c>
      <c r="S220" s="50">
        <f t="shared" si="11"/>
        <v>54358.97</v>
      </c>
      <c r="T220" s="65">
        <v>54358.97</v>
      </c>
      <c r="U220" s="225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2</v>
      </c>
      <c r="I221" s="57"/>
      <c r="J221" s="57"/>
      <c r="K221" s="43"/>
      <c r="L221" s="44"/>
      <c r="M221" s="43">
        <f t="shared" si="5"/>
        <v>0</v>
      </c>
      <c r="N221" s="43"/>
      <c r="O221" s="41"/>
      <c r="P221" s="113">
        <v>6</v>
      </c>
      <c r="Q221" s="114">
        <v>32210.18</v>
      </c>
      <c r="R221" s="270">
        <v>5</v>
      </c>
      <c r="S221" s="114">
        <v>24781.439999999999</v>
      </c>
      <c r="T221" s="114">
        <v>24781.439999999999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05">
        <v>2</v>
      </c>
      <c r="M222" s="26">
        <f t="shared" si="5"/>
        <v>1185.45</v>
      </c>
      <c r="N222" s="30">
        <v>1185.45</v>
      </c>
      <c r="O222" s="225"/>
      <c r="P222" s="53">
        <v>14</v>
      </c>
      <c r="Q222" s="30">
        <v>45509.18</v>
      </c>
      <c r="R222" s="205">
        <v>13</v>
      </c>
      <c r="S222" s="26">
        <f t="shared" ref="S222:S225" si="12">T222+U222</f>
        <v>28989.79</v>
      </c>
      <c r="T222" s="30">
        <v>28989.79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5"/>
        <v>0</v>
      </c>
      <c r="N223" s="43"/>
      <c r="O223" s="41"/>
      <c r="P223" s="103"/>
      <c r="Q223" s="43"/>
      <c r="R223" s="44"/>
      <c r="S223" s="43">
        <f t="shared" si="12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2</v>
      </c>
      <c r="I224" s="25"/>
      <c r="J224" s="25"/>
      <c r="K224" s="26"/>
      <c r="L224" s="27"/>
      <c r="M224" s="26">
        <f t="shared" si="5"/>
        <v>0</v>
      </c>
      <c r="N224" s="26"/>
      <c r="O224" s="31"/>
      <c r="P224" s="120"/>
      <c r="Q224" s="26"/>
      <c r="R224" s="27"/>
      <c r="S224" s="26">
        <f t="shared" si="12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321"/>
      <c r="G225" s="252" t="s">
        <v>28</v>
      </c>
      <c r="H225" s="322"/>
      <c r="I225" s="139"/>
      <c r="J225" s="139"/>
      <c r="K225" s="142"/>
      <c r="L225" s="143"/>
      <c r="M225" s="142">
        <f t="shared" si="5"/>
        <v>0</v>
      </c>
      <c r="N225" s="142"/>
      <c r="O225" s="323"/>
      <c r="P225" s="324"/>
      <c r="Q225" s="142"/>
      <c r="R225" s="143"/>
      <c r="S225" s="142">
        <f t="shared" si="12"/>
        <v>0</v>
      </c>
      <c r="T225" s="142"/>
      <c r="U225" s="323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445</v>
      </c>
      <c r="C226" s="374"/>
      <c r="D226" s="374"/>
      <c r="E226" s="374"/>
      <c r="F226" s="72"/>
      <c r="G226" s="176" t="s">
        <v>24</v>
      </c>
      <c r="H226" s="265"/>
      <c r="I226" s="266"/>
      <c r="J226" s="96"/>
      <c r="K226" s="81"/>
      <c r="L226" s="80"/>
      <c r="M226" s="81"/>
      <c r="N226" s="81"/>
      <c r="O226" s="82"/>
      <c r="P226" s="295"/>
      <c r="Q226" s="81"/>
      <c r="R226" s="80"/>
      <c r="S226" s="81"/>
      <c r="T226" s="81"/>
      <c r="U226" s="8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6"/>
      <c r="G227" s="252" t="s">
        <v>28</v>
      </c>
      <c r="H227" s="302">
        <v>1</v>
      </c>
      <c r="I227" s="261"/>
      <c r="J227" s="261"/>
      <c r="K227" s="211"/>
      <c r="L227" s="210"/>
      <c r="M227" s="211"/>
      <c r="N227" s="211"/>
      <c r="O227" s="212"/>
      <c r="P227" s="284"/>
      <c r="Q227" s="211"/>
      <c r="R227" s="210"/>
      <c r="S227" s="211"/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179</v>
      </c>
      <c r="C228" s="374"/>
      <c r="D228" s="374"/>
      <c r="E228" s="374" t="s">
        <v>27</v>
      </c>
      <c r="F228" s="22"/>
      <c r="G228" s="176" t="s">
        <v>24</v>
      </c>
      <c r="H228" s="61">
        <v>2</v>
      </c>
      <c r="I228" s="25"/>
      <c r="J228" s="25"/>
      <c r="K228" s="26"/>
      <c r="L228" s="27"/>
      <c r="M228" s="26">
        <f t="shared" ref="M228:M281" si="13">N228+O228</f>
        <v>0</v>
      </c>
      <c r="N228" s="26"/>
      <c r="O228" s="28"/>
      <c r="P228" s="120"/>
      <c r="Q228" s="26"/>
      <c r="R228" s="27"/>
      <c r="S228" s="26">
        <f t="shared" ref="S228:S246" si="14">T228+U228</f>
        <v>0</v>
      </c>
      <c r="T228" s="26"/>
      <c r="U228" s="28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105"/>
      <c r="G229" s="229" t="s">
        <v>28</v>
      </c>
      <c r="H229" s="298"/>
      <c r="I229" s="261"/>
      <c r="J229" s="261"/>
      <c r="K229" s="211"/>
      <c r="L229" s="210"/>
      <c r="M229" s="211">
        <f t="shared" si="13"/>
        <v>0</v>
      </c>
      <c r="N229" s="211"/>
      <c r="O229" s="212"/>
      <c r="P229" s="284"/>
      <c r="Q229" s="211"/>
      <c r="R229" s="210"/>
      <c r="S229" s="211">
        <f t="shared" si="14"/>
        <v>0</v>
      </c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378</v>
      </c>
      <c r="C230" s="374" t="s">
        <v>46</v>
      </c>
      <c r="D230" s="374" t="s">
        <v>422</v>
      </c>
      <c r="E230" s="374" t="s">
        <v>27</v>
      </c>
      <c r="F230" s="232" t="s">
        <v>423</v>
      </c>
      <c r="G230" s="213" t="s">
        <v>24</v>
      </c>
      <c r="H230" s="61">
        <v>9</v>
      </c>
      <c r="I230" s="62">
        <v>4</v>
      </c>
      <c r="J230" s="62">
        <v>5</v>
      </c>
      <c r="K230" s="30">
        <v>5323.77</v>
      </c>
      <c r="L230" s="205">
        <v>4</v>
      </c>
      <c r="M230" s="26">
        <f t="shared" si="13"/>
        <v>4555.37</v>
      </c>
      <c r="N230" s="30">
        <v>4555.37</v>
      </c>
      <c r="O230" s="28"/>
      <c r="P230" s="214"/>
      <c r="Q230" s="30"/>
      <c r="R230" s="205"/>
      <c r="S230" s="26">
        <f t="shared" si="14"/>
        <v>0</v>
      </c>
      <c r="T230" s="30"/>
      <c r="U230" s="24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/>
      <c r="G231" s="215" t="s">
        <v>28</v>
      </c>
      <c r="H231" s="117">
        <v>5</v>
      </c>
      <c r="I231" s="37">
        <v>1</v>
      </c>
      <c r="J231" s="37">
        <v>1</v>
      </c>
      <c r="K231" s="68">
        <v>1152.5999999999999</v>
      </c>
      <c r="L231" s="40"/>
      <c r="M231" s="39">
        <f t="shared" si="13"/>
        <v>0</v>
      </c>
      <c r="N231" s="39"/>
      <c r="O231" s="41"/>
      <c r="P231" s="217"/>
      <c r="Q231" s="68"/>
      <c r="R231" s="285"/>
      <c r="S231" s="39">
        <f t="shared" si="14"/>
        <v>0</v>
      </c>
      <c r="T231" s="68"/>
      <c r="U231" s="23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6"/>
      <c r="B232" s="377" t="s">
        <v>180</v>
      </c>
      <c r="C232" s="377" t="s">
        <v>46</v>
      </c>
      <c r="D232" s="377" t="s">
        <v>181</v>
      </c>
      <c r="E232" s="377" t="s">
        <v>27</v>
      </c>
      <c r="F232" s="232" t="s">
        <v>228</v>
      </c>
      <c r="G232" s="95" t="s">
        <v>24</v>
      </c>
      <c r="H232" s="265">
        <v>9</v>
      </c>
      <c r="I232" s="266">
        <v>6</v>
      </c>
      <c r="J232" s="266">
        <v>7</v>
      </c>
      <c r="K232" s="79">
        <v>5186.71</v>
      </c>
      <c r="L232" s="268">
        <v>7</v>
      </c>
      <c r="M232" s="81">
        <f t="shared" si="13"/>
        <v>0</v>
      </c>
      <c r="N232" s="81"/>
      <c r="O232" s="219"/>
      <c r="P232" s="267">
        <v>13</v>
      </c>
      <c r="Q232" s="79">
        <v>42826.720000000001</v>
      </c>
      <c r="R232" s="268">
        <v>13</v>
      </c>
      <c r="S232" s="81">
        <f t="shared" si="14"/>
        <v>31034.59</v>
      </c>
      <c r="T232" s="79">
        <v>31034.59</v>
      </c>
      <c r="U232" s="269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9"/>
      <c r="B233" s="380"/>
      <c r="C233" s="380"/>
      <c r="D233" s="380"/>
      <c r="E233" s="380"/>
      <c r="F233" s="54"/>
      <c r="G233" s="55" t="s">
        <v>28</v>
      </c>
      <c r="H233" s="116"/>
      <c r="I233" s="57"/>
      <c r="J233" s="57"/>
      <c r="K233" s="43"/>
      <c r="L233" s="128"/>
      <c r="M233" s="50">
        <f t="shared" si="13"/>
        <v>0</v>
      </c>
      <c r="N233" s="43"/>
      <c r="O233" s="41"/>
      <c r="P233" s="113">
        <v>2</v>
      </c>
      <c r="Q233" s="114">
        <v>14503.6</v>
      </c>
      <c r="R233" s="44"/>
      <c r="S233" s="43">
        <f t="shared" si="14"/>
        <v>2209.1999999999998</v>
      </c>
      <c r="T233" s="114">
        <v>2209.1999999999998</v>
      </c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72"/>
      <c r="B234" s="374" t="s">
        <v>182</v>
      </c>
      <c r="C234" s="374" t="s">
        <v>46</v>
      </c>
      <c r="D234" s="374" t="s">
        <v>181</v>
      </c>
      <c r="E234" s="374" t="s">
        <v>27</v>
      </c>
      <c r="F234" s="204" t="s">
        <v>379</v>
      </c>
      <c r="G234" s="23" t="s">
        <v>24</v>
      </c>
      <c r="H234" s="48">
        <v>16</v>
      </c>
      <c r="I234" s="62">
        <v>15</v>
      </c>
      <c r="J234" s="62">
        <v>17</v>
      </c>
      <c r="K234" s="30">
        <v>21280.47</v>
      </c>
      <c r="L234" s="205">
        <v>15</v>
      </c>
      <c r="M234" s="26">
        <f t="shared" si="13"/>
        <v>19551.57</v>
      </c>
      <c r="N234" s="30">
        <v>19551.57</v>
      </c>
      <c r="O234" s="31"/>
      <c r="P234" s="53">
        <v>10</v>
      </c>
      <c r="Q234" s="30">
        <v>62934.720000000001</v>
      </c>
      <c r="R234" s="205">
        <v>8</v>
      </c>
      <c r="S234" s="26">
        <f t="shared" si="14"/>
        <v>53638.34</v>
      </c>
      <c r="T234" s="30">
        <v>53638.34</v>
      </c>
      <c r="U234" s="100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3"/>
      <c r="B235" s="375"/>
      <c r="C235" s="375"/>
      <c r="D235" s="375"/>
      <c r="E235" s="375"/>
      <c r="F235" s="34"/>
      <c r="G235" s="35" t="s">
        <v>28</v>
      </c>
      <c r="H235" s="116"/>
      <c r="I235" s="38"/>
      <c r="J235" s="38"/>
      <c r="K235" s="39"/>
      <c r="L235" s="40"/>
      <c r="M235" s="39">
        <f t="shared" si="13"/>
        <v>0</v>
      </c>
      <c r="N235" s="39"/>
      <c r="O235" s="41"/>
      <c r="P235" s="115">
        <v>1</v>
      </c>
      <c r="Q235" s="68">
        <v>3073.6</v>
      </c>
      <c r="R235" s="285">
        <v>1</v>
      </c>
      <c r="S235" s="39">
        <f t="shared" si="14"/>
        <v>3073.6</v>
      </c>
      <c r="T235" s="39">
        <f>3073.6</f>
        <v>3073.6</v>
      </c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82"/>
      <c r="B236" s="381" t="s">
        <v>183</v>
      </c>
      <c r="C236" s="381" t="s">
        <v>22</v>
      </c>
      <c r="D236" s="381"/>
      <c r="E236" s="381" t="s">
        <v>99</v>
      </c>
      <c r="F236" s="223" t="s">
        <v>380</v>
      </c>
      <c r="G236" s="23" t="s">
        <v>24</v>
      </c>
      <c r="H236" s="48">
        <v>3</v>
      </c>
      <c r="I236" s="49"/>
      <c r="J236" s="49"/>
      <c r="K236" s="50"/>
      <c r="L236" s="51"/>
      <c r="M236" s="50">
        <f t="shared" si="13"/>
        <v>0</v>
      </c>
      <c r="N236" s="50"/>
      <c r="O236" s="31"/>
      <c r="P236" s="108">
        <v>10</v>
      </c>
      <c r="Q236" s="65">
        <v>15519.54</v>
      </c>
      <c r="R236" s="224">
        <v>7</v>
      </c>
      <c r="S236" s="50">
        <f t="shared" si="14"/>
        <v>8094.01</v>
      </c>
      <c r="T236" s="65">
        <v>8094.01</v>
      </c>
      <c r="U236" s="225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9"/>
      <c r="B237" s="380"/>
      <c r="C237" s="380"/>
      <c r="D237" s="380"/>
      <c r="E237" s="380"/>
      <c r="F237" s="233" t="s">
        <v>252</v>
      </c>
      <c r="G237" s="227" t="s">
        <v>28</v>
      </c>
      <c r="H237" s="292">
        <v>5</v>
      </c>
      <c r="I237" s="261"/>
      <c r="J237" s="261"/>
      <c r="K237" s="211"/>
      <c r="L237" s="210"/>
      <c r="M237" s="211">
        <f t="shared" si="13"/>
        <v>0</v>
      </c>
      <c r="N237" s="211"/>
      <c r="O237" s="212"/>
      <c r="P237" s="262">
        <v>1</v>
      </c>
      <c r="Q237" s="209">
        <v>4034.1</v>
      </c>
      <c r="R237" s="210"/>
      <c r="S237" s="211">
        <f t="shared" si="14"/>
        <v>4034.1</v>
      </c>
      <c r="T237" s="211">
        <f>4034.1</f>
        <v>4034.1</v>
      </c>
      <c r="U237" s="21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2"/>
      <c r="B238" s="374" t="s">
        <v>425</v>
      </c>
      <c r="C238" s="374" t="s">
        <v>22</v>
      </c>
      <c r="D238" s="374"/>
      <c r="E238" s="374" t="s">
        <v>131</v>
      </c>
      <c r="F238" s="204" t="s">
        <v>426</v>
      </c>
      <c r="G238" s="176" t="s">
        <v>24</v>
      </c>
      <c r="H238" s="61">
        <v>1</v>
      </c>
      <c r="I238" s="25"/>
      <c r="J238" s="25"/>
      <c r="K238" s="26"/>
      <c r="L238" s="27"/>
      <c r="M238" s="26">
        <f t="shared" si="13"/>
        <v>0</v>
      </c>
      <c r="N238" s="26"/>
      <c r="O238" s="28"/>
      <c r="P238" s="275"/>
      <c r="Q238" s="26"/>
      <c r="R238" s="27"/>
      <c r="S238" s="26">
        <f t="shared" si="14"/>
        <v>0</v>
      </c>
      <c r="T238" s="26"/>
      <c r="U238" s="28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3"/>
      <c r="B239" s="375"/>
      <c r="C239" s="375"/>
      <c r="D239" s="375"/>
      <c r="E239" s="375"/>
      <c r="F239" s="34"/>
      <c r="G239" s="229" t="s">
        <v>25</v>
      </c>
      <c r="H239" s="106"/>
      <c r="I239" s="38"/>
      <c r="J239" s="38"/>
      <c r="K239" s="39"/>
      <c r="L239" s="40"/>
      <c r="M239" s="39">
        <f t="shared" si="13"/>
        <v>0</v>
      </c>
      <c r="N239" s="39"/>
      <c r="O239" s="41"/>
      <c r="P239" s="276"/>
      <c r="Q239" s="39"/>
      <c r="R239" s="40"/>
      <c r="S239" s="39">
        <f t="shared" si="14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6"/>
      <c r="B240" s="377" t="s">
        <v>184</v>
      </c>
      <c r="C240" s="377" t="s">
        <v>22</v>
      </c>
      <c r="D240" s="377"/>
      <c r="E240" s="377" t="s">
        <v>27</v>
      </c>
      <c r="F240" s="76"/>
      <c r="G240" s="95" t="s">
        <v>24</v>
      </c>
      <c r="H240" s="265">
        <v>1</v>
      </c>
      <c r="I240" s="96"/>
      <c r="J240" s="96"/>
      <c r="K240" s="81"/>
      <c r="L240" s="80"/>
      <c r="M240" s="81">
        <f t="shared" si="13"/>
        <v>0</v>
      </c>
      <c r="N240" s="81"/>
      <c r="O240" s="219"/>
      <c r="P240" s="277"/>
      <c r="Q240" s="81"/>
      <c r="R240" s="80"/>
      <c r="S240" s="81">
        <f t="shared" si="14"/>
        <v>0</v>
      </c>
      <c r="T240" s="81"/>
      <c r="U240" s="219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9"/>
      <c r="B241" s="380"/>
      <c r="C241" s="380"/>
      <c r="D241" s="380"/>
      <c r="E241" s="380"/>
      <c r="F241" s="233" t="s">
        <v>253</v>
      </c>
      <c r="G241" s="227" t="s">
        <v>28</v>
      </c>
      <c r="H241" s="153">
        <v>4</v>
      </c>
      <c r="I241" s="130">
        <v>2</v>
      </c>
      <c r="J241" s="130">
        <v>2</v>
      </c>
      <c r="K241" s="114">
        <v>4701.96</v>
      </c>
      <c r="L241" s="44"/>
      <c r="M241" s="43">
        <f t="shared" si="13"/>
        <v>0</v>
      </c>
      <c r="N241" s="43"/>
      <c r="O241" s="41"/>
      <c r="P241" s="113">
        <v>5</v>
      </c>
      <c r="Q241" s="114">
        <v>10565.5</v>
      </c>
      <c r="R241" s="44"/>
      <c r="S241" s="43">
        <f t="shared" si="14"/>
        <v>2958.34</v>
      </c>
      <c r="T241" s="114">
        <v>2958.34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2"/>
      <c r="B242" s="374" t="s">
        <v>185</v>
      </c>
      <c r="C242" s="374" t="s">
        <v>22</v>
      </c>
      <c r="D242" s="374"/>
      <c r="E242" s="374" t="s">
        <v>27</v>
      </c>
      <c r="F242" s="204" t="s">
        <v>341</v>
      </c>
      <c r="G242" s="176" t="s">
        <v>24</v>
      </c>
      <c r="H242" s="98"/>
      <c r="I242" s="25"/>
      <c r="J242" s="25"/>
      <c r="K242" s="26"/>
      <c r="L242" s="27"/>
      <c r="M242" s="26">
        <f t="shared" si="13"/>
        <v>0</v>
      </c>
      <c r="N242" s="26"/>
      <c r="O242" s="31"/>
      <c r="P242" s="53">
        <v>2</v>
      </c>
      <c r="Q242" s="30">
        <v>2633.4</v>
      </c>
      <c r="R242" s="205">
        <v>2</v>
      </c>
      <c r="S242" s="26">
        <f t="shared" si="14"/>
        <v>2633.4</v>
      </c>
      <c r="T242" s="30">
        <v>2633.4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342</v>
      </c>
      <c r="G243" s="229" t="s">
        <v>28</v>
      </c>
      <c r="H243" s="133">
        <v>3</v>
      </c>
      <c r="I243" s="57"/>
      <c r="J243" s="57"/>
      <c r="K243" s="43"/>
      <c r="L243" s="44"/>
      <c r="M243" s="43">
        <f t="shared" si="13"/>
        <v>0</v>
      </c>
      <c r="N243" s="43"/>
      <c r="O243" s="41"/>
      <c r="P243" s="113">
        <v>1</v>
      </c>
      <c r="Q243" s="114">
        <v>2994.47</v>
      </c>
      <c r="R243" s="270">
        <v>1</v>
      </c>
      <c r="S243" s="43">
        <f t="shared" si="14"/>
        <v>2994.47</v>
      </c>
      <c r="T243" s="43">
        <f>2994.47</f>
        <v>2994.47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186</v>
      </c>
      <c r="C244" s="374" t="s">
        <v>22</v>
      </c>
      <c r="D244" s="374"/>
      <c r="E244" s="374" t="s">
        <v>99</v>
      </c>
      <c r="F244" s="232" t="s">
        <v>315</v>
      </c>
      <c r="G244" s="23" t="s">
        <v>24</v>
      </c>
      <c r="H244" s="48">
        <v>7</v>
      </c>
      <c r="I244" s="62">
        <v>4</v>
      </c>
      <c r="J244" s="62">
        <v>4</v>
      </c>
      <c r="K244" s="30">
        <v>7196.58</v>
      </c>
      <c r="L244" s="205">
        <v>4</v>
      </c>
      <c r="M244" s="26">
        <f t="shared" si="13"/>
        <v>12383.29</v>
      </c>
      <c r="N244" s="30">
        <v>12383.29</v>
      </c>
      <c r="O244" s="31"/>
      <c r="P244" s="53">
        <v>12</v>
      </c>
      <c r="Q244" s="30">
        <v>25258.31</v>
      </c>
      <c r="R244" s="205">
        <v>11</v>
      </c>
      <c r="S244" s="26">
        <f t="shared" si="14"/>
        <v>34166.06</v>
      </c>
      <c r="T244" s="30">
        <v>34166.06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254</v>
      </c>
      <c r="G245" s="35" t="s">
        <v>28</v>
      </c>
      <c r="H245" s="153">
        <v>6</v>
      </c>
      <c r="I245" s="38"/>
      <c r="J245" s="38"/>
      <c r="K245" s="39"/>
      <c r="L245" s="40"/>
      <c r="M245" s="39">
        <f t="shared" si="13"/>
        <v>0</v>
      </c>
      <c r="N245" s="39"/>
      <c r="O245" s="41"/>
      <c r="P245" s="59"/>
      <c r="Q245" s="39"/>
      <c r="R245" s="40"/>
      <c r="S245" s="39">
        <f t="shared" si="14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187</v>
      </c>
      <c r="C246" s="381" t="s">
        <v>22</v>
      </c>
      <c r="D246" s="381"/>
      <c r="E246" s="381" t="s">
        <v>131</v>
      </c>
      <c r="F246" s="223" t="s">
        <v>343</v>
      </c>
      <c r="G246" s="23" t="s">
        <v>24</v>
      </c>
      <c r="H246" s="48">
        <v>12</v>
      </c>
      <c r="I246" s="203">
        <v>10</v>
      </c>
      <c r="J246" s="203">
        <v>12</v>
      </c>
      <c r="K246" s="65">
        <v>15877.22</v>
      </c>
      <c r="L246" s="224">
        <v>7</v>
      </c>
      <c r="M246" s="50">
        <f t="shared" si="13"/>
        <v>7297.6</v>
      </c>
      <c r="N246" s="65">
        <v>7297.6</v>
      </c>
      <c r="O246" s="225"/>
      <c r="P246" s="108">
        <v>18</v>
      </c>
      <c r="Q246" s="65">
        <v>51466.49</v>
      </c>
      <c r="R246" s="224">
        <v>13</v>
      </c>
      <c r="S246" s="50">
        <f t="shared" si="14"/>
        <v>32281.95</v>
      </c>
      <c r="T246" s="65">
        <v>32281.95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9"/>
      <c r="B247" s="380"/>
      <c r="C247" s="380"/>
      <c r="D247" s="380"/>
      <c r="E247" s="380"/>
      <c r="F247" s="247"/>
      <c r="G247" s="227" t="s">
        <v>25</v>
      </c>
      <c r="H247" s="111"/>
      <c r="I247" s="57"/>
      <c r="J247" s="57"/>
      <c r="K247" s="43"/>
      <c r="L247" s="44"/>
      <c r="M247" s="43">
        <f t="shared" si="13"/>
        <v>0</v>
      </c>
      <c r="N247" s="43"/>
      <c r="O247" s="41"/>
      <c r="P247" s="113">
        <v>3</v>
      </c>
      <c r="Q247" s="114">
        <v>23282.52</v>
      </c>
      <c r="R247" s="270">
        <v>2</v>
      </c>
      <c r="S247" s="114">
        <v>15252.74</v>
      </c>
      <c r="T247" s="114">
        <v>15252.74</v>
      </c>
      <c r="U247" s="23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429</v>
      </c>
      <c r="C248" s="374" t="s">
        <v>22</v>
      </c>
      <c r="D248" s="374"/>
      <c r="E248" s="374" t="s">
        <v>27</v>
      </c>
      <c r="F248" s="204" t="s">
        <v>446</v>
      </c>
      <c r="G248" s="176" t="s">
        <v>24</v>
      </c>
      <c r="H248" s="151"/>
      <c r="I248" s="25"/>
      <c r="J248" s="25"/>
      <c r="K248" s="26"/>
      <c r="L248" s="27"/>
      <c r="M248" s="26">
        <f t="shared" si="13"/>
        <v>0</v>
      </c>
      <c r="N248" s="30"/>
      <c r="O248" s="31"/>
      <c r="P248" s="53">
        <v>1</v>
      </c>
      <c r="Q248" s="30">
        <v>36784.050000000003</v>
      </c>
      <c r="R248" s="205">
        <v>1</v>
      </c>
      <c r="S248" s="26">
        <f t="shared" ref="S248:S274" si="15">T248+U248</f>
        <v>36784.050000000003</v>
      </c>
      <c r="T248" s="30">
        <v>36784.050000000003</v>
      </c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/>
      <c r="G249" s="229" t="s">
        <v>28</v>
      </c>
      <c r="H249" s="56"/>
      <c r="I249" s="57"/>
      <c r="J249" s="57"/>
      <c r="K249" s="43"/>
      <c r="L249" s="44"/>
      <c r="M249" s="43">
        <f t="shared" si="13"/>
        <v>0</v>
      </c>
      <c r="N249" s="43"/>
      <c r="O249" s="45"/>
      <c r="P249" s="113"/>
      <c r="Q249" s="114"/>
      <c r="R249" s="44"/>
      <c r="S249" s="43">
        <f t="shared" si="15"/>
        <v>0</v>
      </c>
      <c r="T249" s="114"/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188</v>
      </c>
      <c r="C250" s="374" t="s">
        <v>39</v>
      </c>
      <c r="D250" s="374"/>
      <c r="E250" s="374" t="s">
        <v>27</v>
      </c>
      <c r="F250" s="22"/>
      <c r="G250" s="176" t="s">
        <v>24</v>
      </c>
      <c r="H250" s="151">
        <v>1</v>
      </c>
      <c r="I250" s="25"/>
      <c r="J250" s="25"/>
      <c r="K250" s="26"/>
      <c r="L250" s="27"/>
      <c r="M250" s="26">
        <f t="shared" si="13"/>
        <v>0</v>
      </c>
      <c r="N250" s="26"/>
      <c r="O250" s="31"/>
      <c r="P250" s="53">
        <v>1</v>
      </c>
      <c r="Q250" s="30">
        <v>2000</v>
      </c>
      <c r="R250" s="27"/>
      <c r="S250" s="26">
        <f t="shared" si="15"/>
        <v>0</v>
      </c>
      <c r="T250" s="26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20.25" customHeight="1">
      <c r="A251" s="373"/>
      <c r="B251" s="375"/>
      <c r="C251" s="375"/>
      <c r="D251" s="375"/>
      <c r="E251" s="375"/>
      <c r="F251" s="220" t="s">
        <v>344</v>
      </c>
      <c r="G251" s="229" t="s">
        <v>28</v>
      </c>
      <c r="H251" s="56">
        <v>3</v>
      </c>
      <c r="I251" s="130">
        <v>1</v>
      </c>
      <c r="J251" s="130">
        <v>1</v>
      </c>
      <c r="K251" s="114">
        <v>1052.5999999999999</v>
      </c>
      <c r="L251" s="44"/>
      <c r="M251" s="43">
        <f t="shared" si="13"/>
        <v>0</v>
      </c>
      <c r="N251" s="43"/>
      <c r="O251" s="222">
        <v>0</v>
      </c>
      <c r="P251" s="113">
        <v>13</v>
      </c>
      <c r="Q251" s="114">
        <v>15160.1</v>
      </c>
      <c r="R251" s="44"/>
      <c r="S251" s="43">
        <f t="shared" si="15"/>
        <v>4050.2</v>
      </c>
      <c r="T251" s="114">
        <v>4050.2</v>
      </c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189</v>
      </c>
      <c r="C252" s="374" t="s">
        <v>39</v>
      </c>
      <c r="D252" s="374" t="s">
        <v>427</v>
      </c>
      <c r="E252" s="374" t="s">
        <v>27</v>
      </c>
      <c r="F252" s="232" t="s">
        <v>428</v>
      </c>
      <c r="G252" s="23" t="s">
        <v>24</v>
      </c>
      <c r="H252" s="24">
        <v>14</v>
      </c>
      <c r="I252" s="62">
        <v>9</v>
      </c>
      <c r="J252" s="62">
        <v>12</v>
      </c>
      <c r="K252" s="30">
        <v>21540.38</v>
      </c>
      <c r="L252" s="205">
        <v>5</v>
      </c>
      <c r="M252" s="26">
        <f t="shared" si="13"/>
        <v>6835.88</v>
      </c>
      <c r="N252" s="30">
        <v>6835.88</v>
      </c>
      <c r="O252" s="241"/>
      <c r="P252" s="29">
        <v>2</v>
      </c>
      <c r="Q252" s="30">
        <v>1870.81</v>
      </c>
      <c r="R252" s="205">
        <v>2</v>
      </c>
      <c r="S252" s="26">
        <f t="shared" si="15"/>
        <v>1870.81</v>
      </c>
      <c r="T252" s="30">
        <v>1870.81</v>
      </c>
      <c r="U252" s="2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256</v>
      </c>
      <c r="G253" s="35" t="s">
        <v>28</v>
      </c>
      <c r="H253" s="66">
        <v>3</v>
      </c>
      <c r="I253" s="38"/>
      <c r="J253" s="38"/>
      <c r="K253" s="39"/>
      <c r="L253" s="40"/>
      <c r="M253" s="39">
        <f t="shared" si="13"/>
        <v>0</v>
      </c>
      <c r="N253" s="39"/>
      <c r="O253" s="41"/>
      <c r="P253" s="69"/>
      <c r="Q253" s="39"/>
      <c r="R253" s="40"/>
      <c r="S253" s="39">
        <f t="shared" si="15"/>
        <v>0</v>
      </c>
      <c r="T253" s="39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82"/>
      <c r="B254" s="381" t="s">
        <v>190</v>
      </c>
      <c r="C254" s="381" t="s">
        <v>39</v>
      </c>
      <c r="D254" s="381" t="s">
        <v>191</v>
      </c>
      <c r="E254" s="381" t="s">
        <v>27</v>
      </c>
      <c r="F254" s="46"/>
      <c r="G254" s="47" t="s">
        <v>24</v>
      </c>
      <c r="H254" s="98"/>
      <c r="I254" s="49"/>
      <c r="J254" s="49"/>
      <c r="K254" s="50"/>
      <c r="L254" s="51"/>
      <c r="M254" s="50">
        <f t="shared" si="13"/>
        <v>0</v>
      </c>
      <c r="N254" s="50"/>
      <c r="O254" s="31"/>
      <c r="P254" s="123"/>
      <c r="Q254" s="50"/>
      <c r="R254" s="51"/>
      <c r="S254" s="50">
        <f t="shared" si="15"/>
        <v>0</v>
      </c>
      <c r="T254" s="50"/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345</v>
      </c>
      <c r="G255" s="35" t="s">
        <v>28</v>
      </c>
      <c r="H255" s="112">
        <v>2</v>
      </c>
      <c r="I255" s="57"/>
      <c r="J255" s="57"/>
      <c r="K255" s="43"/>
      <c r="L255" s="44"/>
      <c r="M255" s="43">
        <f t="shared" si="13"/>
        <v>0</v>
      </c>
      <c r="N255" s="43"/>
      <c r="O255" s="45"/>
      <c r="P255" s="115">
        <v>4</v>
      </c>
      <c r="Q255" s="68">
        <v>5106.7</v>
      </c>
      <c r="R255" s="40"/>
      <c r="S255" s="39">
        <f t="shared" si="15"/>
        <v>6739.58</v>
      </c>
      <c r="T255" s="68">
        <f>3818+2921.58</f>
        <v>6739.58</v>
      </c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192</v>
      </c>
      <c r="C256" s="374" t="s">
        <v>22</v>
      </c>
      <c r="D256" s="374"/>
      <c r="E256" s="374" t="s">
        <v>193</v>
      </c>
      <c r="F256" s="204" t="s">
        <v>318</v>
      </c>
      <c r="G256" s="176" t="s">
        <v>24</v>
      </c>
      <c r="H256" s="61">
        <v>8</v>
      </c>
      <c r="I256" s="62">
        <v>5</v>
      </c>
      <c r="J256" s="62">
        <v>5</v>
      </c>
      <c r="K256" s="30">
        <v>5727.17</v>
      </c>
      <c r="L256" s="205">
        <v>5</v>
      </c>
      <c r="M256" s="26">
        <f t="shared" si="13"/>
        <v>5727.17</v>
      </c>
      <c r="N256" s="30">
        <v>5727.17</v>
      </c>
      <c r="O256" s="100"/>
      <c r="P256" s="64">
        <v>19</v>
      </c>
      <c r="Q256" s="65">
        <v>50291.24</v>
      </c>
      <c r="R256" s="224">
        <v>18</v>
      </c>
      <c r="S256" s="50">
        <f t="shared" si="15"/>
        <v>47921.06</v>
      </c>
      <c r="T256" s="65">
        <v>47921.06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346</v>
      </c>
      <c r="G257" s="229" t="s">
        <v>28</v>
      </c>
      <c r="H257" s="133">
        <v>1</v>
      </c>
      <c r="I257" s="37">
        <v>1</v>
      </c>
      <c r="J257" s="37">
        <v>1</v>
      </c>
      <c r="K257" s="68">
        <v>1728.9</v>
      </c>
      <c r="L257" s="285">
        <v>1</v>
      </c>
      <c r="M257" s="39">
        <f t="shared" si="13"/>
        <v>1728.9</v>
      </c>
      <c r="N257" s="39">
        <f>1728.9</f>
        <v>1728.9</v>
      </c>
      <c r="O257" s="41"/>
      <c r="P257" s="42"/>
      <c r="Q257" s="43"/>
      <c r="R257" s="44"/>
      <c r="S257" s="43">
        <f t="shared" si="15"/>
        <v>0</v>
      </c>
      <c r="T257" s="43"/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194</v>
      </c>
      <c r="C258" s="377" t="s">
        <v>39</v>
      </c>
      <c r="D258" s="377" t="s">
        <v>319</v>
      </c>
      <c r="E258" s="374" t="s">
        <v>160</v>
      </c>
      <c r="F258" s="232" t="s">
        <v>320</v>
      </c>
      <c r="G258" s="23" t="s">
        <v>24</v>
      </c>
      <c r="H258" s="48">
        <v>5</v>
      </c>
      <c r="I258" s="203">
        <v>4</v>
      </c>
      <c r="J258" s="203">
        <v>4</v>
      </c>
      <c r="K258" s="65">
        <v>2968.33</v>
      </c>
      <c r="L258" s="316">
        <v>3</v>
      </c>
      <c r="M258" s="129">
        <f t="shared" si="13"/>
        <v>2090.2399999999998</v>
      </c>
      <c r="N258" s="65">
        <v>2090.2399999999998</v>
      </c>
      <c r="O258" s="225"/>
      <c r="P258" s="29">
        <v>3</v>
      </c>
      <c r="Q258" s="30">
        <v>6107.21</v>
      </c>
      <c r="R258" s="205">
        <v>3</v>
      </c>
      <c r="S258" s="26">
        <f t="shared" si="15"/>
        <v>6107.21</v>
      </c>
      <c r="T258" s="30">
        <v>6107.21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347</v>
      </c>
      <c r="G259" s="35" t="s">
        <v>28</v>
      </c>
      <c r="H259" s="117">
        <v>2</v>
      </c>
      <c r="I259" s="37"/>
      <c r="J259" s="37"/>
      <c r="K259" s="39"/>
      <c r="L259" s="44"/>
      <c r="M259" s="43">
        <f t="shared" si="13"/>
        <v>0</v>
      </c>
      <c r="N259" s="39"/>
      <c r="O259" s="41"/>
      <c r="P259" s="37">
        <v>5</v>
      </c>
      <c r="Q259" s="37">
        <v>12038.63</v>
      </c>
      <c r="R259" s="40"/>
      <c r="S259" s="39">
        <f t="shared" si="15"/>
        <v>4621.6400000000003</v>
      </c>
      <c r="T259" s="68">
        <f>576.3+4045.34</f>
        <v>4621.6400000000003</v>
      </c>
      <c r="U259" s="2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195</v>
      </c>
      <c r="C260" s="377" t="s">
        <v>39</v>
      </c>
      <c r="D260" s="377" t="s">
        <v>231</v>
      </c>
      <c r="E260" s="381" t="s">
        <v>27</v>
      </c>
      <c r="F260" s="204" t="s">
        <v>232</v>
      </c>
      <c r="G260" s="47" t="s">
        <v>24</v>
      </c>
      <c r="H260" s="61">
        <v>2</v>
      </c>
      <c r="I260" s="25"/>
      <c r="J260" s="25"/>
      <c r="K260" s="26"/>
      <c r="L260" s="205"/>
      <c r="M260" s="26">
        <f t="shared" si="13"/>
        <v>0</v>
      </c>
      <c r="N260" s="26"/>
      <c r="O260" s="31"/>
      <c r="P260" s="64">
        <v>7</v>
      </c>
      <c r="Q260" s="65">
        <v>46859.35</v>
      </c>
      <c r="R260" s="224">
        <v>7</v>
      </c>
      <c r="S260" s="50">
        <f t="shared" si="15"/>
        <v>46859.35</v>
      </c>
      <c r="T260" s="65">
        <v>46859.35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1" t="s">
        <v>260</v>
      </c>
      <c r="G261" s="55" t="s">
        <v>28</v>
      </c>
      <c r="H261" s="178">
        <v>5</v>
      </c>
      <c r="I261" s="130">
        <v>2</v>
      </c>
      <c r="J261" s="130">
        <v>2</v>
      </c>
      <c r="K261" s="114">
        <v>1997.84</v>
      </c>
      <c r="L261" s="44"/>
      <c r="M261" s="43">
        <f t="shared" si="13"/>
        <v>1152.5999999999999</v>
      </c>
      <c r="N261" s="43">
        <f>1152.6</f>
        <v>1152.5999999999999</v>
      </c>
      <c r="O261" s="222"/>
      <c r="P261" s="130">
        <v>7</v>
      </c>
      <c r="Q261" s="130">
        <v>24706.45</v>
      </c>
      <c r="R261" s="270">
        <v>6</v>
      </c>
      <c r="S261" s="43">
        <f t="shared" si="15"/>
        <v>18249.5</v>
      </c>
      <c r="T261" s="114">
        <f>4994.6+12678.6+576.3</f>
        <v>18249.5</v>
      </c>
      <c r="U261" s="222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196</v>
      </c>
      <c r="C262" s="381" t="s">
        <v>22</v>
      </c>
      <c r="D262" s="374"/>
      <c r="E262" s="381" t="s">
        <v>27</v>
      </c>
      <c r="F262" s="22"/>
      <c r="G262" s="23" t="s">
        <v>24</v>
      </c>
      <c r="H262" s="119"/>
      <c r="I262" s="25"/>
      <c r="J262" s="25"/>
      <c r="K262" s="26"/>
      <c r="L262" s="27"/>
      <c r="M262" s="26">
        <f t="shared" si="13"/>
        <v>0</v>
      </c>
      <c r="N262" s="26"/>
      <c r="O262" s="28"/>
      <c r="P262" s="120"/>
      <c r="Q262" s="26"/>
      <c r="R262" s="27"/>
      <c r="S262" s="26">
        <f t="shared" si="15"/>
        <v>0</v>
      </c>
      <c r="T262" s="26"/>
      <c r="U262" s="28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348</v>
      </c>
      <c r="G263" s="35" t="s">
        <v>28</v>
      </c>
      <c r="H263" s="66">
        <v>4</v>
      </c>
      <c r="I263" s="38"/>
      <c r="J263" s="38"/>
      <c r="K263" s="39"/>
      <c r="L263" s="40"/>
      <c r="M263" s="39">
        <f t="shared" si="13"/>
        <v>0</v>
      </c>
      <c r="N263" s="39"/>
      <c r="O263" s="41"/>
      <c r="P263" s="67">
        <v>4</v>
      </c>
      <c r="Q263" s="68">
        <v>11282.42</v>
      </c>
      <c r="R263" s="285">
        <v>3</v>
      </c>
      <c r="S263" s="39">
        <f t="shared" si="15"/>
        <v>9655</v>
      </c>
      <c r="T263" s="39">
        <f>2547.3+4226.2+2881.5</f>
        <v>9655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82"/>
      <c r="B264" s="381" t="s">
        <v>197</v>
      </c>
      <c r="C264" s="381" t="s">
        <v>39</v>
      </c>
      <c r="D264" s="381" t="s">
        <v>381</v>
      </c>
      <c r="E264" s="381" t="s">
        <v>27</v>
      </c>
      <c r="F264" s="204" t="s">
        <v>382</v>
      </c>
      <c r="G264" s="47" t="s">
        <v>24</v>
      </c>
      <c r="H264" s="98"/>
      <c r="I264" s="49"/>
      <c r="J264" s="49"/>
      <c r="K264" s="50"/>
      <c r="L264" s="51"/>
      <c r="M264" s="50">
        <f t="shared" si="13"/>
        <v>0</v>
      </c>
      <c r="N264" s="50"/>
      <c r="O264" s="31"/>
      <c r="P264" s="108">
        <v>1</v>
      </c>
      <c r="Q264" s="65">
        <v>748.24</v>
      </c>
      <c r="R264" s="224">
        <v>1</v>
      </c>
      <c r="S264" s="50">
        <f t="shared" si="15"/>
        <v>748.24</v>
      </c>
      <c r="T264" s="65">
        <v>748.24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9"/>
      <c r="B265" s="380"/>
      <c r="C265" s="380"/>
      <c r="D265" s="380"/>
      <c r="E265" s="380"/>
      <c r="F265" s="221" t="s">
        <v>349</v>
      </c>
      <c r="G265" s="55" t="s">
        <v>28</v>
      </c>
      <c r="H265" s="153">
        <v>3</v>
      </c>
      <c r="I265" s="130">
        <v>2</v>
      </c>
      <c r="J265" s="130">
        <v>2</v>
      </c>
      <c r="K265" s="114">
        <v>3265.7</v>
      </c>
      <c r="L265" s="270">
        <v>1</v>
      </c>
      <c r="M265" s="43">
        <f t="shared" si="13"/>
        <v>1056.55</v>
      </c>
      <c r="N265" s="43">
        <f>1056.55</f>
        <v>1056.55</v>
      </c>
      <c r="O265" s="41"/>
      <c r="P265" s="103"/>
      <c r="Q265" s="43"/>
      <c r="R265" s="44"/>
      <c r="S265" s="43">
        <f t="shared" si="15"/>
        <v>3765.16</v>
      </c>
      <c r="T265" s="114">
        <f>1440.75+2324.41</f>
        <v>3765.16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2"/>
      <c r="B266" s="374" t="s">
        <v>198</v>
      </c>
      <c r="C266" s="374" t="s">
        <v>22</v>
      </c>
      <c r="D266" s="374"/>
      <c r="E266" s="374" t="s">
        <v>112</v>
      </c>
      <c r="F266" s="204" t="s">
        <v>383</v>
      </c>
      <c r="G266" s="23" t="s">
        <v>24</v>
      </c>
      <c r="H266" s="48">
        <v>5</v>
      </c>
      <c r="I266" s="62">
        <v>5</v>
      </c>
      <c r="J266" s="62">
        <v>5</v>
      </c>
      <c r="K266" s="30">
        <v>5867.69</v>
      </c>
      <c r="L266" s="205">
        <v>4</v>
      </c>
      <c r="M266" s="26">
        <f t="shared" si="13"/>
        <v>2486.73</v>
      </c>
      <c r="N266" s="30">
        <v>2486.73</v>
      </c>
      <c r="O266" s="31"/>
      <c r="P266" s="53">
        <v>12</v>
      </c>
      <c r="Q266" s="30">
        <v>46848.4</v>
      </c>
      <c r="R266" s="205">
        <v>11</v>
      </c>
      <c r="S266" s="26">
        <f t="shared" si="15"/>
        <v>44151.34</v>
      </c>
      <c r="T266" s="30">
        <v>44151.34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0" t="s">
        <v>350</v>
      </c>
      <c r="G267" s="35" t="s">
        <v>28</v>
      </c>
      <c r="H267" s="153">
        <v>1</v>
      </c>
      <c r="I267" s="38"/>
      <c r="J267" s="38"/>
      <c r="K267" s="39"/>
      <c r="L267" s="40"/>
      <c r="M267" s="39">
        <f t="shared" si="13"/>
        <v>0</v>
      </c>
      <c r="N267" s="39"/>
      <c r="O267" s="41"/>
      <c r="P267" s="59"/>
      <c r="Q267" s="39"/>
      <c r="R267" s="40"/>
      <c r="S267" s="39">
        <f t="shared" si="15"/>
        <v>0</v>
      </c>
      <c r="T267" s="39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82"/>
      <c r="B268" s="381" t="s">
        <v>199</v>
      </c>
      <c r="C268" s="381" t="s">
        <v>22</v>
      </c>
      <c r="D268" s="381"/>
      <c r="E268" s="381" t="s">
        <v>131</v>
      </c>
      <c r="F268" s="46"/>
      <c r="G268" s="23" t="s">
        <v>24</v>
      </c>
      <c r="H268" s="98"/>
      <c r="I268" s="49"/>
      <c r="J268" s="49"/>
      <c r="K268" s="50"/>
      <c r="L268" s="51"/>
      <c r="M268" s="50">
        <f t="shared" si="13"/>
        <v>0</v>
      </c>
      <c r="N268" s="50"/>
      <c r="O268" s="31"/>
      <c r="P268" s="123"/>
      <c r="Q268" s="50"/>
      <c r="R268" s="51"/>
      <c r="S268" s="50">
        <f t="shared" si="15"/>
        <v>0</v>
      </c>
      <c r="T268" s="50"/>
      <c r="U268" s="3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9"/>
      <c r="B269" s="380"/>
      <c r="C269" s="380"/>
      <c r="D269" s="380"/>
      <c r="E269" s="380"/>
      <c r="F269" s="126"/>
      <c r="G269" s="55" t="s">
        <v>25</v>
      </c>
      <c r="H269" s="118"/>
      <c r="I269" s="57"/>
      <c r="J269" s="57"/>
      <c r="K269" s="43"/>
      <c r="L269" s="44"/>
      <c r="M269" s="43">
        <f t="shared" si="13"/>
        <v>0</v>
      </c>
      <c r="N269" s="43"/>
      <c r="O269" s="41"/>
      <c r="P269" s="103"/>
      <c r="Q269" s="43"/>
      <c r="R269" s="44"/>
      <c r="S269" s="43">
        <f t="shared" si="15"/>
        <v>0</v>
      </c>
      <c r="T269" s="43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200</v>
      </c>
      <c r="C270" s="374" t="s">
        <v>22</v>
      </c>
      <c r="D270" s="374"/>
      <c r="E270" s="374" t="s">
        <v>27</v>
      </c>
      <c r="F270" s="204" t="s">
        <v>384</v>
      </c>
      <c r="G270" s="23" t="s">
        <v>24</v>
      </c>
      <c r="H270" s="61">
        <v>1</v>
      </c>
      <c r="I270" s="25"/>
      <c r="J270" s="25"/>
      <c r="K270" s="26"/>
      <c r="L270" s="27"/>
      <c r="M270" s="26">
        <f t="shared" si="13"/>
        <v>0</v>
      </c>
      <c r="N270" s="26"/>
      <c r="O270" s="31"/>
      <c r="P270" s="29">
        <v>5</v>
      </c>
      <c r="Q270" s="30">
        <v>20287.48</v>
      </c>
      <c r="R270" s="205">
        <v>5</v>
      </c>
      <c r="S270" s="26">
        <f t="shared" si="15"/>
        <v>20287.48</v>
      </c>
      <c r="T270" s="30">
        <v>20287.48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33" t="s">
        <v>351</v>
      </c>
      <c r="G271" s="227" t="s">
        <v>28</v>
      </c>
      <c r="H271" s="207">
        <v>1</v>
      </c>
      <c r="I271" s="208">
        <v>1</v>
      </c>
      <c r="J271" s="208">
        <v>1</v>
      </c>
      <c r="K271" s="209">
        <v>1056.55</v>
      </c>
      <c r="L271" s="210"/>
      <c r="M271" s="211">
        <f t="shared" si="13"/>
        <v>0</v>
      </c>
      <c r="N271" s="211"/>
      <c r="O271" s="212"/>
      <c r="P271" s="284"/>
      <c r="Q271" s="211"/>
      <c r="R271" s="210"/>
      <c r="S271" s="211">
        <f t="shared" si="15"/>
        <v>1921</v>
      </c>
      <c r="T271" s="209">
        <v>1921</v>
      </c>
      <c r="U271" s="212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430</v>
      </c>
      <c r="C272" s="374" t="s">
        <v>39</v>
      </c>
      <c r="D272" s="374" t="s">
        <v>439</v>
      </c>
      <c r="E272" s="374" t="s">
        <v>27</v>
      </c>
      <c r="F272" s="204" t="s">
        <v>440</v>
      </c>
      <c r="G272" s="213" t="s">
        <v>24</v>
      </c>
      <c r="H272" s="61"/>
      <c r="I272" s="62"/>
      <c r="J272" s="62"/>
      <c r="K272" s="30"/>
      <c r="L272" s="27"/>
      <c r="M272" s="26">
        <f t="shared" si="13"/>
        <v>0</v>
      </c>
      <c r="N272" s="26"/>
      <c r="O272" s="241"/>
      <c r="P272" s="214"/>
      <c r="Q272" s="30"/>
      <c r="R272" s="205"/>
      <c r="S272" s="26">
        <f t="shared" si="15"/>
        <v>0</v>
      </c>
      <c r="T272" s="30"/>
      <c r="U272" s="28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/>
      <c r="G273" s="215" t="s">
        <v>28</v>
      </c>
      <c r="H273" s="117"/>
      <c r="I273" s="37"/>
      <c r="J273" s="37"/>
      <c r="K273" s="68"/>
      <c r="L273" s="40"/>
      <c r="M273" s="39">
        <f t="shared" si="13"/>
        <v>0</v>
      </c>
      <c r="N273" s="39"/>
      <c r="O273" s="234"/>
      <c r="P273" s="217"/>
      <c r="Q273" s="68"/>
      <c r="R273" s="285"/>
      <c r="S273" s="39">
        <f t="shared" si="15"/>
        <v>0</v>
      </c>
      <c r="T273" s="68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6"/>
      <c r="B274" s="377" t="s">
        <v>201</v>
      </c>
      <c r="C274" s="377" t="s">
        <v>39</v>
      </c>
      <c r="D274" s="377" t="s">
        <v>385</v>
      </c>
      <c r="E274" s="377" t="s">
        <v>386</v>
      </c>
      <c r="F274" s="232" t="s">
        <v>387</v>
      </c>
      <c r="G274" s="95" t="s">
        <v>24</v>
      </c>
      <c r="H274" s="265">
        <v>12</v>
      </c>
      <c r="I274" s="266">
        <v>9</v>
      </c>
      <c r="J274" s="266">
        <v>12</v>
      </c>
      <c r="K274" s="79">
        <v>15909.92</v>
      </c>
      <c r="L274" s="268">
        <v>12</v>
      </c>
      <c r="M274" s="81">
        <f t="shared" si="13"/>
        <v>15909.92</v>
      </c>
      <c r="N274" s="79">
        <v>15909.92</v>
      </c>
      <c r="O274" s="313"/>
      <c r="P274" s="267">
        <v>2</v>
      </c>
      <c r="Q274" s="79">
        <v>4356.83</v>
      </c>
      <c r="R274" s="268">
        <v>2</v>
      </c>
      <c r="S274" s="81">
        <f t="shared" si="15"/>
        <v>4356.83</v>
      </c>
      <c r="T274" s="79">
        <v>4356.83</v>
      </c>
      <c r="U274" s="8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105"/>
      <c r="G275" s="35" t="s">
        <v>25</v>
      </c>
      <c r="H275" s="106"/>
      <c r="I275" s="38"/>
      <c r="J275" s="38"/>
      <c r="K275" s="39"/>
      <c r="L275" s="40"/>
      <c r="M275" s="39">
        <f t="shared" si="13"/>
        <v>0</v>
      </c>
      <c r="N275" s="39"/>
      <c r="O275" s="58"/>
      <c r="P275" s="115">
        <v>2</v>
      </c>
      <c r="Q275" s="68">
        <v>4418.3</v>
      </c>
      <c r="R275" s="285">
        <v>2</v>
      </c>
      <c r="S275" s="68">
        <v>4418.3</v>
      </c>
      <c r="T275" s="68">
        <v>4418.3</v>
      </c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82"/>
      <c r="B276" s="381" t="s">
        <v>202</v>
      </c>
      <c r="C276" s="381" t="s">
        <v>39</v>
      </c>
      <c r="D276" s="377" t="s">
        <v>441</v>
      </c>
      <c r="E276" s="381" t="s">
        <v>27</v>
      </c>
      <c r="F276" s="204" t="s">
        <v>442</v>
      </c>
      <c r="G276" s="47" t="s">
        <v>24</v>
      </c>
      <c r="H276" s="48">
        <v>2</v>
      </c>
      <c r="I276" s="203">
        <v>2</v>
      </c>
      <c r="J276" s="203">
        <v>2</v>
      </c>
      <c r="K276" s="65">
        <v>2382.04</v>
      </c>
      <c r="L276" s="224">
        <v>2</v>
      </c>
      <c r="M276" s="50">
        <f t="shared" si="13"/>
        <v>2382.04</v>
      </c>
      <c r="N276" s="65">
        <v>2382.04</v>
      </c>
      <c r="O276" s="31"/>
      <c r="P276" s="108">
        <v>2</v>
      </c>
      <c r="Q276" s="65">
        <v>4082.51</v>
      </c>
      <c r="R276" s="224">
        <v>2</v>
      </c>
      <c r="S276" s="50">
        <f t="shared" ref="S276:S280" si="16">T276+U276</f>
        <v>4082.51</v>
      </c>
      <c r="T276" s="65">
        <v>4082.51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21" t="s">
        <v>262</v>
      </c>
      <c r="G277" s="55" t="s">
        <v>28</v>
      </c>
      <c r="H277" s="112">
        <v>2</v>
      </c>
      <c r="I277" s="130">
        <v>1</v>
      </c>
      <c r="J277" s="130">
        <v>1</v>
      </c>
      <c r="K277" s="114">
        <v>1479.17</v>
      </c>
      <c r="L277" s="128"/>
      <c r="M277" s="129">
        <f t="shared" si="13"/>
        <v>0</v>
      </c>
      <c r="N277" s="43"/>
      <c r="O277" s="45"/>
      <c r="P277" s="113">
        <v>2</v>
      </c>
      <c r="Q277" s="114">
        <v>8452.4</v>
      </c>
      <c r="R277" s="128"/>
      <c r="S277" s="129">
        <f t="shared" si="16"/>
        <v>4994.6000000000004</v>
      </c>
      <c r="T277" s="114">
        <f>3649.9+1344.7</f>
        <v>4994.6000000000004</v>
      </c>
      <c r="U277" s="4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203</v>
      </c>
      <c r="C278" s="374"/>
      <c r="D278" s="374"/>
      <c r="E278" s="374" t="s">
        <v>27</v>
      </c>
      <c r="F278" s="60"/>
      <c r="G278" s="23" t="s">
        <v>24</v>
      </c>
      <c r="H278" s="61">
        <v>2</v>
      </c>
      <c r="I278" s="25"/>
      <c r="J278" s="25"/>
      <c r="K278" s="26"/>
      <c r="L278" s="27"/>
      <c r="M278" s="26">
        <f t="shared" si="13"/>
        <v>0</v>
      </c>
      <c r="N278" s="26"/>
      <c r="O278" s="28"/>
      <c r="P278" s="120"/>
      <c r="Q278" s="26"/>
      <c r="R278" s="27"/>
      <c r="S278" s="26">
        <f t="shared" si="16"/>
        <v>0</v>
      </c>
      <c r="T278" s="26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28</v>
      </c>
      <c r="H279" s="117"/>
      <c r="I279" s="38"/>
      <c r="J279" s="38"/>
      <c r="K279" s="39"/>
      <c r="L279" s="40"/>
      <c r="M279" s="39">
        <f t="shared" si="13"/>
        <v>0</v>
      </c>
      <c r="N279" s="39"/>
      <c r="O279" s="41"/>
      <c r="P279" s="69"/>
      <c r="Q279" s="39"/>
      <c r="R279" s="40"/>
      <c r="S279" s="39">
        <f t="shared" si="16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82"/>
      <c r="B280" s="381" t="s">
        <v>204</v>
      </c>
      <c r="C280" s="381" t="s">
        <v>22</v>
      </c>
      <c r="D280" s="381"/>
      <c r="E280" s="381" t="s">
        <v>23</v>
      </c>
      <c r="F280" s="204" t="s">
        <v>431</v>
      </c>
      <c r="G280" s="47" t="s">
        <v>24</v>
      </c>
      <c r="H280" s="48">
        <v>8</v>
      </c>
      <c r="I280" s="203">
        <v>5</v>
      </c>
      <c r="J280" s="203">
        <v>6</v>
      </c>
      <c r="K280" s="65">
        <v>7650.47</v>
      </c>
      <c r="L280" s="224">
        <v>2</v>
      </c>
      <c r="M280" s="50">
        <f t="shared" si="13"/>
        <v>2387.8000000000002</v>
      </c>
      <c r="N280" s="65">
        <v>2387.8000000000002</v>
      </c>
      <c r="O280" s="225"/>
      <c r="P280" s="108">
        <v>4</v>
      </c>
      <c r="Q280" s="65">
        <v>3363.11</v>
      </c>
      <c r="R280" s="224">
        <v>4</v>
      </c>
      <c r="S280" s="50">
        <f t="shared" si="16"/>
        <v>3363.11</v>
      </c>
      <c r="T280" s="65">
        <v>3363.11</v>
      </c>
      <c r="U280" s="225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25</v>
      </c>
      <c r="H281" s="111"/>
      <c r="I281" s="38"/>
      <c r="J281" s="38"/>
      <c r="K281" s="39"/>
      <c r="L281" s="40"/>
      <c r="M281" s="39">
        <f t="shared" si="13"/>
        <v>0</v>
      </c>
      <c r="N281" s="39"/>
      <c r="O281" s="41"/>
      <c r="P281" s="115">
        <v>1</v>
      </c>
      <c r="Q281" s="68">
        <v>2305.1999999999998</v>
      </c>
      <c r="R281" s="285">
        <v>1</v>
      </c>
      <c r="S281" s="68">
        <v>2305.1999999999998</v>
      </c>
      <c r="T281" s="68">
        <v>2305.1999999999998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179"/>
      <c r="B282" s="180" t="s">
        <v>205</v>
      </c>
      <c r="C282" s="180"/>
      <c r="D282" s="180"/>
      <c r="E282" s="180"/>
      <c r="F282" s="180"/>
      <c r="G282" s="181"/>
      <c r="H282" s="182">
        <f t="shared" ref="H282:U282" si="17">SUM(H9:H281)</f>
        <v>986</v>
      </c>
      <c r="I282" s="183">
        <f t="shared" si="17"/>
        <v>501</v>
      </c>
      <c r="J282" s="183">
        <f t="shared" si="17"/>
        <v>584</v>
      </c>
      <c r="K282" s="184">
        <f t="shared" si="17"/>
        <v>933599.0499999997</v>
      </c>
      <c r="L282" s="185">
        <f t="shared" si="17"/>
        <v>428</v>
      </c>
      <c r="M282" s="184">
        <f t="shared" si="17"/>
        <v>684273.40000000014</v>
      </c>
      <c r="N282" s="184">
        <f t="shared" si="17"/>
        <v>684273.40000000014</v>
      </c>
      <c r="O282" s="186">
        <f t="shared" si="17"/>
        <v>0</v>
      </c>
      <c r="P282" s="187">
        <f t="shared" si="17"/>
        <v>1106</v>
      </c>
      <c r="Q282" s="188">
        <f t="shared" si="17"/>
        <v>3596830.18</v>
      </c>
      <c r="R282" s="185">
        <f t="shared" si="17"/>
        <v>900</v>
      </c>
      <c r="S282" s="188">
        <f t="shared" si="17"/>
        <v>3049391.1300000004</v>
      </c>
      <c r="T282" s="188">
        <f t="shared" si="17"/>
        <v>3049391.1300000004</v>
      </c>
      <c r="U282" s="189">
        <f t="shared" si="17"/>
        <v>0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I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 t="s">
        <v>206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27.75" customHeight="1">
      <c r="A286" s="4"/>
      <c r="B286" s="4"/>
      <c r="C286" s="4"/>
      <c r="D286" s="4"/>
      <c r="E286" s="4"/>
      <c r="F286" s="394"/>
      <c r="G286" s="395" t="s">
        <v>5</v>
      </c>
      <c r="H286" s="396"/>
      <c r="I286" s="396"/>
      <c r="J286" s="396"/>
      <c r="K286" s="396"/>
      <c r="L286" s="396"/>
      <c r="M286" s="396"/>
      <c r="N286" s="397"/>
      <c r="O286" s="395" t="s">
        <v>6</v>
      </c>
      <c r="P286" s="396"/>
      <c r="Q286" s="396"/>
      <c r="R286" s="396"/>
      <c r="S286" s="396"/>
      <c r="T286" s="397"/>
      <c r="U286" s="393" t="s">
        <v>207</v>
      </c>
      <c r="V286" s="393" t="s">
        <v>208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386"/>
      <c r="G287" s="190" t="s">
        <v>13</v>
      </c>
      <c r="H287" s="190" t="s">
        <v>14</v>
      </c>
      <c r="I287" s="190" t="s">
        <v>15</v>
      </c>
      <c r="J287" s="190" t="s">
        <v>16</v>
      </c>
      <c r="K287" s="191" t="s">
        <v>17</v>
      </c>
      <c r="L287" s="190" t="s">
        <v>18</v>
      </c>
      <c r="M287" s="190" t="s">
        <v>19</v>
      </c>
      <c r="N287" s="190" t="s">
        <v>20</v>
      </c>
      <c r="O287" s="190" t="s">
        <v>15</v>
      </c>
      <c r="P287" s="190" t="s">
        <v>16</v>
      </c>
      <c r="Q287" s="191" t="s">
        <v>17</v>
      </c>
      <c r="R287" s="190" t="s">
        <v>18</v>
      </c>
      <c r="S287" s="190" t="s">
        <v>19</v>
      </c>
      <c r="T287" s="190" t="s">
        <v>20</v>
      </c>
      <c r="U287" s="392"/>
      <c r="V287" s="392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24</v>
      </c>
      <c r="G288" s="193">
        <f t="shared" ref="G288:I288" si="18">SUMIF($G$9:$G$281,$F$288,H9:H281)</f>
        <v>695</v>
      </c>
      <c r="H288" s="193">
        <f t="shared" si="18"/>
        <v>418</v>
      </c>
      <c r="I288" s="193">
        <f t="shared" si="18"/>
        <v>501</v>
      </c>
      <c r="J288" s="194">
        <f t="shared" ref="J288:J290" si="19">SUMIF($G$9:$G$281,F288,$K$9:$K$281)</f>
        <v>808593.49999999977</v>
      </c>
      <c r="K288" s="195">
        <f t="shared" ref="K288:K290" si="20">SUMIF($G$9:$G$281,F288,$L$9:$L$281)</f>
        <v>393</v>
      </c>
      <c r="L288" s="194">
        <f t="shared" ref="L288:L290" si="21">SUMIF($G$9:$G$281,F288,$M$9:$M$281)</f>
        <v>622460.19999999984</v>
      </c>
      <c r="M288" s="194">
        <f t="shared" ref="M288:O288" si="22">SUMIF($G$9:$G$281,$F$288,N9:N281)</f>
        <v>622460.19999999984</v>
      </c>
      <c r="N288" s="194">
        <f t="shared" si="22"/>
        <v>0</v>
      </c>
      <c r="O288" s="193">
        <f t="shared" si="22"/>
        <v>914</v>
      </c>
      <c r="P288" s="194">
        <f t="shared" ref="P288:P290" si="23">SUMIF($G$9:$G$281,F288,$Q$9:$Q$281)</f>
        <v>3030905.0199999991</v>
      </c>
      <c r="Q288" s="195">
        <f t="shared" ref="Q288:Q290" si="24">SUMIF($G$9:$G$281,F288,$R$9:$R$281)</f>
        <v>802</v>
      </c>
      <c r="R288" s="194">
        <f t="shared" ref="R288:R290" si="25">SUMIF($G$9:$G$281,F288,$S$9:$S$281)</f>
        <v>2617137.6699999995</v>
      </c>
      <c r="S288" s="194">
        <f t="shared" ref="S288:T288" si="26">SUMIF($G$9:$G$281,$F$288,T9:T281)</f>
        <v>2617137.6699999995</v>
      </c>
      <c r="T288" s="194">
        <f t="shared" si="26"/>
        <v>0</v>
      </c>
      <c r="U288" s="194">
        <f t="shared" ref="U288:U290" si="27">S288+M288</f>
        <v>3239597.8699999992</v>
      </c>
      <c r="V288" s="196">
        <f t="shared" ref="V288:V290" si="28">J288-M288+P288-S288</f>
        <v>599900.64999999944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192" t="s">
        <v>28</v>
      </c>
      <c r="G289" s="236">
        <f t="shared" ref="G289:I289" si="29">SUMIF($G$9:$G$281,$F$289,H9:H281)</f>
        <v>239</v>
      </c>
      <c r="H289" s="193">
        <f t="shared" si="29"/>
        <v>63</v>
      </c>
      <c r="I289" s="193">
        <f t="shared" si="29"/>
        <v>63</v>
      </c>
      <c r="J289" s="194">
        <f t="shared" si="19"/>
        <v>93866.140000000014</v>
      </c>
      <c r="K289" s="195">
        <f t="shared" si="20"/>
        <v>20</v>
      </c>
      <c r="L289" s="194">
        <f t="shared" si="21"/>
        <v>42046.11</v>
      </c>
      <c r="M289" s="194">
        <f t="shared" ref="M289:O289" si="30">SUMIF($G$9:$G$281,$F$289,N9:N281)</f>
        <v>42046.11</v>
      </c>
      <c r="N289" s="194">
        <f t="shared" si="30"/>
        <v>0</v>
      </c>
      <c r="O289" s="193">
        <f t="shared" si="30"/>
        <v>146</v>
      </c>
      <c r="P289" s="194">
        <f t="shared" si="23"/>
        <v>410231.84999999992</v>
      </c>
      <c r="Q289" s="195">
        <f t="shared" si="24"/>
        <v>62</v>
      </c>
      <c r="R289" s="194">
        <f t="shared" si="25"/>
        <v>317293.89</v>
      </c>
      <c r="S289" s="194">
        <f t="shared" ref="S289:T289" si="31">SUMIF($G$9:$G$281,$F$289,T9:T281)</f>
        <v>317293.89</v>
      </c>
      <c r="T289" s="194">
        <f t="shared" si="31"/>
        <v>0</v>
      </c>
      <c r="U289" s="194">
        <f t="shared" si="27"/>
        <v>359340</v>
      </c>
      <c r="V289" s="196">
        <f t="shared" si="28"/>
        <v>144757.98999999993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25</v>
      </c>
      <c r="G290" s="193">
        <f t="shared" ref="G290:I290" si="32">SUMIF($G$9:$G$281,$F$290,H9:H281)</f>
        <v>52</v>
      </c>
      <c r="H290" s="193">
        <f t="shared" si="32"/>
        <v>20</v>
      </c>
      <c r="I290" s="193">
        <f t="shared" si="32"/>
        <v>20</v>
      </c>
      <c r="J290" s="194">
        <f t="shared" si="19"/>
        <v>31139.410000000003</v>
      </c>
      <c r="K290" s="195">
        <f t="shared" si="20"/>
        <v>15</v>
      </c>
      <c r="L290" s="194">
        <f t="shared" si="21"/>
        <v>19767.09</v>
      </c>
      <c r="M290" s="194">
        <f t="shared" ref="M290:O290" si="33">SUMIF($G$9:$G$281,$F$290,N9:N281)</f>
        <v>19767.09</v>
      </c>
      <c r="N290" s="194">
        <f t="shared" si="33"/>
        <v>0</v>
      </c>
      <c r="O290" s="193">
        <f t="shared" si="33"/>
        <v>46</v>
      </c>
      <c r="P290" s="194">
        <f t="shared" si="23"/>
        <v>155693.31</v>
      </c>
      <c r="Q290" s="195">
        <f t="shared" si="24"/>
        <v>36</v>
      </c>
      <c r="R290" s="194">
        <f t="shared" si="25"/>
        <v>114959.57000000002</v>
      </c>
      <c r="S290" s="194">
        <f t="shared" ref="S290:T290" si="34">SUMIF($G$9:$G$281,$F$290,T9:T281)</f>
        <v>114959.57000000002</v>
      </c>
      <c r="T290" s="194">
        <f t="shared" si="34"/>
        <v>0</v>
      </c>
      <c r="U290" s="194">
        <f t="shared" si="27"/>
        <v>134726.66000000003</v>
      </c>
      <c r="V290" s="196">
        <f t="shared" si="28"/>
        <v>52106.059999999983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197">
        <f t="shared" ref="G291:V291" si="35">G290+G289+G288</f>
        <v>986</v>
      </c>
      <c r="H291" s="197">
        <f t="shared" si="35"/>
        <v>501</v>
      </c>
      <c r="I291" s="197">
        <f t="shared" si="35"/>
        <v>584</v>
      </c>
      <c r="J291" s="198">
        <f t="shared" si="35"/>
        <v>933599.04999999981</v>
      </c>
      <c r="K291" s="199">
        <f t="shared" si="35"/>
        <v>428</v>
      </c>
      <c r="L291" s="198">
        <f t="shared" si="35"/>
        <v>684273.39999999979</v>
      </c>
      <c r="M291" s="198">
        <f t="shared" si="35"/>
        <v>684273.39999999979</v>
      </c>
      <c r="N291" s="198">
        <f t="shared" si="35"/>
        <v>0</v>
      </c>
      <c r="O291" s="197">
        <f t="shared" si="35"/>
        <v>1106</v>
      </c>
      <c r="P291" s="198">
        <f t="shared" si="35"/>
        <v>3596830.1799999988</v>
      </c>
      <c r="Q291" s="200">
        <f t="shared" si="35"/>
        <v>900</v>
      </c>
      <c r="R291" s="198">
        <f t="shared" si="35"/>
        <v>3049391.1299999994</v>
      </c>
      <c r="S291" s="198">
        <f t="shared" si="35"/>
        <v>3049391.1299999994</v>
      </c>
      <c r="T291" s="198">
        <f t="shared" si="35"/>
        <v>0</v>
      </c>
      <c r="U291" s="198">
        <f t="shared" si="35"/>
        <v>3733664.5299999993</v>
      </c>
      <c r="V291" s="198">
        <f t="shared" si="35"/>
        <v>796764.69999999937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</sheetData>
  <mergeCells count="681">
    <mergeCell ref="B206:B207"/>
    <mergeCell ref="C206:C207"/>
    <mergeCell ref="A208:A209"/>
    <mergeCell ref="B208:B209"/>
    <mergeCell ref="C208:C209"/>
    <mergeCell ref="D208:D209"/>
    <mergeCell ref="E208:E209"/>
    <mergeCell ref="D224:D225"/>
    <mergeCell ref="E224:E225"/>
    <mergeCell ref="B224:B225"/>
    <mergeCell ref="C224:C225"/>
    <mergeCell ref="C189:C190"/>
    <mergeCell ref="D189:D190"/>
    <mergeCell ref="E189:E190"/>
    <mergeCell ref="A191:A192"/>
    <mergeCell ref="A195:A196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A204:A205"/>
    <mergeCell ref="B204:B205"/>
    <mergeCell ref="C204:C205"/>
    <mergeCell ref="D204:D205"/>
    <mergeCell ref="E204:E205"/>
    <mergeCell ref="A206:A207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202:A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G286:N286"/>
    <mergeCell ref="O286:T286"/>
    <mergeCell ref="U286:U287"/>
    <mergeCell ref="V286:V287"/>
    <mergeCell ref="D173:D174"/>
    <mergeCell ref="E173:E174"/>
    <mergeCell ref="D175:D176"/>
    <mergeCell ref="E175:E176"/>
    <mergeCell ref="D177:D178"/>
    <mergeCell ref="E177:E178"/>
    <mergeCell ref="D206:D207"/>
    <mergeCell ref="E206:E207"/>
    <mergeCell ref="D226:D227"/>
    <mergeCell ref="E226:E227"/>
    <mergeCell ref="D228:D229"/>
    <mergeCell ref="E228:E229"/>
    <mergeCell ref="B272:B273"/>
    <mergeCell ref="C272:C273"/>
    <mergeCell ref="B276:B277"/>
    <mergeCell ref="C276:C277"/>
    <mergeCell ref="A278:A279"/>
    <mergeCell ref="B278:B279"/>
    <mergeCell ref="C278:C279"/>
    <mergeCell ref="A280:A281"/>
    <mergeCell ref="B280:B281"/>
    <mergeCell ref="C280:C281"/>
    <mergeCell ref="A272:A273"/>
    <mergeCell ref="A274:A275"/>
    <mergeCell ref="B274:B275"/>
    <mergeCell ref="C274:C275"/>
    <mergeCell ref="A276:A277"/>
    <mergeCell ref="D280:D281"/>
    <mergeCell ref="E280:E281"/>
    <mergeCell ref="F286:F287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D268:D269"/>
    <mergeCell ref="E268:E269"/>
    <mergeCell ref="D270:D271"/>
    <mergeCell ref="E270:E271"/>
    <mergeCell ref="D272:D273"/>
    <mergeCell ref="E272:E273"/>
    <mergeCell ref="D276:D277"/>
    <mergeCell ref="E276:E277"/>
    <mergeCell ref="D278:D279"/>
    <mergeCell ref="E278:E279"/>
    <mergeCell ref="D274:D275"/>
    <mergeCell ref="E274:E275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A226:A227"/>
    <mergeCell ref="B226:B227"/>
    <mergeCell ref="C226:C227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3</v>
      </c>
      <c r="J9" s="62">
        <v>3</v>
      </c>
      <c r="K9" s="62">
        <v>3875.24</v>
      </c>
      <c r="L9" s="205">
        <v>1</v>
      </c>
      <c r="M9" s="26">
        <f t="shared" ref="M9:M31" si="0">N9+O9</f>
        <v>2161.6999999999998</v>
      </c>
      <c r="N9" s="30">
        <v>2161.6999999999998</v>
      </c>
      <c r="O9" s="28"/>
      <c r="P9" s="29">
        <v>14</v>
      </c>
      <c r="Q9" s="30">
        <v>40163.040000000001</v>
      </c>
      <c r="R9" s="205">
        <v>11</v>
      </c>
      <c r="S9" s="26">
        <f t="shared" ref="S9:S31" si="1">T9+U9</f>
        <v>21561.78</v>
      </c>
      <c r="T9" s="30">
        <v>21561.78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9</v>
      </c>
      <c r="I11" s="203">
        <v>9</v>
      </c>
      <c r="J11" s="203">
        <v>11</v>
      </c>
      <c r="K11" s="65">
        <v>23205.72</v>
      </c>
      <c r="L11" s="224">
        <v>7</v>
      </c>
      <c r="M11" s="50">
        <f t="shared" si="0"/>
        <v>13908.85</v>
      </c>
      <c r="N11" s="65">
        <v>13908.85</v>
      </c>
      <c r="O11" s="52"/>
      <c r="P11" s="53">
        <v>12</v>
      </c>
      <c r="Q11" s="30">
        <v>79204.2</v>
      </c>
      <c r="R11" s="205">
        <v>9</v>
      </c>
      <c r="S11" s="26">
        <f t="shared" si="1"/>
        <v>67281.350000000006</v>
      </c>
      <c r="T11" s="30">
        <v>67281.350000000006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9</v>
      </c>
      <c r="I13" s="62">
        <v>9</v>
      </c>
      <c r="J13" s="62">
        <v>15</v>
      </c>
      <c r="K13" s="30">
        <v>40383.43</v>
      </c>
      <c r="L13" s="205">
        <v>12</v>
      </c>
      <c r="M13" s="26">
        <f t="shared" si="0"/>
        <v>30978.39</v>
      </c>
      <c r="N13" s="30">
        <v>30978.39</v>
      </c>
      <c r="O13" s="299"/>
      <c r="P13" s="64">
        <v>17</v>
      </c>
      <c r="Q13" s="65">
        <v>77967.320000000007</v>
      </c>
      <c r="R13" s="224">
        <v>15</v>
      </c>
      <c r="S13" s="50">
        <f t="shared" si="1"/>
        <v>68385.73</v>
      </c>
      <c r="T13" s="65">
        <v>68385.73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3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2</v>
      </c>
      <c r="Q14" s="68">
        <v>17673.2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10"/>
      <c r="M16" s="211">
        <f t="shared" si="0"/>
        <v>0</v>
      </c>
      <c r="N16" s="211"/>
      <c r="O16" s="212"/>
      <c r="P16" s="262">
        <v>5</v>
      </c>
      <c r="Q16" s="209">
        <v>9605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6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10</v>
      </c>
      <c r="Q17" s="30">
        <v>23125.88</v>
      </c>
      <c r="R17" s="205">
        <v>10</v>
      </c>
      <c r="S17" s="26">
        <f t="shared" si="1"/>
        <v>23125.88</v>
      </c>
      <c r="T17" s="30">
        <v>23125.88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7</v>
      </c>
      <c r="I19" s="266">
        <v>3</v>
      </c>
      <c r="J19" s="266">
        <v>5</v>
      </c>
      <c r="K19" s="79">
        <v>6021.85</v>
      </c>
      <c r="L19" s="268">
        <v>3</v>
      </c>
      <c r="M19" s="81">
        <f t="shared" si="0"/>
        <v>3431.39</v>
      </c>
      <c r="N19" s="79">
        <v>3431.39</v>
      </c>
      <c r="O19" s="269"/>
      <c r="P19" s="267">
        <v>10</v>
      </c>
      <c r="Q19" s="79">
        <v>21035.62</v>
      </c>
      <c r="R19" s="268">
        <v>8</v>
      </c>
      <c r="S19" s="81">
        <f t="shared" si="1"/>
        <v>13219.07</v>
      </c>
      <c r="T19" s="79">
        <v>13219.07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7</v>
      </c>
      <c r="J21" s="203">
        <v>12</v>
      </c>
      <c r="K21" s="65">
        <v>17911.150000000001</v>
      </c>
      <c r="L21" s="224">
        <v>10</v>
      </c>
      <c r="M21" s="50">
        <f t="shared" si="0"/>
        <v>16224.89</v>
      </c>
      <c r="N21" s="65">
        <v>16224.89</v>
      </c>
      <c r="O21" s="225"/>
      <c r="P21" s="53">
        <v>14</v>
      </c>
      <c r="Q21" s="30">
        <v>22822.54</v>
      </c>
      <c r="R21" s="205">
        <v>11</v>
      </c>
      <c r="S21" s="26">
        <f t="shared" si="1"/>
        <v>15383.27</v>
      </c>
      <c r="T21" s="30">
        <v>15383.27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4454.6099999999997</v>
      </c>
      <c r="L23" s="205">
        <v>4</v>
      </c>
      <c r="M23" s="26">
        <f t="shared" si="0"/>
        <v>3686.21</v>
      </c>
      <c r="N23" s="30">
        <v>3686.21</v>
      </c>
      <c r="O23" s="225"/>
      <c r="P23" s="53">
        <v>6</v>
      </c>
      <c r="Q23" s="30">
        <v>6346.45</v>
      </c>
      <c r="R23" s="205">
        <v>3</v>
      </c>
      <c r="S23" s="26">
        <f t="shared" si="1"/>
        <v>4222.78</v>
      </c>
      <c r="T23" s="30">
        <v>4222.78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15</v>
      </c>
      <c r="K25" s="65">
        <v>26674.51</v>
      </c>
      <c r="L25" s="224">
        <v>14</v>
      </c>
      <c r="M25" s="50">
        <f t="shared" si="0"/>
        <v>24819.63</v>
      </c>
      <c r="N25" s="65">
        <v>24819.63</v>
      </c>
      <c r="O25" s="225"/>
      <c r="P25" s="53">
        <v>13</v>
      </c>
      <c r="Q25" s="30">
        <v>20738.62</v>
      </c>
      <c r="R25" s="205">
        <v>12</v>
      </c>
      <c r="S25" s="26">
        <f t="shared" si="1"/>
        <v>19364.259999999998</v>
      </c>
      <c r="T25" s="30">
        <v>19364.259999999998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4</v>
      </c>
      <c r="S26" s="39">
        <f t="shared" si="1"/>
        <v>14036.900000000001</v>
      </c>
      <c r="T26" s="68">
        <f>4302+3533.6+960.5+5240.8</f>
        <v>14036.900000000001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4</v>
      </c>
      <c r="Q28" s="114">
        <v>10949.7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6</v>
      </c>
      <c r="I31" s="203">
        <v>2</v>
      </c>
      <c r="J31" s="203">
        <v>2</v>
      </c>
      <c r="K31" s="65">
        <v>2091.96</v>
      </c>
      <c r="L31" s="224">
        <v>2</v>
      </c>
      <c r="M31" s="50">
        <f t="shared" si="0"/>
        <v>2091.96</v>
      </c>
      <c r="N31" s="65">
        <v>2091.96</v>
      </c>
      <c r="O31" s="225"/>
      <c r="P31" s="108">
        <v>9</v>
      </c>
      <c r="Q31" s="65">
        <v>26163.18</v>
      </c>
      <c r="R31" s="224">
        <v>9</v>
      </c>
      <c r="S31" s="50">
        <f t="shared" si="1"/>
        <v>26163.18</v>
      </c>
      <c r="T31" s="65">
        <v>26163.18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3</v>
      </c>
      <c r="M32" s="114">
        <v>6147.2</v>
      </c>
      <c r="N32" s="114">
        <v>6147.2</v>
      </c>
      <c r="O32" s="222"/>
      <c r="P32" s="113">
        <v>5</v>
      </c>
      <c r="Q32" s="114">
        <v>13543.05</v>
      </c>
      <c r="R32" s="270">
        <v>4</v>
      </c>
      <c r="S32" s="114">
        <v>8548.4500000000007</v>
      </c>
      <c r="T32" s="114">
        <v>8548.4500000000007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3</v>
      </c>
      <c r="J35" s="203">
        <v>3</v>
      </c>
      <c r="K35" s="65">
        <v>1796.46</v>
      </c>
      <c r="L35" s="224">
        <v>2</v>
      </c>
      <c r="M35" s="50">
        <f t="shared" si="2"/>
        <v>951.22</v>
      </c>
      <c r="N35" s="65">
        <v>951.22</v>
      </c>
      <c r="O35" s="31"/>
      <c r="P35" s="64">
        <v>4</v>
      </c>
      <c r="Q35" s="65">
        <v>14213.44</v>
      </c>
      <c r="R35" s="290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10"/>
      <c r="M36" s="211">
        <f t="shared" si="2"/>
        <v>1152.5999999999999</v>
      </c>
      <c r="N36" s="209">
        <f>1152.6</f>
        <v>1152.5999999999999</v>
      </c>
      <c r="O36" s="212"/>
      <c r="P36" s="304">
        <v>2</v>
      </c>
      <c r="Q36" s="209">
        <v>9182.3799999999992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1</v>
      </c>
      <c r="I41" s="25"/>
      <c r="J41" s="25"/>
      <c r="K41" s="26"/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9</v>
      </c>
      <c r="I43" s="266">
        <v>9</v>
      </c>
      <c r="J43" s="266">
        <v>9</v>
      </c>
      <c r="K43" s="79">
        <v>10392.620000000001</v>
      </c>
      <c r="L43" s="268">
        <v>7</v>
      </c>
      <c r="M43" s="81">
        <f t="shared" si="2"/>
        <v>8433.7800000000007</v>
      </c>
      <c r="N43" s="79">
        <v>8433.7800000000007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8</v>
      </c>
      <c r="I45" s="62">
        <v>6</v>
      </c>
      <c r="J45" s="62">
        <v>6</v>
      </c>
      <c r="K45" s="30">
        <v>4857.18</v>
      </c>
      <c r="L45" s="205">
        <v>1</v>
      </c>
      <c r="M45" s="26">
        <f t="shared" si="2"/>
        <v>631.82000000000005</v>
      </c>
      <c r="N45" s="30">
        <v>631.82000000000005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5</v>
      </c>
      <c r="I46" s="261"/>
      <c r="J46" s="261"/>
      <c r="K46" s="211"/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3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6</v>
      </c>
      <c r="Q53" s="65">
        <v>14627.52</v>
      </c>
      <c r="R53" s="224">
        <v>3</v>
      </c>
      <c r="S53" s="50">
        <f t="shared" si="3"/>
        <v>9057.6299999999992</v>
      </c>
      <c r="T53" s="65">
        <v>9057.6299999999992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11</v>
      </c>
      <c r="S54" s="39">
        <f t="shared" si="3"/>
        <v>23705.43</v>
      </c>
      <c r="T54" s="68">
        <f>2209.2+576.3+13639.1+1921+1921+3438.83</f>
        <v>23705.43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3</v>
      </c>
      <c r="J55" s="203">
        <v>3</v>
      </c>
      <c r="K55" s="65">
        <v>3998.34</v>
      </c>
      <c r="L55" s="224">
        <v>2</v>
      </c>
      <c r="M55" s="50">
        <f t="shared" si="2"/>
        <v>2025.09</v>
      </c>
      <c r="N55" s="65">
        <v>2025.09</v>
      </c>
      <c r="O55" s="31"/>
      <c r="P55" s="53">
        <v>3</v>
      </c>
      <c r="Q55" s="30">
        <v>9783.23</v>
      </c>
      <c r="R55" s="205">
        <v>2</v>
      </c>
      <c r="S55" s="26">
        <f t="shared" si="3"/>
        <v>5899.35</v>
      </c>
      <c r="T55" s="30">
        <v>5899.35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7</v>
      </c>
      <c r="I57" s="62">
        <v>6</v>
      </c>
      <c r="J57" s="62">
        <v>7</v>
      </c>
      <c r="K57" s="30">
        <v>14217.9</v>
      </c>
      <c r="L57" s="205">
        <v>7</v>
      </c>
      <c r="M57" s="26">
        <f t="shared" si="2"/>
        <v>14217.9</v>
      </c>
      <c r="N57" s="30">
        <v>14217.9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3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11</v>
      </c>
      <c r="K59" s="65">
        <v>13748.69</v>
      </c>
      <c r="L59" s="224">
        <v>11</v>
      </c>
      <c r="M59" s="50">
        <f t="shared" si="2"/>
        <v>12927.23</v>
      </c>
      <c r="N59" s="65">
        <v>12927.23</v>
      </c>
      <c r="O59" s="225"/>
      <c r="P59" s="53">
        <v>34</v>
      </c>
      <c r="Q59" s="30">
        <v>80148.39</v>
      </c>
      <c r="R59" s="205">
        <v>33</v>
      </c>
      <c r="S59" s="26">
        <f t="shared" si="3"/>
        <v>80088.850000000006</v>
      </c>
      <c r="T59" s="30">
        <v>80088.850000000006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6</v>
      </c>
      <c r="I61" s="62">
        <v>3</v>
      </c>
      <c r="J61" s="62">
        <v>3</v>
      </c>
      <c r="K61" s="30">
        <v>4099.13</v>
      </c>
      <c r="L61" s="205">
        <v>2</v>
      </c>
      <c r="M61" s="26">
        <f t="shared" si="2"/>
        <v>3714.93</v>
      </c>
      <c r="N61" s="30">
        <v>3714.93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4</v>
      </c>
      <c r="I63" s="62">
        <v>1</v>
      </c>
      <c r="J63" s="62">
        <v>1</v>
      </c>
      <c r="K63" s="30">
        <v>2531.11</v>
      </c>
      <c r="L63" s="205">
        <v>1</v>
      </c>
      <c r="M63" s="26">
        <f t="shared" si="2"/>
        <v>2531.11</v>
      </c>
      <c r="N63" s="30">
        <v>2531.11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5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4</v>
      </c>
      <c r="I65" s="266">
        <v>2</v>
      </c>
      <c r="J65" s="266">
        <v>2</v>
      </c>
      <c r="K65" s="79">
        <v>9046.4500000000007</v>
      </c>
      <c r="L65" s="268">
        <v>1</v>
      </c>
      <c r="M65" s="81">
        <f t="shared" si="2"/>
        <v>576.29999999999995</v>
      </c>
      <c r="N65" s="79">
        <v>576.29999999999995</v>
      </c>
      <c r="O65" s="219"/>
      <c r="P65" s="267">
        <v>4</v>
      </c>
      <c r="Q65" s="79">
        <v>5093.67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4</v>
      </c>
      <c r="I66" s="130">
        <v>3</v>
      </c>
      <c r="J66" s="130">
        <v>3</v>
      </c>
      <c r="K66" s="114">
        <v>5196.28</v>
      </c>
      <c r="L66" s="128"/>
      <c r="M66" s="129">
        <f t="shared" si="2"/>
        <v>0</v>
      </c>
      <c r="N66" s="43"/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12</v>
      </c>
      <c r="S69" s="50">
        <f t="shared" si="3"/>
        <v>47225.71</v>
      </c>
      <c r="T69" s="65">
        <v>47225.71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2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44"/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4</v>
      </c>
      <c r="J71" s="62">
        <v>5</v>
      </c>
      <c r="K71" s="30">
        <v>10912.81</v>
      </c>
      <c r="L71" s="205">
        <v>4</v>
      </c>
      <c r="M71" s="26">
        <f t="shared" si="2"/>
        <v>9933.1</v>
      </c>
      <c r="N71" s="30">
        <v>9933.1</v>
      </c>
      <c r="O71" s="225"/>
      <c r="P71" s="29">
        <v>4</v>
      </c>
      <c r="Q71" s="30">
        <v>2984.28</v>
      </c>
      <c r="R71" s="205">
        <v>4</v>
      </c>
      <c r="S71" s="26">
        <f t="shared" si="3"/>
        <v>2984.28</v>
      </c>
      <c r="T71" s="30">
        <v>2984.28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3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5</v>
      </c>
      <c r="I75" s="62">
        <v>3</v>
      </c>
      <c r="J75" s="62">
        <v>3</v>
      </c>
      <c r="K75" s="30">
        <v>3685.15</v>
      </c>
      <c r="L75" s="205">
        <v>3</v>
      </c>
      <c r="M75" s="26">
        <f t="shared" si="2"/>
        <v>3685.15</v>
      </c>
      <c r="N75" s="30">
        <v>3685.15</v>
      </c>
      <c r="O75" s="31"/>
      <c r="P75" s="53">
        <v>1</v>
      </c>
      <c r="Q75" s="30">
        <v>1505.87</v>
      </c>
      <c r="R75" s="27"/>
      <c r="S75" s="26">
        <f t="shared" si="3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5</v>
      </c>
      <c r="J77" s="203">
        <v>6</v>
      </c>
      <c r="K77" s="114">
        <v>8554.2099999999991</v>
      </c>
      <c r="L77" s="224">
        <v>4</v>
      </c>
      <c r="M77" s="50">
        <f t="shared" ref="M77:M93" si="4">N77+O77</f>
        <v>3878.5</v>
      </c>
      <c r="N77" s="65">
        <v>3878.5</v>
      </c>
      <c r="O77" s="225"/>
      <c r="P77" s="108">
        <v>9</v>
      </c>
      <c r="Q77" s="65">
        <v>35662.49</v>
      </c>
      <c r="R77" s="224">
        <v>6</v>
      </c>
      <c r="S77" s="50">
        <f t="shared" si="3"/>
        <v>19829.79</v>
      </c>
      <c r="T77" s="65">
        <v>19829.79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27</v>
      </c>
      <c r="I79" s="62">
        <v>19</v>
      </c>
      <c r="J79" s="62">
        <v>29</v>
      </c>
      <c r="K79" s="30">
        <v>57740.59</v>
      </c>
      <c r="L79" s="205">
        <v>29</v>
      </c>
      <c r="M79" s="26">
        <f t="shared" si="4"/>
        <v>57740.59</v>
      </c>
      <c r="N79" s="30">
        <v>57740.59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4</v>
      </c>
      <c r="I81" s="62">
        <v>3</v>
      </c>
      <c r="J81" s="62">
        <v>2</v>
      </c>
      <c r="K81" s="30">
        <v>768.4</v>
      </c>
      <c r="L81" s="205">
        <v>2</v>
      </c>
      <c r="M81" s="26">
        <f t="shared" si="4"/>
        <v>768.4</v>
      </c>
      <c r="N81" s="30">
        <v>768.4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4</v>
      </c>
      <c r="K85" s="79">
        <v>5917.36</v>
      </c>
      <c r="L85" s="268">
        <v>4</v>
      </c>
      <c r="M85" s="81">
        <f t="shared" si="4"/>
        <v>5917.36</v>
      </c>
      <c r="N85" s="79">
        <v>5917.36</v>
      </c>
      <c r="O85" s="269"/>
      <c r="P85" s="267">
        <v>10</v>
      </c>
      <c r="Q85" s="79">
        <v>23116.35</v>
      </c>
      <c r="R85" s="268">
        <v>8</v>
      </c>
      <c r="S85" s="81">
        <f t="shared" si="3"/>
        <v>13202.66</v>
      </c>
      <c r="T85" s="79">
        <v>13202.66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98"/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3</v>
      </c>
      <c r="S91" s="26">
        <f t="shared" si="3"/>
        <v>7652.33</v>
      </c>
      <c r="T91" s="30">
        <v>7652.33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8</v>
      </c>
      <c r="J93" s="62">
        <v>9</v>
      </c>
      <c r="K93" s="30">
        <v>16530.419999999998</v>
      </c>
      <c r="L93" s="205">
        <v>7</v>
      </c>
      <c r="M93" s="26">
        <f t="shared" si="4"/>
        <v>13410.66</v>
      </c>
      <c r="N93" s="30">
        <v>13410.66</v>
      </c>
      <c r="O93" s="31"/>
      <c r="P93" s="53">
        <v>8</v>
      </c>
      <c r="Q93" s="30">
        <v>31399.9</v>
      </c>
      <c r="R93" s="205">
        <v>8</v>
      </c>
      <c r="S93" s="26">
        <f t="shared" si="3"/>
        <v>31399.9</v>
      </c>
      <c r="T93" s="30">
        <v>31399.9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3</v>
      </c>
      <c r="J94" s="37">
        <v>3</v>
      </c>
      <c r="K94" s="68">
        <v>3380.96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2</v>
      </c>
      <c r="J95" s="203">
        <v>2</v>
      </c>
      <c r="K95" s="65">
        <v>2731.66</v>
      </c>
      <c r="L95" s="224">
        <v>1</v>
      </c>
      <c r="M95" s="50">
        <f t="shared" ref="M95:M225" si="5">N95+O95</f>
        <v>697.32</v>
      </c>
      <c r="N95" s="65">
        <v>697.32</v>
      </c>
      <c r="O95" s="31"/>
      <c r="P95" s="108">
        <v>8</v>
      </c>
      <c r="Q95" s="65">
        <v>93924.24</v>
      </c>
      <c r="R95" s="224">
        <v>7</v>
      </c>
      <c r="S95" s="50">
        <f t="shared" ref="S95:S101" si="6">T95+U95</f>
        <v>55584.74</v>
      </c>
      <c r="T95" s="65">
        <v>55584.74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2</v>
      </c>
      <c r="J97" s="62">
        <v>2</v>
      </c>
      <c r="K97" s="30">
        <v>6064.6</v>
      </c>
      <c r="L97" s="205">
        <v>1</v>
      </c>
      <c r="M97" s="26">
        <f t="shared" si="5"/>
        <v>4374.12</v>
      </c>
      <c r="N97" s="30">
        <v>4374.12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130">
        <v>1</v>
      </c>
      <c r="J98" s="130">
        <v>1</v>
      </c>
      <c r="K98" s="114">
        <v>552.29999999999995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2</v>
      </c>
      <c r="J99" s="62">
        <v>3</v>
      </c>
      <c r="K99" s="30">
        <v>4738.63</v>
      </c>
      <c r="L99" s="205">
        <v>2</v>
      </c>
      <c r="M99" s="26">
        <f t="shared" si="5"/>
        <v>4354.43</v>
      </c>
      <c r="N99" s="30">
        <v>4354.43</v>
      </c>
      <c r="O99" s="225"/>
      <c r="P99" s="53">
        <v>3</v>
      </c>
      <c r="Q99" s="30">
        <v>15479.57</v>
      </c>
      <c r="R99" s="205">
        <v>2</v>
      </c>
      <c r="S99" s="26">
        <f t="shared" si="6"/>
        <v>2699.68</v>
      </c>
      <c r="T99" s="30">
        <v>2699.68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4</v>
      </c>
      <c r="J101" s="62">
        <v>4</v>
      </c>
      <c r="K101" s="30">
        <v>10036.370000000001</v>
      </c>
      <c r="L101" s="205">
        <v>2</v>
      </c>
      <c r="M101" s="26">
        <f t="shared" si="5"/>
        <v>6578.57</v>
      </c>
      <c r="N101" s="30">
        <v>6578.57</v>
      </c>
      <c r="O101" s="31"/>
      <c r="P101" s="53">
        <v>20</v>
      </c>
      <c r="Q101" s="30">
        <v>47266.68</v>
      </c>
      <c r="R101" s="205">
        <v>20</v>
      </c>
      <c r="S101" s="26">
        <f t="shared" si="6"/>
        <v>47266.68</v>
      </c>
      <c r="T101" s="30">
        <v>47266.68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4</v>
      </c>
      <c r="J102" s="130">
        <v>4</v>
      </c>
      <c r="K102" s="114">
        <v>4994.6000000000004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7</v>
      </c>
      <c r="Q102" s="114">
        <v>19417.740000000002</v>
      </c>
      <c r="R102" s="270">
        <v>4</v>
      </c>
      <c r="S102" s="114">
        <v>11577.6</v>
      </c>
      <c r="T102" s="114">
        <v>11577.6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5</v>
      </c>
      <c r="I103" s="62">
        <v>5</v>
      </c>
      <c r="J103" s="62">
        <v>5</v>
      </c>
      <c r="K103" s="30">
        <v>3208.34</v>
      </c>
      <c r="L103" s="205">
        <v>3</v>
      </c>
      <c r="M103" s="26">
        <f t="shared" si="5"/>
        <v>1118.98</v>
      </c>
      <c r="N103" s="30">
        <v>1118.98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7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5</v>
      </c>
      <c r="I104" s="208">
        <v>3</v>
      </c>
      <c r="J104" s="208">
        <v>3</v>
      </c>
      <c r="K104" s="209">
        <v>4610.3999999999996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44"/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9</v>
      </c>
      <c r="I105" s="62">
        <v>6</v>
      </c>
      <c r="J105" s="62">
        <v>8</v>
      </c>
      <c r="K105" s="30">
        <v>17793.09</v>
      </c>
      <c r="L105" s="205">
        <v>7</v>
      </c>
      <c r="M105" s="26">
        <f t="shared" si="5"/>
        <v>10146.31</v>
      </c>
      <c r="N105" s="30">
        <v>10146.31</v>
      </c>
      <c r="O105" s="241"/>
      <c r="P105" s="214">
        <v>12</v>
      </c>
      <c r="Q105" s="30">
        <v>50650.69</v>
      </c>
      <c r="R105" s="205">
        <v>11</v>
      </c>
      <c r="S105" s="26">
        <f t="shared" si="7"/>
        <v>49430.98</v>
      </c>
      <c r="T105" s="30">
        <v>49430.98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5</v>
      </c>
      <c r="I106" s="286">
        <v>3</v>
      </c>
      <c r="J106" s="286">
        <v>3</v>
      </c>
      <c r="K106" s="287">
        <v>6915.6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40"/>
      <c r="S106" s="39">
        <f t="shared" si="7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5</v>
      </c>
      <c r="Q107" s="65">
        <v>33607.81</v>
      </c>
      <c r="R107" s="224">
        <v>1</v>
      </c>
      <c r="S107" s="50">
        <f t="shared" si="7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40"/>
      <c r="M108" s="39">
        <f t="shared" si="5"/>
        <v>0</v>
      </c>
      <c r="N108" s="39"/>
      <c r="O108" s="41"/>
      <c r="P108" s="59"/>
      <c r="Q108" s="39"/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5</v>
      </c>
      <c r="M109" s="50">
        <f t="shared" si="5"/>
        <v>8143.62</v>
      </c>
      <c r="N109" s="65">
        <v>8143.62</v>
      </c>
      <c r="O109" s="225"/>
      <c r="P109" s="108">
        <v>9</v>
      </c>
      <c r="Q109" s="65">
        <v>19656.830000000002</v>
      </c>
      <c r="R109" s="224">
        <v>9</v>
      </c>
      <c r="S109" s="50">
        <f t="shared" si="7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3</v>
      </c>
      <c r="M110" s="50">
        <f t="shared" si="5"/>
        <v>3733.7999999999997</v>
      </c>
      <c r="N110" s="43">
        <f>1290.6+1152.6+1290.6</f>
        <v>3733.7999999999997</v>
      </c>
      <c r="O110" s="41"/>
      <c r="P110" s="113">
        <v>2</v>
      </c>
      <c r="Q110" s="114">
        <v>8007.8</v>
      </c>
      <c r="R110" s="270">
        <v>3</v>
      </c>
      <c r="S110" s="43">
        <f t="shared" si="7"/>
        <v>12810.6</v>
      </c>
      <c r="T110" s="114">
        <f>4358.2+3649.9+4802.5</f>
        <v>12810.6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5"/>
        <v>3538.71</v>
      </c>
      <c r="N111" s="30">
        <v>3538.71</v>
      </c>
      <c r="O111" s="225"/>
      <c r="P111" s="53">
        <v>5</v>
      </c>
      <c r="Q111" s="30">
        <v>7208.15</v>
      </c>
      <c r="R111" s="205">
        <v>5</v>
      </c>
      <c r="S111" s="26">
        <f t="shared" si="7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285">
        <v>2</v>
      </c>
      <c r="M112" s="39">
        <f t="shared" si="5"/>
        <v>4934.5</v>
      </c>
      <c r="N112" s="39">
        <f>1580.8+3353.7</f>
        <v>4934.5</v>
      </c>
      <c r="O112" s="41"/>
      <c r="P112" s="115">
        <v>1</v>
      </c>
      <c r="Q112" s="68">
        <v>1377.7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11</v>
      </c>
      <c r="I113" s="203">
        <v>7</v>
      </c>
      <c r="J113" s="203">
        <v>7</v>
      </c>
      <c r="K113" s="65">
        <v>17655</v>
      </c>
      <c r="L113" s="224">
        <v>5</v>
      </c>
      <c r="M113" s="50">
        <f t="shared" si="5"/>
        <v>10662.56</v>
      </c>
      <c r="N113" s="65">
        <v>10662.56</v>
      </c>
      <c r="O113" s="225"/>
      <c r="P113" s="108">
        <v>18</v>
      </c>
      <c r="Q113" s="65">
        <v>49334.39</v>
      </c>
      <c r="R113" s="224">
        <v>11</v>
      </c>
      <c r="S113" s="50">
        <f t="shared" si="7"/>
        <v>36822.959999999999</v>
      </c>
      <c r="T113" s="65">
        <v>36822.959999999999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5</v>
      </c>
      <c r="I115" s="62">
        <v>5</v>
      </c>
      <c r="J115" s="62">
        <v>5</v>
      </c>
      <c r="K115" s="30">
        <v>4306.6099999999997</v>
      </c>
      <c r="L115" s="205">
        <v>3</v>
      </c>
      <c r="M115" s="26">
        <f t="shared" si="5"/>
        <v>3154.01</v>
      </c>
      <c r="N115" s="30">
        <v>3154.01</v>
      </c>
      <c r="O115" s="31"/>
      <c r="P115" s="53">
        <v>9</v>
      </c>
      <c r="Q115" s="30">
        <v>63620.18</v>
      </c>
      <c r="R115" s="205">
        <v>8</v>
      </c>
      <c r="S115" s="26">
        <f t="shared" si="7"/>
        <v>61606.400000000001</v>
      </c>
      <c r="T115" s="30">
        <v>61606.400000000001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4</v>
      </c>
      <c r="I116" s="57"/>
      <c r="J116" s="57"/>
      <c r="K116" s="43"/>
      <c r="L116" s="44"/>
      <c r="M116" s="43">
        <f t="shared" si="5"/>
        <v>0</v>
      </c>
      <c r="N116" s="43"/>
      <c r="O116" s="41"/>
      <c r="P116" s="113">
        <v>2</v>
      </c>
      <c r="Q116" s="114">
        <v>2881.5</v>
      </c>
      <c r="R116" s="270">
        <v>2</v>
      </c>
      <c r="S116" s="43">
        <f t="shared" si="7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9</v>
      </c>
      <c r="I117" s="62">
        <v>8</v>
      </c>
      <c r="J117" s="62">
        <v>8</v>
      </c>
      <c r="K117" s="30">
        <v>8441.5</v>
      </c>
      <c r="L117" s="205">
        <v>3</v>
      </c>
      <c r="M117" s="26">
        <f t="shared" si="5"/>
        <v>2714.37</v>
      </c>
      <c r="N117" s="30">
        <v>2714.37</v>
      </c>
      <c r="O117" s="31"/>
      <c r="P117" s="53">
        <v>7</v>
      </c>
      <c r="Q117" s="30">
        <v>28154.06</v>
      </c>
      <c r="R117" s="205">
        <v>7</v>
      </c>
      <c r="S117" s="26">
        <f t="shared" si="7"/>
        <v>28154.06</v>
      </c>
      <c r="T117" s="30">
        <v>28154.06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40"/>
      <c r="M119" s="39">
        <f t="shared" si="5"/>
        <v>0</v>
      </c>
      <c r="N119" s="39"/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4356.83</v>
      </c>
      <c r="L120" s="224">
        <v>1</v>
      </c>
      <c r="M120" s="50">
        <f t="shared" si="5"/>
        <v>1267.8599999999999</v>
      </c>
      <c r="N120" s="65">
        <v>1267.8599999999999</v>
      </c>
      <c r="O120" s="31"/>
      <c r="P120" s="108">
        <v>4</v>
      </c>
      <c r="Q120" s="65">
        <v>10383.700000000001</v>
      </c>
      <c r="R120" s="224">
        <v>3</v>
      </c>
      <c r="S120" s="50">
        <f t="shared" si="7"/>
        <v>9678.9</v>
      </c>
      <c r="T120" s="65">
        <v>9678.9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5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5</v>
      </c>
      <c r="I122" s="62">
        <v>3</v>
      </c>
      <c r="J122" s="62">
        <v>4</v>
      </c>
      <c r="K122" s="30">
        <v>4102.0200000000004</v>
      </c>
      <c r="L122" s="205">
        <v>2</v>
      </c>
      <c r="M122" s="26">
        <f t="shared" si="5"/>
        <v>1719.3</v>
      </c>
      <c r="N122" s="30">
        <v>1719.3</v>
      </c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5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11</v>
      </c>
      <c r="I124" s="62">
        <v>9</v>
      </c>
      <c r="J124" s="62">
        <v>14</v>
      </c>
      <c r="K124" s="30">
        <v>21067.56</v>
      </c>
      <c r="L124" s="205">
        <v>9</v>
      </c>
      <c r="M124" s="26">
        <f t="shared" si="5"/>
        <v>11503.24</v>
      </c>
      <c r="N124" s="30">
        <v>11503.24</v>
      </c>
      <c r="O124" s="225"/>
      <c r="P124" s="53">
        <v>10</v>
      </c>
      <c r="Q124" s="30">
        <v>26937.9</v>
      </c>
      <c r="R124" s="205">
        <v>9</v>
      </c>
      <c r="S124" s="26">
        <f t="shared" si="7"/>
        <v>22270.76</v>
      </c>
      <c r="T124" s="30">
        <v>22270.76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2</v>
      </c>
      <c r="I125" s="130">
        <v>2</v>
      </c>
      <c r="J125" s="130">
        <v>2</v>
      </c>
      <c r="K125" s="114">
        <v>2497.3000000000002</v>
      </c>
      <c r="L125" s="44"/>
      <c r="M125" s="43">
        <f t="shared" si="5"/>
        <v>1152.5999999999999</v>
      </c>
      <c r="N125" s="43">
        <f>1152.6</f>
        <v>1152.5999999999999</v>
      </c>
      <c r="O125" s="45"/>
      <c r="P125" s="113">
        <v>2</v>
      </c>
      <c r="Q125" s="114">
        <v>5186.7</v>
      </c>
      <c r="R125" s="44"/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5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5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6</v>
      </c>
      <c r="I128" s="62">
        <v>3</v>
      </c>
      <c r="J128" s="62">
        <v>4</v>
      </c>
      <c r="K128" s="30">
        <v>5120.59</v>
      </c>
      <c r="L128" s="205">
        <v>3</v>
      </c>
      <c r="M128" s="26">
        <f t="shared" si="5"/>
        <v>3189.98</v>
      </c>
      <c r="N128" s="30">
        <v>3189.98</v>
      </c>
      <c r="O128" s="243"/>
      <c r="P128" s="64">
        <v>4</v>
      </c>
      <c r="Q128" s="65">
        <v>11112.76</v>
      </c>
      <c r="R128" s="224">
        <v>2</v>
      </c>
      <c r="S128" s="50">
        <f t="shared" si="7"/>
        <v>3540.18</v>
      </c>
      <c r="T128" s="65">
        <v>3540.18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5"/>
        <v>0</v>
      </c>
      <c r="N129" s="39"/>
      <c r="O129" s="41"/>
      <c r="P129" s="67">
        <v>1</v>
      </c>
      <c r="Q129" s="68">
        <v>2305.1999999999998</v>
      </c>
      <c r="R129" s="40"/>
      <c r="S129" s="39">
        <f t="shared" si="7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12</v>
      </c>
      <c r="I130" s="203">
        <v>8</v>
      </c>
      <c r="J130" s="203">
        <v>9</v>
      </c>
      <c r="K130" s="65">
        <v>19906.349999999999</v>
      </c>
      <c r="L130" s="224">
        <v>5</v>
      </c>
      <c r="M130" s="50">
        <f t="shared" si="5"/>
        <v>13711.53</v>
      </c>
      <c r="N130" s="65">
        <v>13711.53</v>
      </c>
      <c r="O130" s="225"/>
      <c r="P130" s="108">
        <v>25</v>
      </c>
      <c r="Q130" s="65">
        <v>93722.79</v>
      </c>
      <c r="R130" s="224">
        <v>18</v>
      </c>
      <c r="S130" s="50">
        <f t="shared" si="7"/>
        <v>59334.53</v>
      </c>
      <c r="T130" s="65">
        <v>59334.53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5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9</v>
      </c>
      <c r="I132" s="62">
        <v>1</v>
      </c>
      <c r="J132" s="62">
        <v>1</v>
      </c>
      <c r="K132" s="30">
        <v>1405.21</v>
      </c>
      <c r="L132" s="27"/>
      <c r="M132" s="26">
        <f t="shared" si="5"/>
        <v>0</v>
      </c>
      <c r="N132" s="26"/>
      <c r="O132" s="31"/>
      <c r="P132" s="53">
        <v>13</v>
      </c>
      <c r="Q132" s="30">
        <v>46879.51</v>
      </c>
      <c r="R132" s="205">
        <v>12</v>
      </c>
      <c r="S132" s="26">
        <f t="shared" si="7"/>
        <v>46294.31</v>
      </c>
      <c r="T132" s="30">
        <v>46294.31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5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12</v>
      </c>
      <c r="I134" s="62">
        <v>6</v>
      </c>
      <c r="J134" s="62">
        <v>5</v>
      </c>
      <c r="K134" s="30">
        <v>6628.44</v>
      </c>
      <c r="L134" s="205">
        <v>3</v>
      </c>
      <c r="M134" s="26">
        <f t="shared" si="5"/>
        <v>2221.61</v>
      </c>
      <c r="N134" s="30">
        <v>2221.61</v>
      </c>
      <c r="O134" s="31"/>
      <c r="P134" s="53">
        <v>24</v>
      </c>
      <c r="Q134" s="30">
        <v>39369.230000000003</v>
      </c>
      <c r="R134" s="205">
        <v>24</v>
      </c>
      <c r="S134" s="26">
        <f t="shared" si="7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4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5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5"/>
        <v>0</v>
      </c>
      <c r="N136" s="26"/>
      <c r="O136" s="28"/>
      <c r="P136" s="214"/>
      <c r="Q136" s="30"/>
      <c r="R136" s="205"/>
      <c r="S136" s="26">
        <f t="shared" ref="S136:S149" si="8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5"/>
        <v>0</v>
      </c>
      <c r="N137" s="39"/>
      <c r="O137" s="41"/>
      <c r="P137" s="217"/>
      <c r="Q137" s="68"/>
      <c r="R137" s="285"/>
      <c r="S137" s="39">
        <f t="shared" si="8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16</v>
      </c>
      <c r="I138" s="266">
        <v>16</v>
      </c>
      <c r="J138" s="266">
        <v>19</v>
      </c>
      <c r="K138" s="79">
        <v>30833.119999999999</v>
      </c>
      <c r="L138" s="268">
        <v>7</v>
      </c>
      <c r="M138" s="81">
        <f t="shared" si="5"/>
        <v>9796.43</v>
      </c>
      <c r="N138" s="79">
        <v>9796.43</v>
      </c>
      <c r="O138" s="269"/>
      <c r="P138" s="267">
        <v>15</v>
      </c>
      <c r="Q138" s="79">
        <v>74080.17</v>
      </c>
      <c r="R138" s="268">
        <v>14</v>
      </c>
      <c r="S138" s="81">
        <f t="shared" si="8"/>
        <v>68482.759999999995</v>
      </c>
      <c r="T138" s="79">
        <v>68482.759999999995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5"/>
        <v>0</v>
      </c>
      <c r="N139" s="39"/>
      <c r="O139" s="41"/>
      <c r="P139" s="59"/>
      <c r="Q139" s="39"/>
      <c r="R139" s="40"/>
      <c r="S139" s="39">
        <f t="shared" si="8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12</v>
      </c>
      <c r="I140" s="203">
        <v>6</v>
      </c>
      <c r="J140" s="203">
        <v>8</v>
      </c>
      <c r="K140" s="65">
        <v>17205.05</v>
      </c>
      <c r="L140" s="224">
        <v>6</v>
      </c>
      <c r="M140" s="50">
        <f t="shared" si="5"/>
        <v>11288.37</v>
      </c>
      <c r="N140" s="65">
        <v>11288.37</v>
      </c>
      <c r="O140" s="225"/>
      <c r="P140" s="108">
        <v>47</v>
      </c>
      <c r="Q140" s="65">
        <v>286610</v>
      </c>
      <c r="R140" s="224">
        <v>43</v>
      </c>
      <c r="S140" s="50">
        <f t="shared" si="8"/>
        <v>253338.63</v>
      </c>
      <c r="T140" s="65">
        <v>253338.63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5"/>
        <v>0</v>
      </c>
      <c r="N141" s="129"/>
      <c r="O141" s="45"/>
      <c r="P141" s="156"/>
      <c r="Q141" s="129"/>
      <c r="R141" s="128"/>
      <c r="S141" s="129">
        <f t="shared" si="8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5"/>
        <v>0</v>
      </c>
      <c r="N142" s="43"/>
      <c r="O142" s="41"/>
      <c r="P142" s="113">
        <v>2</v>
      </c>
      <c r="Q142" s="114">
        <v>6912.6</v>
      </c>
      <c r="R142" s="270">
        <v>2</v>
      </c>
      <c r="S142" s="43">
        <f t="shared" si="8"/>
        <v>6531.4</v>
      </c>
      <c r="T142" s="114">
        <f>2305.2+4226.2</f>
        <v>6531.4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5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8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3</v>
      </c>
      <c r="I144" s="37">
        <v>2</v>
      </c>
      <c r="J144" s="37">
        <v>2</v>
      </c>
      <c r="K144" s="68">
        <v>2305.1999999999998</v>
      </c>
      <c r="L144" s="40"/>
      <c r="M144" s="39">
        <f t="shared" si="5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8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7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5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8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5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8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5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8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5"/>
        <v>0</v>
      </c>
      <c r="N148" s="43"/>
      <c r="O148" s="41"/>
      <c r="P148" s="103"/>
      <c r="Q148" s="43"/>
      <c r="R148" s="44"/>
      <c r="S148" s="43">
        <f t="shared" si="8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62">
        <v>2</v>
      </c>
      <c r="J149" s="62">
        <v>2</v>
      </c>
      <c r="K149" s="30">
        <v>2935.73</v>
      </c>
      <c r="L149" s="205">
        <v>1</v>
      </c>
      <c r="M149" s="26">
        <f t="shared" si="5"/>
        <v>1854.88</v>
      </c>
      <c r="N149" s="30">
        <v>1854.88</v>
      </c>
      <c r="O149" s="31"/>
      <c r="P149" s="53">
        <v>4</v>
      </c>
      <c r="Q149" s="30">
        <v>22885.21</v>
      </c>
      <c r="R149" s="205">
        <v>3</v>
      </c>
      <c r="S149" s="26">
        <f t="shared" si="8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43">
        <f t="shared" si="5"/>
        <v>1728.9</v>
      </c>
      <c r="N150" s="114">
        <v>1728.9</v>
      </c>
      <c r="O150" s="234"/>
      <c r="P150" s="113">
        <v>3</v>
      </c>
      <c r="Q150" s="114">
        <v>7539.8</v>
      </c>
      <c r="R150" s="270">
        <v>1</v>
      </c>
      <c r="S150" s="114">
        <v>3457.8</v>
      </c>
      <c r="T150" s="114">
        <v>3457.8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9</v>
      </c>
      <c r="I151" s="62">
        <v>7</v>
      </c>
      <c r="J151" s="62">
        <v>8</v>
      </c>
      <c r="K151" s="30">
        <v>9587.24</v>
      </c>
      <c r="L151" s="205">
        <v>7</v>
      </c>
      <c r="M151" s="26">
        <f t="shared" si="5"/>
        <v>7882.16</v>
      </c>
      <c r="N151" s="30">
        <v>7882.16</v>
      </c>
      <c r="O151" s="225"/>
      <c r="P151" s="53">
        <v>12</v>
      </c>
      <c r="Q151" s="30">
        <v>45972.74</v>
      </c>
      <c r="R151" s="205">
        <v>10</v>
      </c>
      <c r="S151" s="26">
        <f t="shared" ref="S151:S183" si="9">T151+U151</f>
        <v>30631.77</v>
      </c>
      <c r="T151" s="30">
        <v>30631.77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128"/>
      <c r="M152" s="129">
        <f t="shared" si="5"/>
        <v>0</v>
      </c>
      <c r="N152" s="129"/>
      <c r="O152" s="45"/>
      <c r="P152" s="238">
        <v>7</v>
      </c>
      <c r="Q152" s="239">
        <v>11775.73</v>
      </c>
      <c r="R152" s="316">
        <v>6</v>
      </c>
      <c r="S152" s="129">
        <f t="shared" si="9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5"/>
        <v>0</v>
      </c>
      <c r="N153" s="43"/>
      <c r="O153" s="41"/>
      <c r="P153" s="103"/>
      <c r="Q153" s="43"/>
      <c r="R153" s="44"/>
      <c r="S153" s="43">
        <f t="shared" si="9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9</v>
      </c>
      <c r="I154" s="62">
        <v>1</v>
      </c>
      <c r="J154" s="25"/>
      <c r="K154" s="26"/>
      <c r="L154" s="27"/>
      <c r="M154" s="26">
        <f t="shared" si="5"/>
        <v>0</v>
      </c>
      <c r="N154" s="26"/>
      <c r="O154" s="31"/>
      <c r="P154" s="99"/>
      <c r="Q154" s="26"/>
      <c r="R154" s="27"/>
      <c r="S154" s="26">
        <f t="shared" si="9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5"/>
        <v>0</v>
      </c>
      <c r="N155" s="39"/>
      <c r="O155" s="41"/>
      <c r="P155" s="59"/>
      <c r="Q155" s="39"/>
      <c r="R155" s="40"/>
      <c r="S155" s="39">
        <f t="shared" si="9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8</v>
      </c>
      <c r="I156" s="203">
        <v>6</v>
      </c>
      <c r="J156" s="203">
        <v>6</v>
      </c>
      <c r="K156" s="65">
        <v>8949.17</v>
      </c>
      <c r="L156" s="224">
        <v>3</v>
      </c>
      <c r="M156" s="50">
        <f t="shared" si="5"/>
        <v>6564.06</v>
      </c>
      <c r="N156" s="65">
        <v>6564.06</v>
      </c>
      <c r="O156" s="225"/>
      <c r="P156" s="108">
        <v>5</v>
      </c>
      <c r="Q156" s="65">
        <v>27150.720000000001</v>
      </c>
      <c r="R156" s="224">
        <v>5</v>
      </c>
      <c r="S156" s="50">
        <f t="shared" si="9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8</v>
      </c>
      <c r="I157" s="246">
        <v>2</v>
      </c>
      <c r="J157" s="246">
        <v>2</v>
      </c>
      <c r="K157" s="158">
        <v>4226.2</v>
      </c>
      <c r="L157" s="143"/>
      <c r="M157" s="142">
        <f t="shared" si="5"/>
        <v>0</v>
      </c>
      <c r="N157" s="142"/>
      <c r="O157" s="45"/>
      <c r="P157" s="157">
        <v>4</v>
      </c>
      <c r="Q157" s="158">
        <v>8625.2900000000009</v>
      </c>
      <c r="R157" s="224">
        <v>5</v>
      </c>
      <c r="S157" s="50">
        <f t="shared" si="9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5"/>
        <v>0</v>
      </c>
      <c r="N158" s="43"/>
      <c r="O158" s="41"/>
      <c r="P158" s="103"/>
      <c r="Q158" s="43"/>
      <c r="R158" s="44"/>
      <c r="S158" s="43">
        <f t="shared" si="9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9</v>
      </c>
      <c r="I159" s="62">
        <v>5</v>
      </c>
      <c r="J159" s="62">
        <v>5</v>
      </c>
      <c r="K159" s="30">
        <v>8972.02</v>
      </c>
      <c r="L159" s="205">
        <v>3</v>
      </c>
      <c r="M159" s="26">
        <f t="shared" si="5"/>
        <v>3034.21</v>
      </c>
      <c r="N159" s="30">
        <v>3034.21</v>
      </c>
      <c r="O159" s="31"/>
      <c r="P159" s="53">
        <v>1</v>
      </c>
      <c r="Q159" s="30">
        <v>576.29999999999995</v>
      </c>
      <c r="R159" s="205">
        <v>1</v>
      </c>
      <c r="S159" s="26">
        <f t="shared" si="9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6</v>
      </c>
      <c r="I160" s="37">
        <v>1</v>
      </c>
      <c r="J160" s="37">
        <v>1</v>
      </c>
      <c r="K160" s="68">
        <v>576.29999999999995</v>
      </c>
      <c r="L160" s="40"/>
      <c r="M160" s="39">
        <f t="shared" si="5"/>
        <v>0</v>
      </c>
      <c r="N160" s="39"/>
      <c r="O160" s="41"/>
      <c r="P160" s="115">
        <v>2</v>
      </c>
      <c r="Q160" s="68">
        <v>3265.7</v>
      </c>
      <c r="R160" s="285">
        <v>2</v>
      </c>
      <c r="S160" s="39">
        <f t="shared" si="9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6</v>
      </c>
      <c r="I161" s="203">
        <v>5</v>
      </c>
      <c r="J161" s="203">
        <v>6</v>
      </c>
      <c r="K161" s="65">
        <v>13186.17</v>
      </c>
      <c r="L161" s="224">
        <v>3</v>
      </c>
      <c r="M161" s="50">
        <f t="shared" si="5"/>
        <v>7338.22</v>
      </c>
      <c r="N161" s="65">
        <v>7338.22</v>
      </c>
      <c r="O161" s="31"/>
      <c r="P161" s="108">
        <v>8</v>
      </c>
      <c r="Q161" s="65">
        <v>16335.71</v>
      </c>
      <c r="R161" s="224">
        <v>8</v>
      </c>
      <c r="S161" s="50">
        <f t="shared" si="9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3</v>
      </c>
      <c r="J162" s="130">
        <v>3</v>
      </c>
      <c r="K162" s="114">
        <v>5993.52</v>
      </c>
      <c r="L162" s="270">
        <v>3</v>
      </c>
      <c r="M162" s="43">
        <f t="shared" si="5"/>
        <v>5225.12</v>
      </c>
      <c r="N162" s="43">
        <f>3880.42+1344.7</f>
        <v>5225.12</v>
      </c>
      <c r="O162" s="41"/>
      <c r="P162" s="113">
        <v>5</v>
      </c>
      <c r="Q162" s="114">
        <v>11814.15</v>
      </c>
      <c r="R162" s="270">
        <v>3</v>
      </c>
      <c r="S162" s="43">
        <f t="shared" si="9"/>
        <v>7203.75</v>
      </c>
      <c r="T162" s="114">
        <f>4802.5+2401.25</f>
        <v>7203.75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14075.36</v>
      </c>
      <c r="L163" s="205">
        <v>4</v>
      </c>
      <c r="M163" s="26">
        <f t="shared" si="5"/>
        <v>11839.32</v>
      </c>
      <c r="N163" s="30">
        <v>11839.32</v>
      </c>
      <c r="O163" s="225"/>
      <c r="P163" s="53">
        <v>11</v>
      </c>
      <c r="Q163" s="30">
        <v>35731.35</v>
      </c>
      <c r="R163" s="205">
        <v>10</v>
      </c>
      <c r="S163" s="26">
        <f t="shared" si="9"/>
        <v>30369.15</v>
      </c>
      <c r="T163" s="30">
        <v>30369.15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4</v>
      </c>
      <c r="I164" s="130">
        <v>1</v>
      </c>
      <c r="J164" s="130">
        <v>1</v>
      </c>
      <c r="K164" s="114">
        <v>1728.9</v>
      </c>
      <c r="L164" s="44"/>
      <c r="M164" s="43">
        <f t="shared" si="5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9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5</v>
      </c>
      <c r="I165" s="62">
        <v>4</v>
      </c>
      <c r="J165" s="62">
        <v>4</v>
      </c>
      <c r="K165" s="30">
        <v>8539.0300000000007</v>
      </c>
      <c r="L165" s="205">
        <v>3</v>
      </c>
      <c r="M165" s="26">
        <f t="shared" si="5"/>
        <v>6561.17</v>
      </c>
      <c r="N165" s="30">
        <v>6561.17</v>
      </c>
      <c r="O165" s="159"/>
      <c r="P165" s="53">
        <v>3</v>
      </c>
      <c r="Q165" s="30">
        <v>20168.78</v>
      </c>
      <c r="R165" s="205">
        <v>3</v>
      </c>
      <c r="S165" s="26">
        <f t="shared" si="9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5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10"/>
      <c r="S166" s="211">
        <f t="shared" si="9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2</v>
      </c>
      <c r="I167" s="25"/>
      <c r="J167" s="25"/>
      <c r="K167" s="26"/>
      <c r="L167" s="27"/>
      <c r="M167" s="26">
        <f t="shared" si="5"/>
        <v>0</v>
      </c>
      <c r="N167" s="26"/>
      <c r="O167" s="28"/>
      <c r="P167" s="214"/>
      <c r="Q167" s="30"/>
      <c r="R167" s="205"/>
      <c r="S167" s="26">
        <f t="shared" si="9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5"/>
        <v>0</v>
      </c>
      <c r="N168" s="39"/>
      <c r="O168" s="41"/>
      <c r="P168" s="217"/>
      <c r="Q168" s="68"/>
      <c r="R168" s="285"/>
      <c r="S168" s="39">
        <f t="shared" si="9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5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9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5"/>
        <v>0</v>
      </c>
      <c r="N170" s="43"/>
      <c r="O170" s="45"/>
      <c r="P170" s="103"/>
      <c r="Q170" s="43"/>
      <c r="R170" s="44"/>
      <c r="S170" s="43">
        <f t="shared" si="9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2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5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9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5"/>
        <v>0</v>
      </c>
      <c r="N172" s="211"/>
      <c r="O172" s="212"/>
      <c r="P172" s="273"/>
      <c r="Q172" s="211"/>
      <c r="R172" s="210"/>
      <c r="S172" s="211">
        <f t="shared" si="9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/>
      <c r="I173" s="25"/>
      <c r="J173" s="25"/>
      <c r="K173" s="26"/>
      <c r="L173" s="27"/>
      <c r="M173" s="26">
        <f t="shared" si="5"/>
        <v>0</v>
      </c>
      <c r="N173" s="26"/>
      <c r="O173" s="28"/>
      <c r="P173" s="214"/>
      <c r="Q173" s="30"/>
      <c r="R173" s="205"/>
      <c r="S173" s="26">
        <f t="shared" si="9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5"/>
        <v>0</v>
      </c>
      <c r="N174" s="39"/>
      <c r="O174" s="41"/>
      <c r="P174" s="217"/>
      <c r="Q174" s="68"/>
      <c r="R174" s="285"/>
      <c r="S174" s="39">
        <f t="shared" si="9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2</v>
      </c>
      <c r="J175" s="266">
        <v>2</v>
      </c>
      <c r="K175" s="79">
        <v>2253.34</v>
      </c>
      <c r="L175" s="268">
        <v>2</v>
      </c>
      <c r="M175" s="81">
        <f t="shared" si="5"/>
        <v>2253.34</v>
      </c>
      <c r="N175" s="79">
        <v>2253.34</v>
      </c>
      <c r="O175" s="219"/>
      <c r="P175" s="267">
        <v>14</v>
      </c>
      <c r="Q175" s="79">
        <v>42391.839999999997</v>
      </c>
      <c r="R175" s="268">
        <v>14</v>
      </c>
      <c r="S175" s="81">
        <f t="shared" si="9"/>
        <v>42391.839999999997</v>
      </c>
      <c r="T175" s="79">
        <v>42391.839999999997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1</v>
      </c>
      <c r="J176" s="130">
        <v>1</v>
      </c>
      <c r="K176" s="114">
        <v>2497.3000000000002</v>
      </c>
      <c r="L176" s="316">
        <v>1</v>
      </c>
      <c r="M176" s="50">
        <f t="shared" si="5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3</v>
      </c>
      <c r="S176" s="43">
        <f t="shared" si="9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7</v>
      </c>
      <c r="I177" s="62">
        <v>3</v>
      </c>
      <c r="J177" s="62">
        <v>3</v>
      </c>
      <c r="K177" s="30">
        <v>5755.32</v>
      </c>
      <c r="L177" s="205">
        <v>3</v>
      </c>
      <c r="M177" s="26">
        <f t="shared" si="5"/>
        <v>5755.32</v>
      </c>
      <c r="N177" s="30">
        <v>5755.32</v>
      </c>
      <c r="O177" s="225"/>
      <c r="P177" s="53">
        <v>10</v>
      </c>
      <c r="Q177" s="30">
        <v>32403.07</v>
      </c>
      <c r="R177" s="205">
        <v>9</v>
      </c>
      <c r="S177" s="26">
        <f t="shared" si="9"/>
        <v>29348.55</v>
      </c>
      <c r="T177" s="30">
        <v>29348.55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5"/>
        <v>0</v>
      </c>
      <c r="N178" s="43"/>
      <c r="O178" s="41"/>
      <c r="P178" s="115">
        <v>5</v>
      </c>
      <c r="Q178" s="68">
        <v>19344.47</v>
      </c>
      <c r="R178" s="40"/>
      <c r="S178" s="39">
        <f t="shared" si="9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14</v>
      </c>
      <c r="I179" s="62">
        <v>10</v>
      </c>
      <c r="J179" s="204">
        <v>11</v>
      </c>
      <c r="K179" s="30">
        <v>18139.990000000002</v>
      </c>
      <c r="L179" s="205">
        <v>11</v>
      </c>
      <c r="M179" s="26">
        <f t="shared" si="5"/>
        <v>18139.990000000002</v>
      </c>
      <c r="N179" s="30">
        <v>18139.990000000002</v>
      </c>
      <c r="O179" s="225"/>
      <c r="P179" s="108">
        <v>21</v>
      </c>
      <c r="Q179" s="65">
        <v>60276.03</v>
      </c>
      <c r="R179" s="224">
        <v>20</v>
      </c>
      <c r="S179" s="50">
        <f t="shared" si="9"/>
        <v>58682.48</v>
      </c>
      <c r="T179" s="65">
        <v>58682.48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5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9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25"/>
      <c r="J181" s="25"/>
      <c r="K181" s="162"/>
      <c r="L181" s="163"/>
      <c r="M181" s="162">
        <f t="shared" si="5"/>
        <v>0</v>
      </c>
      <c r="N181" s="162"/>
      <c r="O181" s="28"/>
      <c r="P181" s="275"/>
      <c r="Q181" s="26"/>
      <c r="R181" s="27"/>
      <c r="S181" s="26">
        <f t="shared" si="9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5"/>
        <v>0</v>
      </c>
      <c r="N182" s="164"/>
      <c r="O182" s="41"/>
      <c r="P182" s="276"/>
      <c r="Q182" s="39"/>
      <c r="R182" s="40"/>
      <c r="S182" s="39">
        <f t="shared" si="9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5"/>
        <v>0</v>
      </c>
      <c r="N183" s="293"/>
      <c r="O183" s="82"/>
      <c r="P183" s="295"/>
      <c r="Q183" s="81"/>
      <c r="R183" s="80"/>
      <c r="S183" s="81">
        <f t="shared" si="9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5"/>
        <v>0</v>
      </c>
      <c r="N184" s="164"/>
      <c r="O184" s="41"/>
      <c r="P184" s="67">
        <v>4</v>
      </c>
      <c r="Q184" s="68">
        <v>19199.810000000001</v>
      </c>
      <c r="R184" s="285">
        <v>3</v>
      </c>
      <c r="S184" s="68">
        <v>10841.33</v>
      </c>
      <c r="T184" s="68">
        <v>10841.33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11</v>
      </c>
      <c r="I185" s="203">
        <v>8</v>
      </c>
      <c r="J185" s="203">
        <v>11</v>
      </c>
      <c r="K185" s="242">
        <v>27608.02</v>
      </c>
      <c r="L185" s="320">
        <v>9</v>
      </c>
      <c r="M185" s="166">
        <f t="shared" si="5"/>
        <v>20143.900000000001</v>
      </c>
      <c r="N185" s="242">
        <v>20143.900000000001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0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44"/>
      <c r="M186" s="43">
        <f t="shared" si="5"/>
        <v>0</v>
      </c>
      <c r="N186" s="43"/>
      <c r="O186" s="41"/>
      <c r="P186" s="113">
        <v>2</v>
      </c>
      <c r="Q186" s="114">
        <v>16904.8</v>
      </c>
      <c r="R186" s="44"/>
      <c r="S186" s="43">
        <f t="shared" si="10"/>
        <v>1921</v>
      </c>
      <c r="T186" s="114">
        <v>1921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3</v>
      </c>
      <c r="J187" s="62">
        <v>3</v>
      </c>
      <c r="K187" s="30">
        <v>4497.1000000000004</v>
      </c>
      <c r="L187" s="205">
        <v>3</v>
      </c>
      <c r="M187" s="26">
        <f t="shared" si="5"/>
        <v>4497.1000000000004</v>
      </c>
      <c r="N187" s="30">
        <v>4497.1000000000004</v>
      </c>
      <c r="O187" s="31"/>
      <c r="P187" s="53">
        <v>7</v>
      </c>
      <c r="Q187" s="30">
        <v>16748.509999999998</v>
      </c>
      <c r="R187" s="205">
        <v>7</v>
      </c>
      <c r="S187" s="26">
        <f t="shared" si="10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5"/>
        <v>0</v>
      </c>
      <c r="N188" s="39"/>
      <c r="O188" s="41"/>
      <c r="P188" s="59"/>
      <c r="Q188" s="39"/>
      <c r="R188" s="40"/>
      <c r="S188" s="39">
        <f t="shared" si="10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5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0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5"/>
        <v>0</v>
      </c>
      <c r="N190" s="43"/>
      <c r="O190" s="41"/>
      <c r="P190" s="113">
        <v>1</v>
      </c>
      <c r="Q190" s="114">
        <v>0</v>
      </c>
      <c r="R190" s="44"/>
      <c r="S190" s="43">
        <f t="shared" si="10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5"/>
        <v>0</v>
      </c>
      <c r="N191" s="26"/>
      <c r="O191" s="31"/>
      <c r="P191" s="120"/>
      <c r="Q191" s="26"/>
      <c r="R191" s="27"/>
      <c r="S191" s="26">
        <f t="shared" si="10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5"/>
        <v>0</v>
      </c>
      <c r="N192" s="39"/>
      <c r="O192" s="41"/>
      <c r="P192" s="69"/>
      <c r="Q192" s="39"/>
      <c r="R192" s="40"/>
      <c r="S192" s="39">
        <f t="shared" si="10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6</v>
      </c>
      <c r="M193" s="50">
        <f t="shared" si="5"/>
        <v>11123.36</v>
      </c>
      <c r="N193" s="65">
        <v>11123.36</v>
      </c>
      <c r="O193" s="225"/>
      <c r="P193" s="108">
        <v>8</v>
      </c>
      <c r="Q193" s="65">
        <v>20431.349999999999</v>
      </c>
      <c r="R193" s="224">
        <v>7</v>
      </c>
      <c r="S193" s="50">
        <f t="shared" si="10"/>
        <v>14878.93</v>
      </c>
      <c r="T193" s="65">
        <v>14878.93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1</v>
      </c>
      <c r="J194" s="37">
        <v>1</v>
      </c>
      <c r="K194" s="68">
        <v>1921</v>
      </c>
      <c r="L194" s="40"/>
      <c r="M194" s="39">
        <f t="shared" si="5"/>
        <v>0</v>
      </c>
      <c r="N194" s="39"/>
      <c r="O194" s="41"/>
      <c r="P194" s="59"/>
      <c r="Q194" s="39"/>
      <c r="R194" s="40"/>
      <c r="S194" s="39">
        <f t="shared" si="10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15</v>
      </c>
      <c r="I195" s="203">
        <v>15</v>
      </c>
      <c r="J195" s="203">
        <v>20</v>
      </c>
      <c r="K195" s="65">
        <v>37461.589999999997</v>
      </c>
      <c r="L195" s="224">
        <v>12</v>
      </c>
      <c r="M195" s="50">
        <f t="shared" si="5"/>
        <v>20574.29</v>
      </c>
      <c r="N195" s="65">
        <v>20574.29</v>
      </c>
      <c r="O195" s="225"/>
      <c r="P195" s="108">
        <v>25</v>
      </c>
      <c r="Q195" s="65">
        <v>39876.11</v>
      </c>
      <c r="R195" s="224">
        <v>23</v>
      </c>
      <c r="S195" s="50">
        <f t="shared" si="10"/>
        <v>37107.68</v>
      </c>
      <c r="T195" s="65">
        <v>37107.68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4</v>
      </c>
      <c r="I196" s="130">
        <v>2</v>
      </c>
      <c r="J196" s="130">
        <v>2</v>
      </c>
      <c r="K196" s="114">
        <v>2401.25</v>
      </c>
      <c r="L196" s="316">
        <v>1</v>
      </c>
      <c r="M196" s="50">
        <f t="shared" si="5"/>
        <v>1056.55</v>
      </c>
      <c r="N196" s="43">
        <f>1056.55</f>
        <v>1056.55</v>
      </c>
      <c r="O196" s="41"/>
      <c r="P196" s="113">
        <v>3</v>
      </c>
      <c r="Q196" s="114">
        <v>5551.69</v>
      </c>
      <c r="R196" s="270">
        <v>3</v>
      </c>
      <c r="S196" s="43">
        <f t="shared" si="10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7</v>
      </c>
      <c r="I197" s="25"/>
      <c r="J197" s="25"/>
      <c r="K197" s="26"/>
      <c r="L197" s="27"/>
      <c r="M197" s="26">
        <f t="shared" si="5"/>
        <v>0</v>
      </c>
      <c r="N197" s="26"/>
      <c r="O197" s="31"/>
      <c r="P197" s="53">
        <v>3</v>
      </c>
      <c r="Q197" s="30">
        <v>8280.19</v>
      </c>
      <c r="R197" s="27"/>
      <c r="S197" s="26">
        <f t="shared" si="10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5"/>
        <v>0</v>
      </c>
      <c r="N198" s="39"/>
      <c r="O198" s="41"/>
      <c r="P198" s="59"/>
      <c r="Q198" s="39"/>
      <c r="R198" s="40"/>
      <c r="S198" s="39">
        <f t="shared" si="10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5"/>
        <v>0</v>
      </c>
      <c r="N199" s="50"/>
      <c r="O199" s="31"/>
      <c r="P199" s="123"/>
      <c r="Q199" s="50"/>
      <c r="R199" s="51"/>
      <c r="S199" s="50">
        <f t="shared" si="10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5"/>
        <v>0</v>
      </c>
      <c r="N200" s="50"/>
      <c r="O200" s="45"/>
      <c r="P200" s="123"/>
      <c r="Q200" s="50"/>
      <c r="R200" s="51"/>
      <c r="S200" s="50">
        <f t="shared" si="10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5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10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5"/>
        <v>0</v>
      </c>
      <c r="N202" s="26"/>
      <c r="O202" s="31"/>
      <c r="P202" s="99"/>
      <c r="Q202" s="26"/>
      <c r="R202" s="27"/>
      <c r="S202" s="26">
        <f t="shared" si="10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5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10"/>
        <v>5955.1</v>
      </c>
      <c r="T203" s="114">
        <f>4034.1+1921</f>
        <v>5955.1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5"/>
        <v>0</v>
      </c>
      <c r="N204" s="26"/>
      <c r="O204" s="31"/>
      <c r="P204" s="99"/>
      <c r="Q204" s="26"/>
      <c r="R204" s="27"/>
      <c r="S204" s="26">
        <f t="shared" si="10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5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151">
        <v>1</v>
      </c>
      <c r="I206" s="49"/>
      <c r="J206" s="49"/>
      <c r="K206" s="50"/>
      <c r="L206" s="51"/>
      <c r="M206" s="50">
        <f t="shared" si="5"/>
        <v>0</v>
      </c>
      <c r="N206" s="50"/>
      <c r="O206" s="31"/>
      <c r="P206" s="108">
        <v>3</v>
      </c>
      <c r="Q206" s="65">
        <v>12689.15</v>
      </c>
      <c r="R206" s="224">
        <v>3</v>
      </c>
      <c r="S206" s="50">
        <f t="shared" ref="S206:S220" si="11">T206+U206</f>
        <v>12689.15</v>
      </c>
      <c r="T206" s="65">
        <v>12689.15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5"/>
        <v>0</v>
      </c>
      <c r="N207" s="43"/>
      <c r="O207" s="45"/>
      <c r="P207" s="273"/>
      <c r="Q207" s="211"/>
      <c r="R207" s="210"/>
      <c r="S207" s="211">
        <f t="shared" si="11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4</v>
      </c>
      <c r="I208" s="62">
        <v>2</v>
      </c>
      <c r="J208" s="62">
        <v>2</v>
      </c>
      <c r="K208" s="30">
        <v>1152.5999999999999</v>
      </c>
      <c r="L208" s="205">
        <v>1</v>
      </c>
      <c r="M208" s="26">
        <f t="shared" si="5"/>
        <v>576.29999999999995</v>
      </c>
      <c r="N208" s="30">
        <v>576.29999999999995</v>
      </c>
      <c r="O208" s="308"/>
      <c r="P208" s="99"/>
      <c r="Q208" s="26"/>
      <c r="R208" s="27"/>
      <c r="S208" s="26">
        <f t="shared" si="11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4</v>
      </c>
      <c r="I209" s="37">
        <v>2</v>
      </c>
      <c r="J209" s="37">
        <v>2</v>
      </c>
      <c r="K209" s="68">
        <v>4994.6000000000004</v>
      </c>
      <c r="L209" s="285">
        <v>1</v>
      </c>
      <c r="M209" s="39">
        <f t="shared" si="5"/>
        <v>1985.09</v>
      </c>
      <c r="N209" s="39">
        <f>1985.09</f>
        <v>1985.09</v>
      </c>
      <c r="O209" s="309"/>
      <c r="P209" s="310">
        <v>5</v>
      </c>
      <c r="Q209" s="245">
        <v>21572.83</v>
      </c>
      <c r="R209" s="40"/>
      <c r="S209" s="39">
        <f t="shared" si="11"/>
        <v>5186.7</v>
      </c>
      <c r="T209" s="68">
        <f>4034.1+1152.6</f>
        <v>5186.7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5"/>
        <v>0</v>
      </c>
      <c r="N210" s="50"/>
      <c r="O210" s="31"/>
      <c r="P210" s="277"/>
      <c r="Q210" s="81"/>
      <c r="R210" s="80"/>
      <c r="S210" s="81">
        <f t="shared" si="11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5"/>
        <v>0</v>
      </c>
      <c r="N211" s="43"/>
      <c r="O211" s="41"/>
      <c r="P211" s="113">
        <v>1</v>
      </c>
      <c r="Q211" s="114">
        <v>3842</v>
      </c>
      <c r="R211" s="316">
        <v>1</v>
      </c>
      <c r="S211" s="50">
        <f t="shared" si="11"/>
        <v>3842</v>
      </c>
      <c r="T211" s="43">
        <f>3842</f>
        <v>3842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11</v>
      </c>
      <c r="I212" s="62">
        <v>10</v>
      </c>
      <c r="J212" s="62">
        <v>16</v>
      </c>
      <c r="K212" s="30">
        <v>36893.33</v>
      </c>
      <c r="L212" s="205">
        <v>10</v>
      </c>
      <c r="M212" s="26">
        <f t="shared" si="5"/>
        <v>22151.4</v>
      </c>
      <c r="N212" s="30">
        <v>22151.4</v>
      </c>
      <c r="O212" s="225"/>
      <c r="P212" s="53">
        <v>20</v>
      </c>
      <c r="Q212" s="30">
        <v>64727.57</v>
      </c>
      <c r="R212" s="205">
        <v>17</v>
      </c>
      <c r="S212" s="26">
        <f t="shared" si="11"/>
        <v>46159.82</v>
      </c>
      <c r="T212" s="30">
        <v>46159.82</v>
      </c>
      <c r="U212" s="225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5"/>
        <v>0</v>
      </c>
      <c r="N213" s="39"/>
      <c r="O213" s="41"/>
      <c r="P213" s="59"/>
      <c r="Q213" s="39"/>
      <c r="R213" s="40"/>
      <c r="S213" s="39">
        <f t="shared" si="11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3</v>
      </c>
      <c r="I214" s="49"/>
      <c r="J214" s="49"/>
      <c r="K214" s="50"/>
      <c r="L214" s="51"/>
      <c r="M214" s="50">
        <f t="shared" si="5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11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5"/>
        <v>0</v>
      </c>
      <c r="N215" s="43"/>
      <c r="O215" s="41"/>
      <c r="P215" s="113">
        <v>2</v>
      </c>
      <c r="Q215" s="114">
        <v>7299.8</v>
      </c>
      <c r="R215" s="44"/>
      <c r="S215" s="43">
        <f t="shared" si="1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16</v>
      </c>
      <c r="I216" s="62">
        <v>9</v>
      </c>
      <c r="J216" s="62">
        <v>10</v>
      </c>
      <c r="K216" s="30">
        <v>7339.68</v>
      </c>
      <c r="L216" s="205">
        <v>5</v>
      </c>
      <c r="M216" s="26">
        <f t="shared" si="5"/>
        <v>4097.9799999999996</v>
      </c>
      <c r="N216" s="30">
        <v>4097.9799999999996</v>
      </c>
      <c r="O216" s="225"/>
      <c r="P216" s="53">
        <v>28</v>
      </c>
      <c r="Q216" s="30">
        <v>78025.440000000002</v>
      </c>
      <c r="R216" s="205">
        <v>25</v>
      </c>
      <c r="S216" s="26">
        <f t="shared" si="11"/>
        <v>36047.910000000003</v>
      </c>
      <c r="T216" s="30">
        <v>36047.910000000003</v>
      </c>
      <c r="U216" s="30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5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1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25</v>
      </c>
      <c r="I218" s="25"/>
      <c r="J218" s="25"/>
      <c r="K218" s="26"/>
      <c r="L218" s="27"/>
      <c r="M218" s="26">
        <f t="shared" si="5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1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8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5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1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12</v>
      </c>
      <c r="I220" s="203">
        <v>7</v>
      </c>
      <c r="J220" s="203">
        <v>8</v>
      </c>
      <c r="K220" s="65">
        <v>16934.2</v>
      </c>
      <c r="L220" s="224">
        <v>7</v>
      </c>
      <c r="M220" s="50">
        <f t="shared" si="5"/>
        <v>10361.719999999999</v>
      </c>
      <c r="N220" s="65">
        <v>10361.719999999999</v>
      </c>
      <c r="O220" s="225"/>
      <c r="P220" s="108">
        <v>17</v>
      </c>
      <c r="Q220" s="65">
        <v>54358.97</v>
      </c>
      <c r="R220" s="224">
        <v>17</v>
      </c>
      <c r="S220" s="50">
        <f t="shared" si="11"/>
        <v>54358.97</v>
      </c>
      <c r="T220" s="65">
        <v>54358.97</v>
      </c>
      <c r="U220" s="225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2</v>
      </c>
      <c r="I221" s="57"/>
      <c r="J221" s="57"/>
      <c r="K221" s="43"/>
      <c r="L221" s="44"/>
      <c r="M221" s="43">
        <f t="shared" si="5"/>
        <v>0</v>
      </c>
      <c r="N221" s="43"/>
      <c r="O221" s="41"/>
      <c r="P221" s="113">
        <v>6</v>
      </c>
      <c r="Q221" s="114">
        <v>32210.18</v>
      </c>
      <c r="R221" s="270">
        <v>5</v>
      </c>
      <c r="S221" s="114">
        <v>24781.439999999999</v>
      </c>
      <c r="T221" s="114">
        <v>24781.439999999999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05">
        <v>2</v>
      </c>
      <c r="M222" s="26">
        <f t="shared" si="5"/>
        <v>1185.45</v>
      </c>
      <c r="N222" s="30">
        <v>1185.45</v>
      </c>
      <c r="O222" s="225"/>
      <c r="P222" s="53">
        <v>14</v>
      </c>
      <c r="Q222" s="30">
        <v>45509.18</v>
      </c>
      <c r="R222" s="205">
        <v>13</v>
      </c>
      <c r="S222" s="26">
        <f t="shared" ref="S222:S225" si="12">T222+U222</f>
        <v>28989.79</v>
      </c>
      <c r="T222" s="30">
        <v>28989.79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5"/>
        <v>0</v>
      </c>
      <c r="N223" s="43"/>
      <c r="O223" s="41"/>
      <c r="P223" s="103"/>
      <c r="Q223" s="43"/>
      <c r="R223" s="44"/>
      <c r="S223" s="43">
        <f t="shared" si="12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2</v>
      </c>
      <c r="I224" s="25"/>
      <c r="J224" s="25"/>
      <c r="K224" s="26"/>
      <c r="L224" s="27"/>
      <c r="M224" s="26">
        <f t="shared" si="5"/>
        <v>0</v>
      </c>
      <c r="N224" s="26"/>
      <c r="O224" s="31"/>
      <c r="P224" s="120"/>
      <c r="Q224" s="26"/>
      <c r="R224" s="27"/>
      <c r="S224" s="26">
        <f t="shared" si="12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321"/>
      <c r="G225" s="252" t="s">
        <v>28</v>
      </c>
      <c r="H225" s="322"/>
      <c r="I225" s="139"/>
      <c r="J225" s="139"/>
      <c r="K225" s="142"/>
      <c r="L225" s="143"/>
      <c r="M225" s="142">
        <f t="shared" si="5"/>
        <v>0</v>
      </c>
      <c r="N225" s="142"/>
      <c r="O225" s="323"/>
      <c r="P225" s="324"/>
      <c r="Q225" s="142"/>
      <c r="R225" s="143"/>
      <c r="S225" s="142">
        <f t="shared" si="12"/>
        <v>0</v>
      </c>
      <c r="T225" s="142"/>
      <c r="U225" s="323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445</v>
      </c>
      <c r="C226" s="374"/>
      <c r="D226" s="374"/>
      <c r="E226" s="374"/>
      <c r="F226" s="72"/>
      <c r="G226" s="176" t="s">
        <v>24</v>
      </c>
      <c r="H226" s="265"/>
      <c r="I226" s="266"/>
      <c r="J226" s="96"/>
      <c r="K226" s="81"/>
      <c r="L226" s="80"/>
      <c r="M226" s="81"/>
      <c r="N226" s="81"/>
      <c r="O226" s="82"/>
      <c r="P226" s="295"/>
      <c r="Q226" s="81"/>
      <c r="R226" s="80"/>
      <c r="S226" s="81"/>
      <c r="T226" s="81"/>
      <c r="U226" s="8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6"/>
      <c r="G227" s="252" t="s">
        <v>28</v>
      </c>
      <c r="H227" s="302">
        <v>1</v>
      </c>
      <c r="I227" s="261"/>
      <c r="J227" s="261"/>
      <c r="K227" s="211"/>
      <c r="L227" s="210"/>
      <c r="M227" s="211"/>
      <c r="N227" s="211"/>
      <c r="O227" s="212"/>
      <c r="P227" s="284"/>
      <c r="Q227" s="211"/>
      <c r="R227" s="210"/>
      <c r="S227" s="211"/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179</v>
      </c>
      <c r="C228" s="374"/>
      <c r="D228" s="374"/>
      <c r="E228" s="374" t="s">
        <v>27</v>
      </c>
      <c r="F228" s="22"/>
      <c r="G228" s="176" t="s">
        <v>24</v>
      </c>
      <c r="H228" s="61">
        <v>2</v>
      </c>
      <c r="I228" s="25"/>
      <c r="J228" s="25"/>
      <c r="K228" s="26"/>
      <c r="L228" s="27"/>
      <c r="M228" s="26">
        <f t="shared" ref="M228:M281" si="13">N228+O228</f>
        <v>0</v>
      </c>
      <c r="N228" s="26"/>
      <c r="O228" s="28"/>
      <c r="P228" s="120"/>
      <c r="Q228" s="26"/>
      <c r="R228" s="27"/>
      <c r="S228" s="26">
        <f t="shared" ref="S228:S246" si="14">T228+U228</f>
        <v>0</v>
      </c>
      <c r="T228" s="26"/>
      <c r="U228" s="28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105"/>
      <c r="G229" s="229" t="s">
        <v>28</v>
      </c>
      <c r="H229" s="298"/>
      <c r="I229" s="261"/>
      <c r="J229" s="261"/>
      <c r="K229" s="211"/>
      <c r="L229" s="210"/>
      <c r="M229" s="211">
        <f t="shared" si="13"/>
        <v>0</v>
      </c>
      <c r="N229" s="211"/>
      <c r="O229" s="212"/>
      <c r="P229" s="284"/>
      <c r="Q229" s="211"/>
      <c r="R229" s="210"/>
      <c r="S229" s="211">
        <f t="shared" si="14"/>
        <v>0</v>
      </c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378</v>
      </c>
      <c r="C230" s="374" t="s">
        <v>46</v>
      </c>
      <c r="D230" s="374" t="s">
        <v>422</v>
      </c>
      <c r="E230" s="374" t="s">
        <v>27</v>
      </c>
      <c r="F230" s="232" t="s">
        <v>423</v>
      </c>
      <c r="G230" s="213" t="s">
        <v>24</v>
      </c>
      <c r="H230" s="61">
        <v>10</v>
      </c>
      <c r="I230" s="62">
        <v>4</v>
      </c>
      <c r="J230" s="62">
        <v>5</v>
      </c>
      <c r="K230" s="30">
        <v>5323.77</v>
      </c>
      <c r="L230" s="205">
        <v>4</v>
      </c>
      <c r="M230" s="26">
        <f t="shared" si="13"/>
        <v>4555.37</v>
      </c>
      <c r="N230" s="30">
        <v>4555.37</v>
      </c>
      <c r="O230" s="28"/>
      <c r="P230" s="214"/>
      <c r="Q230" s="30"/>
      <c r="R230" s="205"/>
      <c r="S230" s="26">
        <f t="shared" si="14"/>
        <v>0</v>
      </c>
      <c r="T230" s="30"/>
      <c r="U230" s="24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/>
      <c r="G231" s="215" t="s">
        <v>28</v>
      </c>
      <c r="H231" s="117">
        <v>5</v>
      </c>
      <c r="I231" s="37">
        <v>1</v>
      </c>
      <c r="J231" s="37">
        <v>1</v>
      </c>
      <c r="K231" s="68">
        <v>1152.5999999999999</v>
      </c>
      <c r="L231" s="40"/>
      <c r="M231" s="39">
        <f t="shared" si="13"/>
        <v>0</v>
      </c>
      <c r="N231" s="39"/>
      <c r="O231" s="41"/>
      <c r="P231" s="217"/>
      <c r="Q231" s="68"/>
      <c r="R231" s="285"/>
      <c r="S231" s="39">
        <f t="shared" si="14"/>
        <v>0</v>
      </c>
      <c r="T231" s="68"/>
      <c r="U231" s="23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6"/>
      <c r="B232" s="377" t="s">
        <v>180</v>
      </c>
      <c r="C232" s="377" t="s">
        <v>46</v>
      </c>
      <c r="D232" s="377" t="s">
        <v>181</v>
      </c>
      <c r="E232" s="377" t="s">
        <v>27</v>
      </c>
      <c r="F232" s="232" t="s">
        <v>228</v>
      </c>
      <c r="G232" s="95" t="s">
        <v>24</v>
      </c>
      <c r="H232" s="265">
        <v>10</v>
      </c>
      <c r="I232" s="266">
        <v>6</v>
      </c>
      <c r="J232" s="266">
        <v>7</v>
      </c>
      <c r="K232" s="79">
        <v>5186.71</v>
      </c>
      <c r="L232" s="268">
        <v>7</v>
      </c>
      <c r="M232" s="81">
        <f t="shared" si="13"/>
        <v>0</v>
      </c>
      <c r="N232" s="81"/>
      <c r="O232" s="219"/>
      <c r="P232" s="267">
        <v>13</v>
      </c>
      <c r="Q232" s="79">
        <v>42826.720000000001</v>
      </c>
      <c r="R232" s="268">
        <v>13</v>
      </c>
      <c r="S232" s="81">
        <f t="shared" si="14"/>
        <v>31034.59</v>
      </c>
      <c r="T232" s="79">
        <v>31034.59</v>
      </c>
      <c r="U232" s="269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9"/>
      <c r="B233" s="380"/>
      <c r="C233" s="380"/>
      <c r="D233" s="380"/>
      <c r="E233" s="380"/>
      <c r="F233" s="54"/>
      <c r="G233" s="55" t="s">
        <v>28</v>
      </c>
      <c r="H233" s="116"/>
      <c r="I233" s="57"/>
      <c r="J233" s="57"/>
      <c r="K233" s="43"/>
      <c r="L233" s="128"/>
      <c r="M233" s="50">
        <f t="shared" si="13"/>
        <v>0</v>
      </c>
      <c r="N233" s="43"/>
      <c r="O233" s="41"/>
      <c r="P233" s="113">
        <v>3</v>
      </c>
      <c r="Q233" s="114">
        <v>15175.95</v>
      </c>
      <c r="R233" s="44"/>
      <c r="S233" s="43">
        <f t="shared" si="14"/>
        <v>2209.1999999999998</v>
      </c>
      <c r="T233" s="114">
        <v>2209.1999999999998</v>
      </c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72"/>
      <c r="B234" s="374" t="s">
        <v>182</v>
      </c>
      <c r="C234" s="374" t="s">
        <v>46</v>
      </c>
      <c r="D234" s="374" t="s">
        <v>181</v>
      </c>
      <c r="E234" s="374" t="s">
        <v>27</v>
      </c>
      <c r="F234" s="204" t="s">
        <v>379</v>
      </c>
      <c r="G234" s="23" t="s">
        <v>24</v>
      </c>
      <c r="H234" s="48">
        <v>16</v>
      </c>
      <c r="I234" s="62">
        <v>16</v>
      </c>
      <c r="J234" s="62">
        <v>18</v>
      </c>
      <c r="K234" s="30">
        <v>24661.43</v>
      </c>
      <c r="L234" s="205">
        <v>15</v>
      </c>
      <c r="M234" s="26">
        <f t="shared" si="13"/>
        <v>19551.57</v>
      </c>
      <c r="N234" s="30">
        <v>19551.57</v>
      </c>
      <c r="O234" s="31"/>
      <c r="P234" s="53">
        <v>11</v>
      </c>
      <c r="Q234" s="30">
        <v>66117.05</v>
      </c>
      <c r="R234" s="205">
        <v>8</v>
      </c>
      <c r="S234" s="26">
        <f t="shared" si="14"/>
        <v>53638.34</v>
      </c>
      <c r="T234" s="30">
        <v>53638.34</v>
      </c>
      <c r="U234" s="100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3"/>
      <c r="B235" s="375"/>
      <c r="C235" s="375"/>
      <c r="D235" s="375"/>
      <c r="E235" s="375"/>
      <c r="F235" s="34"/>
      <c r="G235" s="35" t="s">
        <v>28</v>
      </c>
      <c r="H235" s="116"/>
      <c r="I235" s="38"/>
      <c r="J235" s="38"/>
      <c r="K235" s="39"/>
      <c r="L235" s="40"/>
      <c r="M235" s="39">
        <f t="shared" si="13"/>
        <v>0</v>
      </c>
      <c r="N235" s="39"/>
      <c r="O235" s="41"/>
      <c r="P235" s="115">
        <v>1</v>
      </c>
      <c r="Q235" s="68">
        <v>3073.6</v>
      </c>
      <c r="R235" s="285">
        <v>1</v>
      </c>
      <c r="S235" s="39">
        <f t="shared" si="14"/>
        <v>3073.6</v>
      </c>
      <c r="T235" s="39">
        <f>3073.6</f>
        <v>3073.6</v>
      </c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82"/>
      <c r="B236" s="381" t="s">
        <v>183</v>
      </c>
      <c r="C236" s="381" t="s">
        <v>22</v>
      </c>
      <c r="D236" s="381"/>
      <c r="E236" s="381" t="s">
        <v>99</v>
      </c>
      <c r="F236" s="223" t="s">
        <v>380</v>
      </c>
      <c r="G236" s="23" t="s">
        <v>24</v>
      </c>
      <c r="H236" s="48">
        <v>4</v>
      </c>
      <c r="I236" s="49"/>
      <c r="J236" s="49"/>
      <c r="K236" s="50"/>
      <c r="L236" s="51"/>
      <c r="M236" s="50">
        <f t="shared" si="13"/>
        <v>0</v>
      </c>
      <c r="N236" s="50"/>
      <c r="O236" s="31"/>
      <c r="P236" s="108">
        <v>10</v>
      </c>
      <c r="Q236" s="65">
        <v>15519.54</v>
      </c>
      <c r="R236" s="224">
        <v>7</v>
      </c>
      <c r="S236" s="50">
        <f t="shared" si="14"/>
        <v>8094.01</v>
      </c>
      <c r="T236" s="65">
        <v>8094.01</v>
      </c>
      <c r="U236" s="225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9"/>
      <c r="B237" s="380"/>
      <c r="C237" s="380"/>
      <c r="D237" s="380"/>
      <c r="E237" s="380"/>
      <c r="F237" s="233" t="s">
        <v>252</v>
      </c>
      <c r="G237" s="227" t="s">
        <v>28</v>
      </c>
      <c r="H237" s="292">
        <v>5</v>
      </c>
      <c r="I237" s="261"/>
      <c r="J237" s="261"/>
      <c r="K237" s="211"/>
      <c r="L237" s="210"/>
      <c r="M237" s="211">
        <f t="shared" si="13"/>
        <v>0</v>
      </c>
      <c r="N237" s="211"/>
      <c r="O237" s="212"/>
      <c r="P237" s="262">
        <v>1</v>
      </c>
      <c r="Q237" s="209">
        <v>4034.1</v>
      </c>
      <c r="R237" s="210"/>
      <c r="S237" s="211">
        <f t="shared" si="14"/>
        <v>4034.1</v>
      </c>
      <c r="T237" s="211">
        <f>4034.1</f>
        <v>4034.1</v>
      </c>
      <c r="U237" s="21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2"/>
      <c r="B238" s="374" t="s">
        <v>425</v>
      </c>
      <c r="C238" s="374" t="s">
        <v>22</v>
      </c>
      <c r="D238" s="374"/>
      <c r="E238" s="374" t="s">
        <v>131</v>
      </c>
      <c r="F238" s="204" t="s">
        <v>426</v>
      </c>
      <c r="G238" s="176" t="s">
        <v>24</v>
      </c>
      <c r="H238" s="61">
        <v>1</v>
      </c>
      <c r="I238" s="25"/>
      <c r="J238" s="25"/>
      <c r="K238" s="26"/>
      <c r="L238" s="27"/>
      <c r="M238" s="26">
        <f t="shared" si="13"/>
        <v>0</v>
      </c>
      <c r="N238" s="26"/>
      <c r="O238" s="28"/>
      <c r="P238" s="275"/>
      <c r="Q238" s="26"/>
      <c r="R238" s="27"/>
      <c r="S238" s="26">
        <f t="shared" si="14"/>
        <v>0</v>
      </c>
      <c r="T238" s="26"/>
      <c r="U238" s="28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3"/>
      <c r="B239" s="375"/>
      <c r="C239" s="375"/>
      <c r="D239" s="375"/>
      <c r="E239" s="375"/>
      <c r="F239" s="34"/>
      <c r="G239" s="229" t="s">
        <v>25</v>
      </c>
      <c r="H239" s="106"/>
      <c r="I239" s="38"/>
      <c r="J239" s="38"/>
      <c r="K239" s="39"/>
      <c r="L239" s="40"/>
      <c r="M239" s="39">
        <f t="shared" si="13"/>
        <v>0</v>
      </c>
      <c r="N239" s="39"/>
      <c r="O239" s="41"/>
      <c r="P239" s="276"/>
      <c r="Q239" s="39"/>
      <c r="R239" s="40"/>
      <c r="S239" s="39">
        <f t="shared" si="14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6"/>
      <c r="B240" s="377" t="s">
        <v>184</v>
      </c>
      <c r="C240" s="377" t="s">
        <v>22</v>
      </c>
      <c r="D240" s="377"/>
      <c r="E240" s="377" t="s">
        <v>27</v>
      </c>
      <c r="F240" s="76"/>
      <c r="G240" s="95" t="s">
        <v>24</v>
      </c>
      <c r="H240" s="265">
        <v>1</v>
      </c>
      <c r="I240" s="266">
        <v>1</v>
      </c>
      <c r="J240" s="266">
        <v>1</v>
      </c>
      <c r="K240" s="79">
        <v>950.9</v>
      </c>
      <c r="L240" s="80"/>
      <c r="M240" s="81">
        <f t="shared" si="13"/>
        <v>0</v>
      </c>
      <c r="N240" s="81"/>
      <c r="O240" s="219"/>
      <c r="P240" s="277"/>
      <c r="Q240" s="81"/>
      <c r="R240" s="80"/>
      <c r="S240" s="81">
        <f t="shared" si="14"/>
        <v>0</v>
      </c>
      <c r="T240" s="81"/>
      <c r="U240" s="219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9"/>
      <c r="B241" s="380"/>
      <c r="C241" s="380"/>
      <c r="D241" s="380"/>
      <c r="E241" s="380"/>
      <c r="F241" s="233" t="s">
        <v>253</v>
      </c>
      <c r="G241" s="227" t="s">
        <v>28</v>
      </c>
      <c r="H241" s="153">
        <v>4</v>
      </c>
      <c r="I241" s="130">
        <v>2</v>
      </c>
      <c r="J241" s="130">
        <v>2</v>
      </c>
      <c r="K241" s="114">
        <v>4701.96</v>
      </c>
      <c r="L241" s="44"/>
      <c r="M241" s="43">
        <f t="shared" si="13"/>
        <v>0</v>
      </c>
      <c r="N241" s="43"/>
      <c r="O241" s="41"/>
      <c r="P241" s="113">
        <v>5</v>
      </c>
      <c r="Q241" s="114">
        <v>10565.5</v>
      </c>
      <c r="R241" s="44"/>
      <c r="S241" s="43">
        <f t="shared" si="14"/>
        <v>2958.34</v>
      </c>
      <c r="T241" s="114">
        <v>2958.34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2"/>
      <c r="B242" s="374" t="s">
        <v>185</v>
      </c>
      <c r="C242" s="374" t="s">
        <v>22</v>
      </c>
      <c r="D242" s="374"/>
      <c r="E242" s="374" t="s">
        <v>27</v>
      </c>
      <c r="F242" s="204" t="s">
        <v>341</v>
      </c>
      <c r="G242" s="176" t="s">
        <v>24</v>
      </c>
      <c r="H242" s="98"/>
      <c r="I242" s="25"/>
      <c r="J242" s="25"/>
      <c r="K242" s="26"/>
      <c r="L242" s="27"/>
      <c r="M242" s="26">
        <f t="shared" si="13"/>
        <v>0</v>
      </c>
      <c r="N242" s="26"/>
      <c r="O242" s="31"/>
      <c r="P242" s="53">
        <v>2</v>
      </c>
      <c r="Q242" s="30">
        <v>2633.4</v>
      </c>
      <c r="R242" s="205">
        <v>2</v>
      </c>
      <c r="S242" s="26">
        <f t="shared" si="14"/>
        <v>2633.4</v>
      </c>
      <c r="T242" s="30">
        <v>2633.4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342</v>
      </c>
      <c r="G243" s="229" t="s">
        <v>28</v>
      </c>
      <c r="H243" s="133">
        <v>3</v>
      </c>
      <c r="I243" s="57"/>
      <c r="J243" s="57"/>
      <c r="K243" s="43"/>
      <c r="L243" s="44"/>
      <c r="M243" s="43">
        <f t="shared" si="13"/>
        <v>0</v>
      </c>
      <c r="N243" s="43"/>
      <c r="O243" s="41"/>
      <c r="P243" s="113">
        <v>1</v>
      </c>
      <c r="Q243" s="114">
        <v>2994.47</v>
      </c>
      <c r="R243" s="270">
        <v>1</v>
      </c>
      <c r="S243" s="43">
        <f t="shared" si="14"/>
        <v>2994.47</v>
      </c>
      <c r="T243" s="43">
        <f>2994.47</f>
        <v>2994.47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186</v>
      </c>
      <c r="C244" s="374" t="s">
        <v>22</v>
      </c>
      <c r="D244" s="374"/>
      <c r="E244" s="374" t="s">
        <v>99</v>
      </c>
      <c r="F244" s="232" t="s">
        <v>315</v>
      </c>
      <c r="G244" s="23" t="s">
        <v>24</v>
      </c>
      <c r="H244" s="48">
        <v>7</v>
      </c>
      <c r="I244" s="62">
        <v>4</v>
      </c>
      <c r="J244" s="62">
        <v>6</v>
      </c>
      <c r="K244" s="30">
        <v>14943.46</v>
      </c>
      <c r="L244" s="205">
        <v>4</v>
      </c>
      <c r="M244" s="26">
        <f t="shared" si="13"/>
        <v>12383.29</v>
      </c>
      <c r="N244" s="30">
        <v>12383.29</v>
      </c>
      <c r="O244" s="31"/>
      <c r="P244" s="53">
        <v>12</v>
      </c>
      <c r="Q244" s="30">
        <v>25258.31</v>
      </c>
      <c r="R244" s="205">
        <v>11</v>
      </c>
      <c r="S244" s="26">
        <f t="shared" si="14"/>
        <v>34166.06</v>
      </c>
      <c r="T244" s="30">
        <v>34166.06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254</v>
      </c>
      <c r="G245" s="35" t="s">
        <v>28</v>
      </c>
      <c r="H245" s="153">
        <v>6</v>
      </c>
      <c r="I245" s="38"/>
      <c r="J245" s="38"/>
      <c r="K245" s="39"/>
      <c r="L245" s="40"/>
      <c r="M245" s="39">
        <f t="shared" si="13"/>
        <v>0</v>
      </c>
      <c r="N245" s="39"/>
      <c r="O245" s="41"/>
      <c r="P245" s="59"/>
      <c r="Q245" s="39"/>
      <c r="R245" s="40"/>
      <c r="S245" s="39">
        <f t="shared" si="14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187</v>
      </c>
      <c r="C246" s="381" t="s">
        <v>22</v>
      </c>
      <c r="D246" s="381"/>
      <c r="E246" s="381" t="s">
        <v>131</v>
      </c>
      <c r="F246" s="223" t="s">
        <v>343</v>
      </c>
      <c r="G246" s="23" t="s">
        <v>24</v>
      </c>
      <c r="H246" s="48">
        <v>12</v>
      </c>
      <c r="I246" s="203">
        <v>10</v>
      </c>
      <c r="J246" s="203">
        <v>13</v>
      </c>
      <c r="K246" s="65">
        <v>20053.759999999998</v>
      </c>
      <c r="L246" s="224">
        <v>7</v>
      </c>
      <c r="M246" s="50">
        <f t="shared" si="13"/>
        <v>7297.6</v>
      </c>
      <c r="N246" s="65">
        <v>7297.6</v>
      </c>
      <c r="O246" s="225"/>
      <c r="P246" s="108">
        <v>18</v>
      </c>
      <c r="Q246" s="65">
        <v>51466.49</v>
      </c>
      <c r="R246" s="224">
        <v>14</v>
      </c>
      <c r="S246" s="50">
        <f t="shared" si="14"/>
        <v>32281.95</v>
      </c>
      <c r="T246" s="65">
        <v>32281.95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9"/>
      <c r="B247" s="380"/>
      <c r="C247" s="380"/>
      <c r="D247" s="380"/>
      <c r="E247" s="380"/>
      <c r="F247" s="247"/>
      <c r="G247" s="227" t="s">
        <v>25</v>
      </c>
      <c r="H247" s="153">
        <v>1</v>
      </c>
      <c r="I247" s="57"/>
      <c r="J247" s="57"/>
      <c r="K247" s="43"/>
      <c r="L247" s="44"/>
      <c r="M247" s="43">
        <f t="shared" si="13"/>
        <v>0</v>
      </c>
      <c r="N247" s="43"/>
      <c r="O247" s="41"/>
      <c r="P247" s="113">
        <v>3</v>
      </c>
      <c r="Q247" s="114">
        <v>23282.52</v>
      </c>
      <c r="R247" s="270">
        <v>2</v>
      </c>
      <c r="S247" s="114">
        <v>15252.74</v>
      </c>
      <c r="T247" s="114">
        <v>15252.74</v>
      </c>
      <c r="U247" s="23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429</v>
      </c>
      <c r="C248" s="374" t="s">
        <v>22</v>
      </c>
      <c r="D248" s="374"/>
      <c r="E248" s="374" t="s">
        <v>27</v>
      </c>
      <c r="F248" s="204" t="s">
        <v>446</v>
      </c>
      <c r="G248" s="176" t="s">
        <v>24</v>
      </c>
      <c r="H248" s="151"/>
      <c r="I248" s="25"/>
      <c r="J248" s="25"/>
      <c r="K248" s="26"/>
      <c r="L248" s="27"/>
      <c r="M248" s="26">
        <f t="shared" si="13"/>
        <v>0</v>
      </c>
      <c r="N248" s="30"/>
      <c r="O248" s="31"/>
      <c r="P248" s="53">
        <v>1</v>
      </c>
      <c r="Q248" s="30">
        <v>36784.050000000003</v>
      </c>
      <c r="R248" s="205">
        <v>1</v>
      </c>
      <c r="S248" s="26">
        <f t="shared" ref="S248:S274" si="15">T248+U248</f>
        <v>36784.050000000003</v>
      </c>
      <c r="T248" s="30">
        <v>36784.050000000003</v>
      </c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/>
      <c r="G249" s="229" t="s">
        <v>28</v>
      </c>
      <c r="H249" s="56"/>
      <c r="I249" s="57"/>
      <c r="J249" s="57"/>
      <c r="K249" s="43"/>
      <c r="L249" s="44"/>
      <c r="M249" s="43">
        <f t="shared" si="13"/>
        <v>0</v>
      </c>
      <c r="N249" s="43"/>
      <c r="O249" s="45"/>
      <c r="P249" s="113"/>
      <c r="Q249" s="114"/>
      <c r="R249" s="44"/>
      <c r="S249" s="43">
        <f t="shared" si="15"/>
        <v>0</v>
      </c>
      <c r="T249" s="114"/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188</v>
      </c>
      <c r="C250" s="374" t="s">
        <v>39</v>
      </c>
      <c r="D250" s="374"/>
      <c r="E250" s="374" t="s">
        <v>27</v>
      </c>
      <c r="F250" s="22"/>
      <c r="G250" s="176" t="s">
        <v>24</v>
      </c>
      <c r="H250" s="151">
        <v>1</v>
      </c>
      <c r="I250" s="25"/>
      <c r="J250" s="25"/>
      <c r="K250" s="26"/>
      <c r="L250" s="27"/>
      <c r="M250" s="26">
        <f t="shared" si="13"/>
        <v>0</v>
      </c>
      <c r="N250" s="26"/>
      <c r="O250" s="31"/>
      <c r="P250" s="53">
        <v>1</v>
      </c>
      <c r="Q250" s="30">
        <v>2000</v>
      </c>
      <c r="R250" s="27"/>
      <c r="S250" s="26">
        <f t="shared" si="15"/>
        <v>0</v>
      </c>
      <c r="T250" s="26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20.25" customHeight="1">
      <c r="A251" s="373"/>
      <c r="B251" s="375"/>
      <c r="C251" s="375"/>
      <c r="D251" s="375"/>
      <c r="E251" s="375"/>
      <c r="F251" s="220" t="s">
        <v>344</v>
      </c>
      <c r="G251" s="229" t="s">
        <v>28</v>
      </c>
      <c r="H251" s="56">
        <v>3</v>
      </c>
      <c r="I251" s="130">
        <v>1</v>
      </c>
      <c r="J251" s="130">
        <v>1</v>
      </c>
      <c r="K251" s="114">
        <v>1052.5999999999999</v>
      </c>
      <c r="L251" s="44"/>
      <c r="M251" s="43">
        <f t="shared" si="13"/>
        <v>0</v>
      </c>
      <c r="N251" s="43"/>
      <c r="O251" s="222">
        <v>0</v>
      </c>
      <c r="P251" s="113">
        <v>13</v>
      </c>
      <c r="Q251" s="114">
        <v>15160.1</v>
      </c>
      <c r="R251" s="44"/>
      <c r="S251" s="43">
        <f t="shared" si="15"/>
        <v>4050.2</v>
      </c>
      <c r="T251" s="114">
        <v>4050.2</v>
      </c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189</v>
      </c>
      <c r="C252" s="374" t="s">
        <v>39</v>
      </c>
      <c r="D252" s="374" t="s">
        <v>427</v>
      </c>
      <c r="E252" s="374" t="s">
        <v>27</v>
      </c>
      <c r="F252" s="232" t="s">
        <v>428</v>
      </c>
      <c r="G252" s="23" t="s">
        <v>24</v>
      </c>
      <c r="H252" s="24">
        <v>14</v>
      </c>
      <c r="I252" s="62">
        <v>9</v>
      </c>
      <c r="J252" s="62">
        <v>12</v>
      </c>
      <c r="K252" s="30">
        <v>21540.38</v>
      </c>
      <c r="L252" s="205">
        <v>5</v>
      </c>
      <c r="M252" s="26">
        <f t="shared" si="13"/>
        <v>6835.88</v>
      </c>
      <c r="N252" s="30">
        <v>6835.88</v>
      </c>
      <c r="O252" s="241"/>
      <c r="P252" s="29">
        <v>2</v>
      </c>
      <c r="Q252" s="30">
        <v>1870.81</v>
      </c>
      <c r="R252" s="205">
        <v>2</v>
      </c>
      <c r="S252" s="26">
        <f t="shared" si="15"/>
        <v>1870.81</v>
      </c>
      <c r="T252" s="30">
        <v>1870.81</v>
      </c>
      <c r="U252" s="2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256</v>
      </c>
      <c r="G253" s="35" t="s">
        <v>28</v>
      </c>
      <c r="H253" s="66">
        <v>3</v>
      </c>
      <c r="I253" s="38"/>
      <c r="J253" s="38"/>
      <c r="K253" s="39"/>
      <c r="L253" s="40"/>
      <c r="M253" s="39">
        <f t="shared" si="13"/>
        <v>0</v>
      </c>
      <c r="N253" s="39"/>
      <c r="O253" s="41"/>
      <c r="P253" s="69"/>
      <c r="Q253" s="39"/>
      <c r="R253" s="40"/>
      <c r="S253" s="39">
        <f t="shared" si="15"/>
        <v>0</v>
      </c>
      <c r="T253" s="39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82"/>
      <c r="B254" s="381" t="s">
        <v>190</v>
      </c>
      <c r="C254" s="381" t="s">
        <v>39</v>
      </c>
      <c r="D254" s="381" t="s">
        <v>191</v>
      </c>
      <c r="E254" s="381" t="s">
        <v>27</v>
      </c>
      <c r="F254" s="46"/>
      <c r="G254" s="47" t="s">
        <v>24</v>
      </c>
      <c r="H254" s="98"/>
      <c r="I254" s="49"/>
      <c r="J254" s="49"/>
      <c r="K254" s="50"/>
      <c r="L254" s="51"/>
      <c r="M254" s="50">
        <f t="shared" si="13"/>
        <v>0</v>
      </c>
      <c r="N254" s="50"/>
      <c r="O254" s="31"/>
      <c r="P254" s="123"/>
      <c r="Q254" s="50"/>
      <c r="R254" s="51"/>
      <c r="S254" s="50">
        <f t="shared" si="15"/>
        <v>0</v>
      </c>
      <c r="T254" s="50"/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345</v>
      </c>
      <c r="G255" s="35" t="s">
        <v>28</v>
      </c>
      <c r="H255" s="112">
        <v>2</v>
      </c>
      <c r="I255" s="57"/>
      <c r="J255" s="57"/>
      <c r="K255" s="43"/>
      <c r="L255" s="44"/>
      <c r="M255" s="43">
        <f t="shared" si="13"/>
        <v>0</v>
      </c>
      <c r="N255" s="43"/>
      <c r="O255" s="45"/>
      <c r="P255" s="115">
        <v>4</v>
      </c>
      <c r="Q255" s="68">
        <v>5106.7</v>
      </c>
      <c r="R255" s="40"/>
      <c r="S255" s="39">
        <f t="shared" si="15"/>
        <v>6739.58</v>
      </c>
      <c r="T255" s="68">
        <f>3818+2921.58</f>
        <v>6739.58</v>
      </c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192</v>
      </c>
      <c r="C256" s="374" t="s">
        <v>22</v>
      </c>
      <c r="D256" s="374"/>
      <c r="E256" s="374" t="s">
        <v>193</v>
      </c>
      <c r="F256" s="204" t="s">
        <v>318</v>
      </c>
      <c r="G256" s="176" t="s">
        <v>24</v>
      </c>
      <c r="H256" s="61">
        <v>8</v>
      </c>
      <c r="I256" s="62">
        <v>8</v>
      </c>
      <c r="J256" s="62">
        <v>9</v>
      </c>
      <c r="K256" s="30">
        <v>9532.68</v>
      </c>
      <c r="L256" s="205">
        <v>5</v>
      </c>
      <c r="M256" s="26">
        <f t="shared" si="13"/>
        <v>5727.17</v>
      </c>
      <c r="N256" s="30">
        <v>5727.17</v>
      </c>
      <c r="O256" s="100"/>
      <c r="P256" s="64">
        <v>20</v>
      </c>
      <c r="Q256" s="65">
        <v>52299.07</v>
      </c>
      <c r="R256" s="224">
        <v>18</v>
      </c>
      <c r="S256" s="50">
        <f t="shared" si="15"/>
        <v>47921.06</v>
      </c>
      <c r="T256" s="65">
        <v>47921.06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346</v>
      </c>
      <c r="G257" s="229" t="s">
        <v>28</v>
      </c>
      <c r="H257" s="133">
        <v>1</v>
      </c>
      <c r="I257" s="37">
        <v>1</v>
      </c>
      <c r="J257" s="37">
        <v>1</v>
      </c>
      <c r="K257" s="68">
        <v>1728.9</v>
      </c>
      <c r="L257" s="285">
        <v>1</v>
      </c>
      <c r="M257" s="39">
        <f t="shared" si="13"/>
        <v>1728.9</v>
      </c>
      <c r="N257" s="39">
        <f>1728.9</f>
        <v>1728.9</v>
      </c>
      <c r="O257" s="41"/>
      <c r="P257" s="42"/>
      <c r="Q257" s="43"/>
      <c r="R257" s="44"/>
      <c r="S257" s="43">
        <f t="shared" si="15"/>
        <v>0</v>
      </c>
      <c r="T257" s="43"/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194</v>
      </c>
      <c r="C258" s="377" t="s">
        <v>39</v>
      </c>
      <c r="D258" s="377" t="s">
        <v>319</v>
      </c>
      <c r="E258" s="374" t="s">
        <v>160</v>
      </c>
      <c r="F258" s="232" t="s">
        <v>320</v>
      </c>
      <c r="G258" s="23" t="s">
        <v>24</v>
      </c>
      <c r="H258" s="48">
        <v>5</v>
      </c>
      <c r="I258" s="203">
        <v>4</v>
      </c>
      <c r="J258" s="203">
        <v>4</v>
      </c>
      <c r="K258" s="65">
        <v>2968.33</v>
      </c>
      <c r="L258" s="316">
        <v>3</v>
      </c>
      <c r="M258" s="129">
        <f t="shared" si="13"/>
        <v>2090.2399999999998</v>
      </c>
      <c r="N258" s="65">
        <v>2090.2399999999998</v>
      </c>
      <c r="O258" s="225"/>
      <c r="P258" s="29">
        <v>3</v>
      </c>
      <c r="Q258" s="30">
        <v>6107.21</v>
      </c>
      <c r="R258" s="205">
        <v>3</v>
      </c>
      <c r="S258" s="26">
        <f t="shared" si="15"/>
        <v>6107.21</v>
      </c>
      <c r="T258" s="30">
        <v>6107.21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347</v>
      </c>
      <c r="G259" s="35" t="s">
        <v>28</v>
      </c>
      <c r="H259" s="117">
        <v>2</v>
      </c>
      <c r="I259" s="37"/>
      <c r="J259" s="37"/>
      <c r="K259" s="39"/>
      <c r="L259" s="44"/>
      <c r="M259" s="43">
        <f t="shared" si="13"/>
        <v>0</v>
      </c>
      <c r="N259" s="39"/>
      <c r="O259" s="41"/>
      <c r="P259" s="37">
        <v>5</v>
      </c>
      <c r="Q259" s="37">
        <v>12038.63</v>
      </c>
      <c r="R259" s="40"/>
      <c r="S259" s="39">
        <f t="shared" si="15"/>
        <v>4621.6400000000003</v>
      </c>
      <c r="T259" s="68">
        <f>576.3+4045.34</f>
        <v>4621.6400000000003</v>
      </c>
      <c r="U259" s="2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195</v>
      </c>
      <c r="C260" s="377" t="s">
        <v>39</v>
      </c>
      <c r="D260" s="377" t="s">
        <v>231</v>
      </c>
      <c r="E260" s="381" t="s">
        <v>27</v>
      </c>
      <c r="F260" s="204" t="s">
        <v>232</v>
      </c>
      <c r="G260" s="47" t="s">
        <v>24</v>
      </c>
      <c r="H260" s="61">
        <v>2</v>
      </c>
      <c r="I260" s="25"/>
      <c r="J260" s="25"/>
      <c r="K260" s="26"/>
      <c r="L260" s="205"/>
      <c r="M260" s="26">
        <f t="shared" si="13"/>
        <v>0</v>
      </c>
      <c r="N260" s="26"/>
      <c r="O260" s="31"/>
      <c r="P260" s="64">
        <v>7</v>
      </c>
      <c r="Q260" s="65">
        <v>46859.35</v>
      </c>
      <c r="R260" s="224">
        <v>7</v>
      </c>
      <c r="S260" s="50">
        <f t="shared" si="15"/>
        <v>46859.35</v>
      </c>
      <c r="T260" s="65">
        <v>46859.35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1" t="s">
        <v>260</v>
      </c>
      <c r="G261" s="55" t="s">
        <v>28</v>
      </c>
      <c r="H261" s="178">
        <v>5</v>
      </c>
      <c r="I261" s="130">
        <v>2</v>
      </c>
      <c r="J261" s="130">
        <v>2</v>
      </c>
      <c r="K261" s="114">
        <v>1997.84</v>
      </c>
      <c r="L261" s="44"/>
      <c r="M261" s="43">
        <f t="shared" si="13"/>
        <v>1152.5999999999999</v>
      </c>
      <c r="N261" s="43">
        <f>1152.6</f>
        <v>1152.5999999999999</v>
      </c>
      <c r="O261" s="222"/>
      <c r="P261" s="130">
        <v>7</v>
      </c>
      <c r="Q261" s="130">
        <v>24706.45</v>
      </c>
      <c r="R261" s="270">
        <v>6</v>
      </c>
      <c r="S261" s="43">
        <f t="shared" si="15"/>
        <v>18249.5</v>
      </c>
      <c r="T261" s="114">
        <f>4994.6+12678.6+576.3</f>
        <v>18249.5</v>
      </c>
      <c r="U261" s="222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196</v>
      </c>
      <c r="C262" s="381" t="s">
        <v>22</v>
      </c>
      <c r="D262" s="374"/>
      <c r="E262" s="381" t="s">
        <v>27</v>
      </c>
      <c r="F262" s="22"/>
      <c r="G262" s="23" t="s">
        <v>24</v>
      </c>
      <c r="H262" s="119"/>
      <c r="I262" s="25"/>
      <c r="J262" s="25"/>
      <c r="K262" s="26"/>
      <c r="L262" s="27"/>
      <c r="M262" s="26">
        <f t="shared" si="13"/>
        <v>0</v>
      </c>
      <c r="N262" s="26"/>
      <c r="O262" s="28"/>
      <c r="P262" s="120"/>
      <c r="Q262" s="26"/>
      <c r="R262" s="27"/>
      <c r="S262" s="26">
        <f t="shared" si="15"/>
        <v>0</v>
      </c>
      <c r="T262" s="26"/>
      <c r="U262" s="28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348</v>
      </c>
      <c r="G263" s="35" t="s">
        <v>28</v>
      </c>
      <c r="H263" s="66">
        <v>4</v>
      </c>
      <c r="I263" s="38"/>
      <c r="J263" s="38"/>
      <c r="K263" s="39"/>
      <c r="L263" s="40"/>
      <c r="M263" s="39">
        <f t="shared" si="13"/>
        <v>0</v>
      </c>
      <c r="N263" s="39"/>
      <c r="O263" s="41"/>
      <c r="P263" s="67">
        <v>4</v>
      </c>
      <c r="Q263" s="68">
        <v>11282.42</v>
      </c>
      <c r="R263" s="285">
        <v>3</v>
      </c>
      <c r="S263" s="39">
        <f t="shared" si="15"/>
        <v>9655</v>
      </c>
      <c r="T263" s="39">
        <f>2547.3+4226.2+2881.5</f>
        <v>9655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82"/>
      <c r="B264" s="381" t="s">
        <v>197</v>
      </c>
      <c r="C264" s="381" t="s">
        <v>39</v>
      </c>
      <c r="D264" s="381" t="s">
        <v>381</v>
      </c>
      <c r="E264" s="381" t="s">
        <v>27</v>
      </c>
      <c r="F264" s="204" t="s">
        <v>382</v>
      </c>
      <c r="G264" s="47" t="s">
        <v>24</v>
      </c>
      <c r="H264" s="98"/>
      <c r="I264" s="49"/>
      <c r="J264" s="49"/>
      <c r="K264" s="50"/>
      <c r="L264" s="51"/>
      <c r="M264" s="50">
        <f t="shared" si="13"/>
        <v>0</v>
      </c>
      <c r="N264" s="50"/>
      <c r="O264" s="31"/>
      <c r="P264" s="108">
        <v>1</v>
      </c>
      <c r="Q264" s="65">
        <v>748.24</v>
      </c>
      <c r="R264" s="224">
        <v>1</v>
      </c>
      <c r="S264" s="50">
        <f t="shared" si="15"/>
        <v>748.24</v>
      </c>
      <c r="T264" s="65">
        <v>748.24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9"/>
      <c r="B265" s="380"/>
      <c r="C265" s="380"/>
      <c r="D265" s="380"/>
      <c r="E265" s="380"/>
      <c r="F265" s="221" t="s">
        <v>349</v>
      </c>
      <c r="G265" s="55" t="s">
        <v>28</v>
      </c>
      <c r="H265" s="153">
        <v>3</v>
      </c>
      <c r="I265" s="130">
        <v>2</v>
      </c>
      <c r="J265" s="130">
        <v>2</v>
      </c>
      <c r="K265" s="114">
        <v>3265.7</v>
      </c>
      <c r="L265" s="270">
        <v>1</v>
      </c>
      <c r="M265" s="43">
        <f t="shared" si="13"/>
        <v>1056.55</v>
      </c>
      <c r="N265" s="43">
        <f>1056.55</f>
        <v>1056.55</v>
      </c>
      <c r="O265" s="41"/>
      <c r="P265" s="103"/>
      <c r="Q265" s="43"/>
      <c r="R265" s="44"/>
      <c r="S265" s="43">
        <f t="shared" si="15"/>
        <v>3765.16</v>
      </c>
      <c r="T265" s="114">
        <f>1440.75+2324.41</f>
        <v>3765.16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2"/>
      <c r="B266" s="374" t="s">
        <v>198</v>
      </c>
      <c r="C266" s="374" t="s">
        <v>22</v>
      </c>
      <c r="D266" s="374"/>
      <c r="E266" s="374" t="s">
        <v>112</v>
      </c>
      <c r="F266" s="204" t="s">
        <v>383</v>
      </c>
      <c r="G266" s="23" t="s">
        <v>24</v>
      </c>
      <c r="H266" s="48">
        <v>5</v>
      </c>
      <c r="I266" s="62">
        <v>5</v>
      </c>
      <c r="J266" s="62">
        <v>5</v>
      </c>
      <c r="K266" s="30">
        <v>5867.69</v>
      </c>
      <c r="L266" s="205">
        <v>4</v>
      </c>
      <c r="M266" s="26">
        <f t="shared" si="13"/>
        <v>2486.73</v>
      </c>
      <c r="N266" s="30">
        <v>2486.73</v>
      </c>
      <c r="O266" s="31"/>
      <c r="P266" s="53">
        <v>12</v>
      </c>
      <c r="Q266" s="30">
        <v>46848.4</v>
      </c>
      <c r="R266" s="205">
        <v>11</v>
      </c>
      <c r="S266" s="26">
        <f t="shared" si="15"/>
        <v>44151.34</v>
      </c>
      <c r="T266" s="30">
        <v>44151.34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0" t="s">
        <v>350</v>
      </c>
      <c r="G267" s="35" t="s">
        <v>28</v>
      </c>
      <c r="H267" s="153">
        <v>1</v>
      </c>
      <c r="I267" s="38"/>
      <c r="J267" s="38"/>
      <c r="K267" s="39"/>
      <c r="L267" s="40"/>
      <c r="M267" s="39">
        <f t="shared" si="13"/>
        <v>0</v>
      </c>
      <c r="N267" s="39"/>
      <c r="O267" s="41"/>
      <c r="P267" s="59"/>
      <c r="Q267" s="39"/>
      <c r="R267" s="40"/>
      <c r="S267" s="39">
        <f t="shared" si="15"/>
        <v>0</v>
      </c>
      <c r="T267" s="39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82"/>
      <c r="B268" s="381" t="s">
        <v>199</v>
      </c>
      <c r="C268" s="381" t="s">
        <v>22</v>
      </c>
      <c r="D268" s="381"/>
      <c r="E268" s="381" t="s">
        <v>131</v>
      </c>
      <c r="F268" s="46"/>
      <c r="G268" s="23" t="s">
        <v>24</v>
      </c>
      <c r="H268" s="98"/>
      <c r="I268" s="49"/>
      <c r="J268" s="49"/>
      <c r="K268" s="50"/>
      <c r="L268" s="51"/>
      <c r="M268" s="50">
        <f t="shared" si="13"/>
        <v>0</v>
      </c>
      <c r="N268" s="50"/>
      <c r="O268" s="31"/>
      <c r="P268" s="123"/>
      <c r="Q268" s="50"/>
      <c r="R268" s="51"/>
      <c r="S268" s="50">
        <f t="shared" si="15"/>
        <v>0</v>
      </c>
      <c r="T268" s="50"/>
      <c r="U268" s="3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9"/>
      <c r="B269" s="380"/>
      <c r="C269" s="380"/>
      <c r="D269" s="380"/>
      <c r="E269" s="380"/>
      <c r="F269" s="126"/>
      <c r="G269" s="55" t="s">
        <v>25</v>
      </c>
      <c r="H269" s="118"/>
      <c r="I269" s="57"/>
      <c r="J269" s="57"/>
      <c r="K269" s="43"/>
      <c r="L269" s="44"/>
      <c r="M269" s="43">
        <f t="shared" si="13"/>
        <v>0</v>
      </c>
      <c r="N269" s="43"/>
      <c r="O269" s="41"/>
      <c r="P269" s="103"/>
      <c r="Q269" s="43"/>
      <c r="R269" s="44"/>
      <c r="S269" s="43">
        <f t="shared" si="15"/>
        <v>0</v>
      </c>
      <c r="T269" s="43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200</v>
      </c>
      <c r="C270" s="374" t="s">
        <v>22</v>
      </c>
      <c r="D270" s="374"/>
      <c r="E270" s="374" t="s">
        <v>27</v>
      </c>
      <c r="F270" s="204" t="s">
        <v>384</v>
      </c>
      <c r="G270" s="23" t="s">
        <v>24</v>
      </c>
      <c r="H270" s="61">
        <v>1</v>
      </c>
      <c r="I270" s="25"/>
      <c r="J270" s="25"/>
      <c r="K270" s="26"/>
      <c r="L270" s="27"/>
      <c r="M270" s="26">
        <f t="shared" si="13"/>
        <v>0</v>
      </c>
      <c r="N270" s="26"/>
      <c r="O270" s="31"/>
      <c r="P270" s="29">
        <v>5</v>
      </c>
      <c r="Q270" s="30">
        <v>20287.48</v>
      </c>
      <c r="R270" s="205">
        <v>5</v>
      </c>
      <c r="S270" s="26">
        <f t="shared" si="15"/>
        <v>20287.48</v>
      </c>
      <c r="T270" s="30">
        <v>20287.48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33" t="s">
        <v>351</v>
      </c>
      <c r="G271" s="227" t="s">
        <v>28</v>
      </c>
      <c r="H271" s="207">
        <v>1</v>
      </c>
      <c r="I271" s="208">
        <v>1</v>
      </c>
      <c r="J271" s="208">
        <v>1</v>
      </c>
      <c r="K271" s="209">
        <v>1056.55</v>
      </c>
      <c r="L271" s="210"/>
      <c r="M271" s="211">
        <f t="shared" si="13"/>
        <v>0</v>
      </c>
      <c r="N271" s="211"/>
      <c r="O271" s="212"/>
      <c r="P271" s="284"/>
      <c r="Q271" s="211"/>
      <c r="R271" s="210"/>
      <c r="S271" s="211">
        <f t="shared" si="15"/>
        <v>1921</v>
      </c>
      <c r="T271" s="209">
        <v>1921</v>
      </c>
      <c r="U271" s="212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430</v>
      </c>
      <c r="C272" s="374" t="s">
        <v>39</v>
      </c>
      <c r="D272" s="374" t="s">
        <v>439</v>
      </c>
      <c r="E272" s="374" t="s">
        <v>27</v>
      </c>
      <c r="F272" s="204" t="s">
        <v>440</v>
      </c>
      <c r="G272" s="213" t="s">
        <v>24</v>
      </c>
      <c r="H272" s="61"/>
      <c r="I272" s="62"/>
      <c r="J272" s="62"/>
      <c r="K272" s="30"/>
      <c r="L272" s="27"/>
      <c r="M272" s="26">
        <f t="shared" si="13"/>
        <v>0</v>
      </c>
      <c r="N272" s="26"/>
      <c r="O272" s="241"/>
      <c r="P272" s="214"/>
      <c r="Q272" s="30"/>
      <c r="R272" s="205"/>
      <c r="S272" s="26">
        <f t="shared" si="15"/>
        <v>0</v>
      </c>
      <c r="T272" s="30"/>
      <c r="U272" s="28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/>
      <c r="G273" s="215" t="s">
        <v>28</v>
      </c>
      <c r="H273" s="117"/>
      <c r="I273" s="37"/>
      <c r="J273" s="37"/>
      <c r="K273" s="68"/>
      <c r="L273" s="40"/>
      <c r="M273" s="39">
        <f t="shared" si="13"/>
        <v>0</v>
      </c>
      <c r="N273" s="39"/>
      <c r="O273" s="234"/>
      <c r="P273" s="217"/>
      <c r="Q273" s="68"/>
      <c r="R273" s="285"/>
      <c r="S273" s="39">
        <f t="shared" si="15"/>
        <v>0</v>
      </c>
      <c r="T273" s="68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6"/>
      <c r="B274" s="377" t="s">
        <v>201</v>
      </c>
      <c r="C274" s="377" t="s">
        <v>39</v>
      </c>
      <c r="D274" s="377" t="s">
        <v>385</v>
      </c>
      <c r="E274" s="377" t="s">
        <v>386</v>
      </c>
      <c r="F274" s="232" t="s">
        <v>387</v>
      </c>
      <c r="G274" s="95" t="s">
        <v>24</v>
      </c>
      <c r="H274" s="265">
        <v>12</v>
      </c>
      <c r="I274" s="266">
        <v>12</v>
      </c>
      <c r="J274" s="266">
        <v>17</v>
      </c>
      <c r="K274" s="79">
        <v>23491.16</v>
      </c>
      <c r="L274" s="268">
        <v>12</v>
      </c>
      <c r="M274" s="81">
        <f t="shared" si="13"/>
        <v>15909.92</v>
      </c>
      <c r="N274" s="79">
        <v>15909.92</v>
      </c>
      <c r="O274" s="313"/>
      <c r="P274" s="267">
        <v>2</v>
      </c>
      <c r="Q274" s="79">
        <v>4356.83</v>
      </c>
      <c r="R274" s="268">
        <v>2</v>
      </c>
      <c r="S274" s="81">
        <f t="shared" si="15"/>
        <v>4356.83</v>
      </c>
      <c r="T274" s="79">
        <v>4356.83</v>
      </c>
      <c r="U274" s="8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105"/>
      <c r="G275" s="35" t="s">
        <v>25</v>
      </c>
      <c r="H275" s="106"/>
      <c r="I275" s="38"/>
      <c r="J275" s="38"/>
      <c r="K275" s="39"/>
      <c r="L275" s="40"/>
      <c r="M275" s="39">
        <f t="shared" si="13"/>
        <v>0</v>
      </c>
      <c r="N275" s="39"/>
      <c r="O275" s="58"/>
      <c r="P275" s="115">
        <v>2</v>
      </c>
      <c r="Q275" s="68">
        <v>4418.3</v>
      </c>
      <c r="R275" s="285">
        <v>2</v>
      </c>
      <c r="S275" s="68">
        <v>4418.3</v>
      </c>
      <c r="T275" s="68">
        <v>4418.3</v>
      </c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82"/>
      <c r="B276" s="381" t="s">
        <v>202</v>
      </c>
      <c r="C276" s="381" t="s">
        <v>39</v>
      </c>
      <c r="D276" s="377" t="s">
        <v>441</v>
      </c>
      <c r="E276" s="381" t="s">
        <v>27</v>
      </c>
      <c r="F276" s="204" t="s">
        <v>442</v>
      </c>
      <c r="G276" s="47" t="s">
        <v>24</v>
      </c>
      <c r="H276" s="48">
        <v>2</v>
      </c>
      <c r="I276" s="203">
        <v>2</v>
      </c>
      <c r="J276" s="203">
        <v>2</v>
      </c>
      <c r="K276" s="65">
        <v>2382.04</v>
      </c>
      <c r="L276" s="224">
        <v>2</v>
      </c>
      <c r="M276" s="50">
        <f t="shared" si="13"/>
        <v>2382.04</v>
      </c>
      <c r="N276" s="65">
        <v>2382.04</v>
      </c>
      <c r="O276" s="31"/>
      <c r="P276" s="108">
        <v>2</v>
      </c>
      <c r="Q276" s="65">
        <v>4082.51</v>
      </c>
      <c r="R276" s="224">
        <v>2</v>
      </c>
      <c r="S276" s="50">
        <f t="shared" ref="S276:S280" si="16">T276+U276</f>
        <v>4082.51</v>
      </c>
      <c r="T276" s="65">
        <v>4082.51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21" t="s">
        <v>262</v>
      </c>
      <c r="G277" s="55" t="s">
        <v>28</v>
      </c>
      <c r="H277" s="112">
        <v>2</v>
      </c>
      <c r="I277" s="130">
        <v>1</v>
      </c>
      <c r="J277" s="130">
        <v>1</v>
      </c>
      <c r="K277" s="114">
        <v>1479.17</v>
      </c>
      <c r="L277" s="128"/>
      <c r="M277" s="129">
        <f t="shared" si="13"/>
        <v>0</v>
      </c>
      <c r="N277" s="43"/>
      <c r="O277" s="45"/>
      <c r="P277" s="113">
        <v>2</v>
      </c>
      <c r="Q277" s="114">
        <v>8452.4</v>
      </c>
      <c r="R277" s="128"/>
      <c r="S277" s="129">
        <f t="shared" si="16"/>
        <v>4994.6000000000004</v>
      </c>
      <c r="T277" s="114">
        <f>3649.9+1344.7</f>
        <v>4994.6000000000004</v>
      </c>
      <c r="U277" s="4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203</v>
      </c>
      <c r="C278" s="374"/>
      <c r="D278" s="374"/>
      <c r="E278" s="374" t="s">
        <v>27</v>
      </c>
      <c r="F278" s="60"/>
      <c r="G278" s="23" t="s">
        <v>24</v>
      </c>
      <c r="H278" s="61">
        <v>2</v>
      </c>
      <c r="I278" s="25"/>
      <c r="J278" s="25"/>
      <c r="K278" s="26"/>
      <c r="L278" s="27"/>
      <c r="M278" s="26">
        <f t="shared" si="13"/>
        <v>0</v>
      </c>
      <c r="N278" s="26"/>
      <c r="O278" s="28"/>
      <c r="P278" s="120"/>
      <c r="Q278" s="26"/>
      <c r="R278" s="27"/>
      <c r="S278" s="26">
        <f t="shared" si="16"/>
        <v>0</v>
      </c>
      <c r="T278" s="26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28</v>
      </c>
      <c r="H279" s="117"/>
      <c r="I279" s="38"/>
      <c r="J279" s="38"/>
      <c r="K279" s="39"/>
      <c r="L279" s="40"/>
      <c r="M279" s="39">
        <f t="shared" si="13"/>
        <v>0</v>
      </c>
      <c r="N279" s="39"/>
      <c r="O279" s="41"/>
      <c r="P279" s="69"/>
      <c r="Q279" s="39"/>
      <c r="R279" s="40"/>
      <c r="S279" s="39">
        <f t="shared" si="16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82"/>
      <c r="B280" s="381" t="s">
        <v>204</v>
      </c>
      <c r="C280" s="381" t="s">
        <v>22</v>
      </c>
      <c r="D280" s="381"/>
      <c r="E280" s="381" t="s">
        <v>23</v>
      </c>
      <c r="F280" s="204" t="s">
        <v>431</v>
      </c>
      <c r="G280" s="47" t="s">
        <v>24</v>
      </c>
      <c r="H280" s="48">
        <v>8</v>
      </c>
      <c r="I280" s="203">
        <v>5</v>
      </c>
      <c r="J280" s="203">
        <v>6</v>
      </c>
      <c r="K280" s="65">
        <v>7650.47</v>
      </c>
      <c r="L280" s="224">
        <v>2</v>
      </c>
      <c r="M280" s="50">
        <f t="shared" si="13"/>
        <v>2387.8000000000002</v>
      </c>
      <c r="N280" s="65">
        <v>2387.8000000000002</v>
      </c>
      <c r="O280" s="225"/>
      <c r="P280" s="108">
        <v>4</v>
      </c>
      <c r="Q280" s="65">
        <v>3363.11</v>
      </c>
      <c r="R280" s="224">
        <v>4</v>
      </c>
      <c r="S280" s="50">
        <f t="shared" si="16"/>
        <v>3363.11</v>
      </c>
      <c r="T280" s="65">
        <v>3363.11</v>
      </c>
      <c r="U280" s="225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25</v>
      </c>
      <c r="H281" s="111"/>
      <c r="I281" s="38"/>
      <c r="J281" s="38"/>
      <c r="K281" s="39"/>
      <c r="L281" s="40"/>
      <c r="M281" s="39">
        <f t="shared" si="13"/>
        <v>0</v>
      </c>
      <c r="N281" s="39"/>
      <c r="O281" s="41"/>
      <c r="P281" s="115">
        <v>1</v>
      </c>
      <c r="Q281" s="68">
        <v>2305.1999999999998</v>
      </c>
      <c r="R281" s="285">
        <v>1</v>
      </c>
      <c r="S281" s="68">
        <v>2305.1999999999998</v>
      </c>
      <c r="T281" s="68">
        <v>2305.1999999999998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179"/>
      <c r="B282" s="180" t="s">
        <v>205</v>
      </c>
      <c r="C282" s="180"/>
      <c r="D282" s="180"/>
      <c r="E282" s="180"/>
      <c r="F282" s="180"/>
      <c r="G282" s="181"/>
      <c r="H282" s="182">
        <f t="shared" ref="H282:U282" si="17">SUM(H9:H281)</f>
        <v>1024</v>
      </c>
      <c r="I282" s="183">
        <f t="shared" si="17"/>
        <v>548</v>
      </c>
      <c r="J282" s="183">
        <f t="shared" si="17"/>
        <v>636</v>
      </c>
      <c r="K282" s="184">
        <f t="shared" si="17"/>
        <v>1036733.9099999999</v>
      </c>
      <c r="L282" s="185">
        <f t="shared" si="17"/>
        <v>428</v>
      </c>
      <c r="M282" s="184">
        <f t="shared" si="17"/>
        <v>684273.40000000014</v>
      </c>
      <c r="N282" s="184">
        <f t="shared" si="17"/>
        <v>684273.40000000014</v>
      </c>
      <c r="O282" s="186">
        <f t="shared" si="17"/>
        <v>0</v>
      </c>
      <c r="P282" s="187">
        <f t="shared" si="17"/>
        <v>1123</v>
      </c>
      <c r="Q282" s="188">
        <f t="shared" si="17"/>
        <v>3706023.959999999</v>
      </c>
      <c r="R282" s="185">
        <f t="shared" si="17"/>
        <v>901</v>
      </c>
      <c r="S282" s="188">
        <f t="shared" si="17"/>
        <v>3049391.1300000004</v>
      </c>
      <c r="T282" s="188">
        <f t="shared" si="17"/>
        <v>3049391.1300000004</v>
      </c>
      <c r="U282" s="189">
        <f t="shared" si="17"/>
        <v>0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I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 t="s">
        <v>206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27.75" customHeight="1">
      <c r="A286" s="4"/>
      <c r="B286" s="4"/>
      <c r="C286" s="4"/>
      <c r="D286" s="4"/>
      <c r="E286" s="4"/>
      <c r="F286" s="394"/>
      <c r="G286" s="395" t="s">
        <v>5</v>
      </c>
      <c r="H286" s="396"/>
      <c r="I286" s="396"/>
      <c r="J286" s="396"/>
      <c r="K286" s="396"/>
      <c r="L286" s="396"/>
      <c r="M286" s="396"/>
      <c r="N286" s="397"/>
      <c r="O286" s="395" t="s">
        <v>6</v>
      </c>
      <c r="P286" s="396"/>
      <c r="Q286" s="396"/>
      <c r="R286" s="396"/>
      <c r="S286" s="396"/>
      <c r="T286" s="397"/>
      <c r="U286" s="393" t="s">
        <v>207</v>
      </c>
      <c r="V286" s="393" t="s">
        <v>208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386"/>
      <c r="G287" s="190" t="s">
        <v>13</v>
      </c>
      <c r="H287" s="190" t="s">
        <v>14</v>
      </c>
      <c r="I287" s="190" t="s">
        <v>15</v>
      </c>
      <c r="J287" s="190" t="s">
        <v>16</v>
      </c>
      <c r="K287" s="191" t="s">
        <v>17</v>
      </c>
      <c r="L287" s="190" t="s">
        <v>18</v>
      </c>
      <c r="M287" s="190" t="s">
        <v>19</v>
      </c>
      <c r="N287" s="190" t="s">
        <v>20</v>
      </c>
      <c r="O287" s="190" t="s">
        <v>15</v>
      </c>
      <c r="P287" s="190" t="s">
        <v>16</v>
      </c>
      <c r="Q287" s="191" t="s">
        <v>17</v>
      </c>
      <c r="R287" s="190" t="s">
        <v>18</v>
      </c>
      <c r="S287" s="190" t="s">
        <v>19</v>
      </c>
      <c r="T287" s="190" t="s">
        <v>20</v>
      </c>
      <c r="U287" s="392"/>
      <c r="V287" s="392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24</v>
      </c>
      <c r="G288" s="193">
        <f t="shared" ref="G288:I288" si="18">SUMIF($G$9:$G$281,$F$288,H9:H281)</f>
        <v>721</v>
      </c>
      <c r="H288" s="193">
        <f t="shared" si="18"/>
        <v>461</v>
      </c>
      <c r="I288" s="193">
        <f t="shared" si="18"/>
        <v>549</v>
      </c>
      <c r="J288" s="194">
        <f t="shared" ref="J288:J290" si="19">SUMIF($G$9:$G$281,F288,$K$9:$K$281)</f>
        <v>902699.66</v>
      </c>
      <c r="K288" s="195">
        <f t="shared" ref="K288:K290" si="20">SUMIF($G$9:$G$281,F288,$L$9:$L$281)</f>
        <v>393</v>
      </c>
      <c r="L288" s="194">
        <f t="shared" ref="L288:L290" si="21">SUMIF($G$9:$G$281,F288,$M$9:$M$281)</f>
        <v>622460.19999999984</v>
      </c>
      <c r="M288" s="194">
        <f t="shared" ref="M288:O288" si="22">SUMIF($G$9:$G$281,$F$288,N9:N281)</f>
        <v>622460.19999999984</v>
      </c>
      <c r="N288" s="194">
        <f t="shared" si="22"/>
        <v>0</v>
      </c>
      <c r="O288" s="193">
        <f t="shared" si="22"/>
        <v>926</v>
      </c>
      <c r="P288" s="194">
        <f t="shared" ref="P288:P290" si="23">SUMIF($G$9:$G$281,F288,$Q$9:$Q$281)</f>
        <v>3128284.6499999976</v>
      </c>
      <c r="Q288" s="195">
        <f t="shared" ref="Q288:Q290" si="24">SUMIF($G$9:$G$281,F288,$R$9:$R$281)</f>
        <v>803</v>
      </c>
      <c r="R288" s="194">
        <f t="shared" ref="R288:R290" si="25">SUMIF($G$9:$G$281,F288,$S$9:$S$281)</f>
        <v>2617137.6699999995</v>
      </c>
      <c r="S288" s="194">
        <f t="shared" ref="S288:T288" si="26">SUMIF($G$9:$G$281,$F$288,T9:T281)</f>
        <v>2617137.6699999995</v>
      </c>
      <c r="T288" s="194">
        <f t="shared" si="26"/>
        <v>0</v>
      </c>
      <c r="U288" s="194">
        <f t="shared" ref="U288:U290" si="27">S288+M288</f>
        <v>3239597.8699999992</v>
      </c>
      <c r="V288" s="196">
        <f t="shared" ref="V288:V290" si="28">J288-M288+P288-S288</f>
        <v>791386.43999999808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192" t="s">
        <v>28</v>
      </c>
      <c r="G289" s="236">
        <f t="shared" ref="G289:I289" si="29">SUMIF($G$9:$G$281,$F$289,H9:H281)</f>
        <v>249</v>
      </c>
      <c r="H289" s="193">
        <f t="shared" si="29"/>
        <v>66</v>
      </c>
      <c r="I289" s="193">
        <f t="shared" si="29"/>
        <v>66</v>
      </c>
      <c r="J289" s="194">
        <f t="shared" si="19"/>
        <v>100973.84000000003</v>
      </c>
      <c r="K289" s="195">
        <f t="shared" si="20"/>
        <v>20</v>
      </c>
      <c r="L289" s="194">
        <f t="shared" si="21"/>
        <v>42046.11</v>
      </c>
      <c r="M289" s="194">
        <f t="shared" ref="M289:O289" si="30">SUMIF($G$9:$G$281,$F$289,N9:N281)</f>
        <v>42046.11</v>
      </c>
      <c r="N289" s="194">
        <f t="shared" si="30"/>
        <v>0</v>
      </c>
      <c r="O289" s="193">
        <f t="shared" si="30"/>
        <v>151</v>
      </c>
      <c r="P289" s="194">
        <f t="shared" si="23"/>
        <v>422046</v>
      </c>
      <c r="Q289" s="195">
        <f t="shared" si="24"/>
        <v>62</v>
      </c>
      <c r="R289" s="194">
        <f t="shared" si="25"/>
        <v>317293.89</v>
      </c>
      <c r="S289" s="194">
        <f t="shared" ref="S289:T289" si="31">SUMIF($G$9:$G$281,$F$289,T9:T281)</f>
        <v>317293.89</v>
      </c>
      <c r="T289" s="194">
        <f t="shared" si="31"/>
        <v>0</v>
      </c>
      <c r="U289" s="194">
        <f t="shared" si="27"/>
        <v>359340</v>
      </c>
      <c r="V289" s="196">
        <f t="shared" si="28"/>
        <v>163679.84000000003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25</v>
      </c>
      <c r="G290" s="193">
        <f t="shared" ref="G290:I290" si="32">SUMIF($G$9:$G$281,$F$290,H9:H281)</f>
        <v>54</v>
      </c>
      <c r="H290" s="193">
        <f t="shared" si="32"/>
        <v>21</v>
      </c>
      <c r="I290" s="193">
        <f t="shared" si="32"/>
        <v>21</v>
      </c>
      <c r="J290" s="194">
        <f t="shared" si="19"/>
        <v>33060.409999999996</v>
      </c>
      <c r="K290" s="195">
        <f t="shared" si="20"/>
        <v>15</v>
      </c>
      <c r="L290" s="194">
        <f t="shared" si="21"/>
        <v>19767.09</v>
      </c>
      <c r="M290" s="194">
        <f t="shared" ref="M290:O290" si="33">SUMIF($G$9:$G$281,$F$290,N9:N281)</f>
        <v>19767.09</v>
      </c>
      <c r="N290" s="194">
        <f t="shared" si="33"/>
        <v>0</v>
      </c>
      <c r="O290" s="193">
        <f t="shared" si="33"/>
        <v>46</v>
      </c>
      <c r="P290" s="194">
        <f t="shared" si="23"/>
        <v>155693.31</v>
      </c>
      <c r="Q290" s="195">
        <f t="shared" si="24"/>
        <v>36</v>
      </c>
      <c r="R290" s="194">
        <f t="shared" si="25"/>
        <v>114959.57000000002</v>
      </c>
      <c r="S290" s="194">
        <f t="shared" ref="S290:T290" si="34">SUMIF($G$9:$G$281,$F$290,T9:T281)</f>
        <v>114959.57000000002</v>
      </c>
      <c r="T290" s="194">
        <f t="shared" si="34"/>
        <v>0</v>
      </c>
      <c r="U290" s="194">
        <f t="shared" si="27"/>
        <v>134726.66000000003</v>
      </c>
      <c r="V290" s="196">
        <f t="shared" si="28"/>
        <v>54027.059999999983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197">
        <f t="shared" ref="G291:V291" si="35">G290+G289+G288</f>
        <v>1024</v>
      </c>
      <c r="H291" s="197">
        <f t="shared" si="35"/>
        <v>548</v>
      </c>
      <c r="I291" s="197">
        <f t="shared" si="35"/>
        <v>636</v>
      </c>
      <c r="J291" s="198">
        <f t="shared" si="35"/>
        <v>1036733.91</v>
      </c>
      <c r="K291" s="199">
        <f t="shared" si="35"/>
        <v>428</v>
      </c>
      <c r="L291" s="198">
        <f t="shared" si="35"/>
        <v>684273.39999999979</v>
      </c>
      <c r="M291" s="198">
        <f t="shared" si="35"/>
        <v>684273.39999999979</v>
      </c>
      <c r="N291" s="198">
        <f t="shared" si="35"/>
        <v>0</v>
      </c>
      <c r="O291" s="197">
        <f t="shared" si="35"/>
        <v>1123</v>
      </c>
      <c r="P291" s="198">
        <f t="shared" si="35"/>
        <v>3706023.9599999976</v>
      </c>
      <c r="Q291" s="200">
        <f t="shared" si="35"/>
        <v>901</v>
      </c>
      <c r="R291" s="198">
        <f t="shared" si="35"/>
        <v>3049391.1299999994</v>
      </c>
      <c r="S291" s="198">
        <f t="shared" si="35"/>
        <v>3049391.1299999994</v>
      </c>
      <c r="T291" s="198">
        <f t="shared" si="35"/>
        <v>0</v>
      </c>
      <c r="U291" s="198">
        <f t="shared" si="35"/>
        <v>3733664.5299999993</v>
      </c>
      <c r="V291" s="198">
        <f t="shared" si="35"/>
        <v>1009093.3399999981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</sheetData>
  <mergeCells count="681">
    <mergeCell ref="B206:B207"/>
    <mergeCell ref="C206:C207"/>
    <mergeCell ref="A208:A209"/>
    <mergeCell ref="B208:B209"/>
    <mergeCell ref="C208:C209"/>
    <mergeCell ref="D208:D209"/>
    <mergeCell ref="E208:E209"/>
    <mergeCell ref="D224:D225"/>
    <mergeCell ref="E224:E225"/>
    <mergeCell ref="B224:B225"/>
    <mergeCell ref="C224:C225"/>
    <mergeCell ref="C189:C190"/>
    <mergeCell ref="D189:D190"/>
    <mergeCell ref="E189:E190"/>
    <mergeCell ref="A191:A192"/>
    <mergeCell ref="A195:A196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A204:A205"/>
    <mergeCell ref="B204:B205"/>
    <mergeCell ref="C204:C205"/>
    <mergeCell ref="D204:D205"/>
    <mergeCell ref="E204:E205"/>
    <mergeCell ref="A206:A207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202:A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G286:N286"/>
    <mergeCell ref="O286:T286"/>
    <mergeCell ref="U286:U287"/>
    <mergeCell ref="V286:V287"/>
    <mergeCell ref="D173:D174"/>
    <mergeCell ref="E173:E174"/>
    <mergeCell ref="D175:D176"/>
    <mergeCell ref="E175:E176"/>
    <mergeCell ref="D177:D178"/>
    <mergeCell ref="E177:E178"/>
    <mergeCell ref="D206:D207"/>
    <mergeCell ref="E206:E207"/>
    <mergeCell ref="D226:D227"/>
    <mergeCell ref="E226:E227"/>
    <mergeCell ref="D228:D229"/>
    <mergeCell ref="E228:E229"/>
    <mergeCell ref="B272:B273"/>
    <mergeCell ref="C272:C273"/>
    <mergeCell ref="B276:B277"/>
    <mergeCell ref="C276:C277"/>
    <mergeCell ref="A278:A279"/>
    <mergeCell ref="B278:B279"/>
    <mergeCell ref="C278:C279"/>
    <mergeCell ref="A280:A281"/>
    <mergeCell ref="B280:B281"/>
    <mergeCell ref="C280:C281"/>
    <mergeCell ref="A272:A273"/>
    <mergeCell ref="A274:A275"/>
    <mergeCell ref="B274:B275"/>
    <mergeCell ref="C274:C275"/>
    <mergeCell ref="A276:A277"/>
    <mergeCell ref="D280:D281"/>
    <mergeCell ref="E280:E281"/>
    <mergeCell ref="F286:F287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D268:D269"/>
    <mergeCell ref="E268:E269"/>
    <mergeCell ref="D270:D271"/>
    <mergeCell ref="E270:E271"/>
    <mergeCell ref="D272:D273"/>
    <mergeCell ref="E272:E273"/>
    <mergeCell ref="D276:D277"/>
    <mergeCell ref="E276:E277"/>
    <mergeCell ref="D278:D279"/>
    <mergeCell ref="E278:E279"/>
    <mergeCell ref="D274:D275"/>
    <mergeCell ref="E274:E275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A226:A227"/>
    <mergeCell ref="B226:B227"/>
    <mergeCell ref="C226:C227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3</v>
      </c>
      <c r="J9" s="62">
        <v>3</v>
      </c>
      <c r="K9" s="62">
        <v>3875.24</v>
      </c>
      <c r="L9" s="205">
        <v>2</v>
      </c>
      <c r="M9" s="26">
        <f t="shared" ref="M9:M31" si="0">N9+O9</f>
        <v>3345.04</v>
      </c>
      <c r="N9" s="30">
        <v>3345.04</v>
      </c>
      <c r="O9" s="28"/>
      <c r="P9" s="29">
        <v>14</v>
      </c>
      <c r="Q9" s="30">
        <v>40163.040000000001</v>
      </c>
      <c r="R9" s="205">
        <v>13</v>
      </c>
      <c r="S9" s="26">
        <f t="shared" ref="S9:S31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9</v>
      </c>
      <c r="I11" s="203">
        <v>9</v>
      </c>
      <c r="J11" s="203">
        <v>11</v>
      </c>
      <c r="K11" s="65">
        <v>23205.72</v>
      </c>
      <c r="L11" s="224">
        <v>7</v>
      </c>
      <c r="M11" s="50">
        <f t="shared" si="0"/>
        <v>13908.85</v>
      </c>
      <c r="N11" s="65">
        <v>13908.85</v>
      </c>
      <c r="O11" s="52"/>
      <c r="P11" s="53">
        <v>12</v>
      </c>
      <c r="Q11" s="30">
        <v>79204.2</v>
      </c>
      <c r="R11" s="205">
        <v>9</v>
      </c>
      <c r="S11" s="26">
        <f t="shared" si="1"/>
        <v>67281.350000000006</v>
      </c>
      <c r="T11" s="30">
        <v>67281.350000000006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57"/>
      <c r="J12" s="57"/>
      <c r="K12" s="43"/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11</v>
      </c>
      <c r="I13" s="62">
        <v>9</v>
      </c>
      <c r="J13" s="62">
        <v>15</v>
      </c>
      <c r="K13" s="30">
        <v>39445</v>
      </c>
      <c r="L13" s="205">
        <v>12</v>
      </c>
      <c r="M13" s="26">
        <f t="shared" si="0"/>
        <v>30978.39</v>
      </c>
      <c r="N13" s="30">
        <v>30978.39</v>
      </c>
      <c r="O13" s="299"/>
      <c r="P13" s="64">
        <v>18</v>
      </c>
      <c r="Q13" s="65">
        <v>80536.960000000006</v>
      </c>
      <c r="R13" s="224">
        <v>15</v>
      </c>
      <c r="S13" s="50">
        <f t="shared" si="1"/>
        <v>68385.73</v>
      </c>
      <c r="T13" s="65">
        <v>68385.73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3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3</v>
      </c>
      <c r="Q14" s="68">
        <v>23052</v>
      </c>
      <c r="R14" s="40"/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10"/>
      <c r="M16" s="211">
        <f t="shared" si="0"/>
        <v>0</v>
      </c>
      <c r="N16" s="211"/>
      <c r="O16" s="212"/>
      <c r="P16" s="262">
        <v>5</v>
      </c>
      <c r="Q16" s="209">
        <v>9605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6</v>
      </c>
      <c r="I17" s="25"/>
      <c r="J17" s="25"/>
      <c r="K17" s="26"/>
      <c r="L17" s="27"/>
      <c r="M17" s="26">
        <f t="shared" si="0"/>
        <v>0</v>
      </c>
      <c r="N17" s="26"/>
      <c r="O17" s="264"/>
      <c r="P17" s="53">
        <v>10</v>
      </c>
      <c r="Q17" s="30">
        <v>23125.88</v>
      </c>
      <c r="R17" s="205">
        <v>10</v>
      </c>
      <c r="S17" s="26">
        <f t="shared" si="1"/>
        <v>23125.88</v>
      </c>
      <c r="T17" s="30">
        <v>23125.88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7</v>
      </c>
      <c r="I19" s="266">
        <v>3</v>
      </c>
      <c r="J19" s="266">
        <v>5</v>
      </c>
      <c r="K19" s="79">
        <v>6021.85</v>
      </c>
      <c r="L19" s="268">
        <v>3</v>
      </c>
      <c r="M19" s="81">
        <f t="shared" si="0"/>
        <v>3431.39</v>
      </c>
      <c r="N19" s="79">
        <v>3431.39</v>
      </c>
      <c r="O19" s="269"/>
      <c r="P19" s="267">
        <v>10</v>
      </c>
      <c r="Q19" s="79">
        <v>22605.93</v>
      </c>
      <c r="R19" s="268">
        <v>10</v>
      </c>
      <c r="S19" s="81">
        <f t="shared" si="1"/>
        <v>22605.93</v>
      </c>
      <c r="T19" s="79">
        <v>22605.93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40"/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7</v>
      </c>
      <c r="J21" s="203">
        <v>12</v>
      </c>
      <c r="K21" s="65">
        <v>17911.150000000001</v>
      </c>
      <c r="L21" s="224">
        <v>10</v>
      </c>
      <c r="M21" s="50">
        <f t="shared" si="0"/>
        <v>16224.89</v>
      </c>
      <c r="N21" s="65">
        <v>16224.89</v>
      </c>
      <c r="O21" s="225"/>
      <c r="P21" s="53">
        <v>14</v>
      </c>
      <c r="Q21" s="30">
        <v>22822.54</v>
      </c>
      <c r="R21" s="205">
        <v>14</v>
      </c>
      <c r="S21" s="26">
        <f t="shared" si="1"/>
        <v>22822.54</v>
      </c>
      <c r="T21" s="30">
        <v>22822.54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4454.6099999999997</v>
      </c>
      <c r="L23" s="205">
        <v>4</v>
      </c>
      <c r="M23" s="26">
        <f t="shared" si="0"/>
        <v>3686.21</v>
      </c>
      <c r="N23" s="30">
        <v>3686.21</v>
      </c>
      <c r="O23" s="225"/>
      <c r="P23" s="53">
        <v>7</v>
      </c>
      <c r="Q23" s="30">
        <v>8851.43</v>
      </c>
      <c r="R23" s="205">
        <v>3</v>
      </c>
      <c r="S23" s="26">
        <f t="shared" si="1"/>
        <v>4222.78</v>
      </c>
      <c r="T23" s="30">
        <v>4222.78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15</v>
      </c>
      <c r="K25" s="65">
        <v>26674.51</v>
      </c>
      <c r="L25" s="224">
        <v>14</v>
      </c>
      <c r="M25" s="50">
        <f t="shared" si="0"/>
        <v>24819.63</v>
      </c>
      <c r="N25" s="65">
        <v>24819.63</v>
      </c>
      <c r="O25" s="225"/>
      <c r="P25" s="53">
        <v>13</v>
      </c>
      <c r="Q25" s="30">
        <v>20738.62</v>
      </c>
      <c r="R25" s="205">
        <v>12</v>
      </c>
      <c r="S25" s="26">
        <f t="shared" si="1"/>
        <v>19364.259999999998</v>
      </c>
      <c r="T25" s="30">
        <v>19364.259999999998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16"/>
      <c r="I26" s="57"/>
      <c r="J26" s="57"/>
      <c r="K26" s="43"/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4</v>
      </c>
      <c r="S26" s="39">
        <f t="shared" si="1"/>
        <v>14036.900000000001</v>
      </c>
      <c r="T26" s="68">
        <f>4302+3533.6+960.5+5240.8</f>
        <v>14036.900000000001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4</v>
      </c>
      <c r="Q28" s="114">
        <v>10949.7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7</v>
      </c>
      <c r="I31" s="203">
        <v>2</v>
      </c>
      <c r="J31" s="203">
        <v>2</v>
      </c>
      <c r="K31" s="65">
        <v>2091.96</v>
      </c>
      <c r="L31" s="224">
        <v>2</v>
      </c>
      <c r="M31" s="50">
        <f t="shared" si="0"/>
        <v>2091.96</v>
      </c>
      <c r="N31" s="65">
        <v>2091.96</v>
      </c>
      <c r="O31" s="225"/>
      <c r="P31" s="108">
        <v>9</v>
      </c>
      <c r="Q31" s="65">
        <v>26163.18</v>
      </c>
      <c r="R31" s="224">
        <v>9</v>
      </c>
      <c r="S31" s="50">
        <f t="shared" si="1"/>
        <v>26163.18</v>
      </c>
      <c r="T31" s="65">
        <v>26163.18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4</v>
      </c>
      <c r="M32" s="114">
        <v>11526</v>
      </c>
      <c r="N32" s="114">
        <v>11526</v>
      </c>
      <c r="O32" s="222"/>
      <c r="P32" s="113">
        <v>5</v>
      </c>
      <c r="Q32" s="114">
        <v>13543.05</v>
      </c>
      <c r="R32" s="270">
        <v>5</v>
      </c>
      <c r="S32" s="114">
        <v>13543.05</v>
      </c>
      <c r="T32" s="114">
        <v>13543.05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4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5</v>
      </c>
      <c r="J35" s="203">
        <v>5</v>
      </c>
      <c r="K35" s="65">
        <v>5443.67</v>
      </c>
      <c r="L35" s="224">
        <v>2</v>
      </c>
      <c r="M35" s="50">
        <f t="shared" si="2"/>
        <v>951.22</v>
      </c>
      <c r="N35" s="65">
        <v>951.22</v>
      </c>
      <c r="O35" s="31"/>
      <c r="P35" s="64">
        <v>4</v>
      </c>
      <c r="Q35" s="65">
        <v>14213.44</v>
      </c>
      <c r="R35" s="290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4</v>
      </c>
      <c r="I36" s="208">
        <v>2</v>
      </c>
      <c r="J36" s="208">
        <v>2</v>
      </c>
      <c r="K36" s="209">
        <v>1728.9</v>
      </c>
      <c r="L36" s="290">
        <v>2</v>
      </c>
      <c r="M36" s="211">
        <f t="shared" si="2"/>
        <v>1728.8999999999999</v>
      </c>
      <c r="N36" s="209">
        <f>1152.6+576.3</f>
        <v>1728.8999999999999</v>
      </c>
      <c r="O36" s="212"/>
      <c r="P36" s="304">
        <v>2</v>
      </c>
      <c r="Q36" s="209">
        <v>9182.3799999999992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1</v>
      </c>
      <c r="I41" s="62">
        <v>1</v>
      </c>
      <c r="J41" s="62">
        <v>1</v>
      </c>
      <c r="K41" s="30">
        <v>1901.79</v>
      </c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10</v>
      </c>
      <c r="I43" s="266">
        <v>9</v>
      </c>
      <c r="J43" s="266">
        <v>9</v>
      </c>
      <c r="K43" s="79">
        <v>10392.620000000001</v>
      </c>
      <c r="L43" s="268">
        <v>7</v>
      </c>
      <c r="M43" s="81">
        <f t="shared" si="2"/>
        <v>8433.7800000000007</v>
      </c>
      <c r="N43" s="79">
        <v>8433.7800000000007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9</v>
      </c>
      <c r="I45" s="62">
        <v>7</v>
      </c>
      <c r="J45" s="62">
        <v>8</v>
      </c>
      <c r="K45" s="30">
        <v>7536.2</v>
      </c>
      <c r="L45" s="205">
        <v>1</v>
      </c>
      <c r="M45" s="26">
        <f t="shared" si="2"/>
        <v>631.82000000000005</v>
      </c>
      <c r="N45" s="30">
        <v>631.82000000000005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5</v>
      </c>
      <c r="I46" s="208">
        <v>1</v>
      </c>
      <c r="J46" s="208">
        <v>1</v>
      </c>
      <c r="K46" s="209">
        <v>4728</v>
      </c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3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6</v>
      </c>
      <c r="Q53" s="65">
        <v>14570.23</v>
      </c>
      <c r="R53" s="224">
        <v>5</v>
      </c>
      <c r="S53" s="50">
        <f t="shared" si="3"/>
        <v>13537.36</v>
      </c>
      <c r="T53" s="65">
        <v>13537.36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11</v>
      </c>
      <c r="S54" s="39">
        <f t="shared" si="3"/>
        <v>23705.43</v>
      </c>
      <c r="T54" s="68">
        <f>2209.2+576.3+13639.1+1921+1921+3438.83</f>
        <v>23705.43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3</v>
      </c>
      <c r="I55" s="203">
        <v>3</v>
      </c>
      <c r="J55" s="203">
        <v>3</v>
      </c>
      <c r="K55" s="65">
        <v>3998.34</v>
      </c>
      <c r="L55" s="224">
        <v>2</v>
      </c>
      <c r="M55" s="50">
        <f t="shared" si="2"/>
        <v>2025.09</v>
      </c>
      <c r="N55" s="65">
        <v>2025.09</v>
      </c>
      <c r="O55" s="31"/>
      <c r="P55" s="53">
        <v>3</v>
      </c>
      <c r="Q55" s="30">
        <v>9783.23</v>
      </c>
      <c r="R55" s="205">
        <v>2</v>
      </c>
      <c r="S55" s="26">
        <f t="shared" si="3"/>
        <v>5899.35</v>
      </c>
      <c r="T55" s="30">
        <v>5899.35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8</v>
      </c>
      <c r="I57" s="62">
        <v>6</v>
      </c>
      <c r="J57" s="62">
        <v>7</v>
      </c>
      <c r="K57" s="30">
        <v>14217.9</v>
      </c>
      <c r="L57" s="205">
        <v>7</v>
      </c>
      <c r="M57" s="26">
        <f t="shared" si="2"/>
        <v>14217.9</v>
      </c>
      <c r="N57" s="30">
        <v>14217.9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1</v>
      </c>
      <c r="J58" s="37">
        <v>1</v>
      </c>
      <c r="K58" s="68">
        <v>1921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40"/>
      <c r="S58" s="39">
        <f t="shared" si="3"/>
        <v>0</v>
      </c>
      <c r="T58" s="39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11</v>
      </c>
      <c r="K59" s="65">
        <v>13748.69</v>
      </c>
      <c r="L59" s="224">
        <v>11</v>
      </c>
      <c r="M59" s="50">
        <f t="shared" si="2"/>
        <v>12927.23</v>
      </c>
      <c r="N59" s="65">
        <v>12927.23</v>
      </c>
      <c r="O59" s="225"/>
      <c r="P59" s="53">
        <v>34</v>
      </c>
      <c r="Q59" s="30">
        <v>80148.39</v>
      </c>
      <c r="R59" s="205">
        <v>33</v>
      </c>
      <c r="S59" s="26">
        <f t="shared" si="3"/>
        <v>80088.850000000006</v>
      </c>
      <c r="T59" s="30">
        <v>80088.850000000006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7</v>
      </c>
      <c r="I61" s="62">
        <v>3</v>
      </c>
      <c r="J61" s="62">
        <v>3</v>
      </c>
      <c r="K61" s="30">
        <v>4099.13</v>
      </c>
      <c r="L61" s="205">
        <v>2</v>
      </c>
      <c r="M61" s="26">
        <f t="shared" si="2"/>
        <v>3714.93</v>
      </c>
      <c r="N61" s="30">
        <v>3714.93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4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5</v>
      </c>
      <c r="I63" s="62">
        <v>1</v>
      </c>
      <c r="J63" s="62">
        <v>1</v>
      </c>
      <c r="K63" s="30">
        <v>2531.11</v>
      </c>
      <c r="L63" s="205">
        <v>1</v>
      </c>
      <c r="M63" s="26">
        <f t="shared" si="2"/>
        <v>2531.11</v>
      </c>
      <c r="N63" s="30">
        <v>2531.11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5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5</v>
      </c>
      <c r="I65" s="266">
        <v>3</v>
      </c>
      <c r="J65" s="266">
        <v>3</v>
      </c>
      <c r="K65" s="79">
        <v>9773.16</v>
      </c>
      <c r="L65" s="268">
        <v>1</v>
      </c>
      <c r="M65" s="81">
        <f t="shared" si="2"/>
        <v>576.29999999999995</v>
      </c>
      <c r="N65" s="79">
        <v>576.29999999999995</v>
      </c>
      <c r="O65" s="219"/>
      <c r="P65" s="267">
        <v>4</v>
      </c>
      <c r="Q65" s="79">
        <v>5093.67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4</v>
      </c>
      <c r="I66" s="130">
        <v>3</v>
      </c>
      <c r="J66" s="130">
        <v>3</v>
      </c>
      <c r="K66" s="114">
        <v>5196.28</v>
      </c>
      <c r="L66" s="128"/>
      <c r="M66" s="129">
        <f t="shared" si="2"/>
        <v>0</v>
      </c>
      <c r="N66" s="43"/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15</v>
      </c>
      <c r="S69" s="50">
        <f t="shared" si="3"/>
        <v>73353.95</v>
      </c>
      <c r="T69" s="65">
        <v>73353.95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5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44"/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6</v>
      </c>
      <c r="J71" s="62">
        <v>7</v>
      </c>
      <c r="K71" s="30">
        <v>12858.78</v>
      </c>
      <c r="L71" s="205">
        <v>4</v>
      </c>
      <c r="M71" s="26">
        <f t="shared" si="2"/>
        <v>9933.1</v>
      </c>
      <c r="N71" s="30">
        <v>9933.1</v>
      </c>
      <c r="O71" s="225"/>
      <c r="P71" s="29">
        <v>4</v>
      </c>
      <c r="Q71" s="30">
        <v>2984.28</v>
      </c>
      <c r="R71" s="205">
        <v>4</v>
      </c>
      <c r="S71" s="26">
        <f t="shared" si="3"/>
        <v>2984.28</v>
      </c>
      <c r="T71" s="30">
        <v>2984.28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4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6</v>
      </c>
      <c r="I75" s="62">
        <v>4</v>
      </c>
      <c r="J75" s="62">
        <v>7</v>
      </c>
      <c r="K75" s="30">
        <v>15633.77</v>
      </c>
      <c r="L75" s="205">
        <v>3</v>
      </c>
      <c r="M75" s="26">
        <f t="shared" si="2"/>
        <v>3685.15</v>
      </c>
      <c r="N75" s="30">
        <v>3685.15</v>
      </c>
      <c r="O75" s="31"/>
      <c r="P75" s="53">
        <v>2</v>
      </c>
      <c r="Q75" s="30">
        <v>4041.4</v>
      </c>
      <c r="R75" s="27"/>
      <c r="S75" s="26">
        <f t="shared" si="3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5</v>
      </c>
      <c r="J77" s="203">
        <v>6</v>
      </c>
      <c r="K77" s="114">
        <v>8554.2099999999991</v>
      </c>
      <c r="L77" s="224">
        <v>6</v>
      </c>
      <c r="M77" s="50">
        <f t="shared" ref="M77:M93" si="4">N77+O77</f>
        <v>8554.2099999999991</v>
      </c>
      <c r="N77" s="65">
        <v>8554.2099999999991</v>
      </c>
      <c r="O77" s="225"/>
      <c r="P77" s="108">
        <v>9</v>
      </c>
      <c r="Q77" s="65">
        <v>35662.49</v>
      </c>
      <c r="R77" s="224">
        <v>9</v>
      </c>
      <c r="S77" s="50">
        <f t="shared" si="3"/>
        <v>35662.49</v>
      </c>
      <c r="T77" s="65">
        <v>35662.49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29</v>
      </c>
      <c r="I79" s="62">
        <v>19</v>
      </c>
      <c r="J79" s="62">
        <v>29</v>
      </c>
      <c r="K79" s="30">
        <v>57740.59</v>
      </c>
      <c r="L79" s="205">
        <v>29</v>
      </c>
      <c r="M79" s="26">
        <f t="shared" si="4"/>
        <v>57740.59</v>
      </c>
      <c r="N79" s="30">
        <v>57740.59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6</v>
      </c>
      <c r="I81" s="62">
        <v>3</v>
      </c>
      <c r="J81" s="62">
        <v>3</v>
      </c>
      <c r="K81" s="30">
        <v>10434.23</v>
      </c>
      <c r="L81" s="205">
        <v>2</v>
      </c>
      <c r="M81" s="26">
        <f t="shared" si="4"/>
        <v>768.4</v>
      </c>
      <c r="N81" s="30">
        <v>768.4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/>
      <c r="J82" s="208"/>
      <c r="K82" s="209"/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13</v>
      </c>
      <c r="K85" s="79">
        <v>22197.56</v>
      </c>
      <c r="L85" s="268">
        <v>4</v>
      </c>
      <c r="M85" s="81">
        <f t="shared" si="4"/>
        <v>5917.36</v>
      </c>
      <c r="N85" s="79">
        <v>5917.36</v>
      </c>
      <c r="O85" s="269"/>
      <c r="P85" s="267">
        <v>10</v>
      </c>
      <c r="Q85" s="79">
        <v>23116.35</v>
      </c>
      <c r="R85" s="268">
        <v>8</v>
      </c>
      <c r="S85" s="81">
        <f t="shared" si="3"/>
        <v>13202.66</v>
      </c>
      <c r="T85" s="79">
        <v>13202.66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1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151">
        <v>1</v>
      </c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8</v>
      </c>
      <c r="S91" s="26">
        <f t="shared" si="3"/>
        <v>23413.73</v>
      </c>
      <c r="T91" s="30">
        <v>23413.73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8</v>
      </c>
      <c r="J93" s="62">
        <v>9</v>
      </c>
      <c r="K93" s="30">
        <v>16530.419999999998</v>
      </c>
      <c r="L93" s="205">
        <v>9</v>
      </c>
      <c r="M93" s="26">
        <f t="shared" si="4"/>
        <v>16530.419999999998</v>
      </c>
      <c r="N93" s="30">
        <v>16530.419999999998</v>
      </c>
      <c r="O93" s="31"/>
      <c r="P93" s="53">
        <v>8</v>
      </c>
      <c r="Q93" s="30">
        <v>31399.9</v>
      </c>
      <c r="R93" s="205">
        <v>8</v>
      </c>
      <c r="S93" s="26">
        <f t="shared" si="3"/>
        <v>31399.9</v>
      </c>
      <c r="T93" s="30">
        <v>31399.9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6</v>
      </c>
      <c r="I94" s="37">
        <v>3</v>
      </c>
      <c r="J94" s="37">
        <v>3</v>
      </c>
      <c r="K94" s="68">
        <v>3380.96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4</v>
      </c>
      <c r="I95" s="203">
        <v>2</v>
      </c>
      <c r="J95" s="203">
        <v>2</v>
      </c>
      <c r="K95" s="65">
        <v>2731.66</v>
      </c>
      <c r="L95" s="224">
        <v>1</v>
      </c>
      <c r="M95" s="50">
        <f t="shared" ref="M95:M118" si="5">N95+O95</f>
        <v>697.32</v>
      </c>
      <c r="N95" s="65">
        <v>697.32</v>
      </c>
      <c r="O95" s="31"/>
      <c r="P95" s="108">
        <v>8</v>
      </c>
      <c r="Q95" s="65">
        <v>93924.24</v>
      </c>
      <c r="R95" s="224">
        <v>7</v>
      </c>
      <c r="S95" s="50">
        <f t="shared" ref="S95:S101" si="6">T95+U95</f>
        <v>55584.74</v>
      </c>
      <c r="T95" s="65">
        <v>55584.74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57"/>
      <c r="J96" s="57"/>
      <c r="K96" s="43"/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2</v>
      </c>
      <c r="J97" s="62">
        <v>2</v>
      </c>
      <c r="K97" s="30">
        <v>6064.6</v>
      </c>
      <c r="L97" s="205">
        <v>1</v>
      </c>
      <c r="M97" s="26">
        <f t="shared" si="5"/>
        <v>4374.12</v>
      </c>
      <c r="N97" s="30">
        <v>4374.12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1</v>
      </c>
      <c r="I98" s="130">
        <v>1</v>
      </c>
      <c r="J98" s="130">
        <v>1</v>
      </c>
      <c r="K98" s="114">
        <v>552.29999999999995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2</v>
      </c>
      <c r="J99" s="62">
        <v>3</v>
      </c>
      <c r="K99" s="30">
        <v>4738.63</v>
      </c>
      <c r="L99" s="205">
        <v>3</v>
      </c>
      <c r="M99" s="26">
        <f t="shared" si="5"/>
        <v>4738.63</v>
      </c>
      <c r="N99" s="30">
        <v>4738.63</v>
      </c>
      <c r="O99" s="225"/>
      <c r="P99" s="53">
        <v>3</v>
      </c>
      <c r="Q99" s="30">
        <v>15479.57</v>
      </c>
      <c r="R99" s="205">
        <v>3</v>
      </c>
      <c r="S99" s="26">
        <f t="shared" si="6"/>
        <v>15479.57</v>
      </c>
      <c r="T99" s="30">
        <v>15479.57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5</v>
      </c>
      <c r="I101" s="62">
        <v>4</v>
      </c>
      <c r="J101" s="62">
        <v>4</v>
      </c>
      <c r="K101" s="30">
        <v>10036.370000000001</v>
      </c>
      <c r="L101" s="205">
        <v>2</v>
      </c>
      <c r="M101" s="26">
        <f t="shared" si="5"/>
        <v>6578.57</v>
      </c>
      <c r="N101" s="30">
        <v>6578.57</v>
      </c>
      <c r="O101" s="31"/>
      <c r="P101" s="53">
        <v>20</v>
      </c>
      <c r="Q101" s="30">
        <v>47266.68</v>
      </c>
      <c r="R101" s="205">
        <v>20</v>
      </c>
      <c r="S101" s="26">
        <f t="shared" si="6"/>
        <v>47266.68</v>
      </c>
      <c r="T101" s="30">
        <v>47266.68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4</v>
      </c>
      <c r="J102" s="130">
        <v>4</v>
      </c>
      <c r="K102" s="114">
        <v>4994.6000000000004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7</v>
      </c>
      <c r="Q102" s="114">
        <v>19417.740000000002</v>
      </c>
      <c r="R102" s="270">
        <v>7</v>
      </c>
      <c r="S102" s="114">
        <v>19417.740000000002</v>
      </c>
      <c r="T102" s="114">
        <v>19417.740000000002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5</v>
      </c>
      <c r="I103" s="62">
        <v>5</v>
      </c>
      <c r="J103" s="62">
        <v>5</v>
      </c>
      <c r="K103" s="30">
        <v>3208.34</v>
      </c>
      <c r="L103" s="205">
        <v>3</v>
      </c>
      <c r="M103" s="26">
        <f t="shared" si="5"/>
        <v>1118.98</v>
      </c>
      <c r="N103" s="30">
        <v>1118.98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7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5</v>
      </c>
      <c r="I104" s="208">
        <v>3</v>
      </c>
      <c r="J104" s="208">
        <v>3</v>
      </c>
      <c r="K104" s="209">
        <v>4610.3999999999996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44"/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9</v>
      </c>
      <c r="I105" s="62">
        <v>6</v>
      </c>
      <c r="J105" s="62">
        <v>8</v>
      </c>
      <c r="K105" s="30">
        <v>17793.09</v>
      </c>
      <c r="L105" s="205">
        <v>7</v>
      </c>
      <c r="M105" s="26">
        <f t="shared" si="5"/>
        <v>10146.31</v>
      </c>
      <c r="N105" s="30">
        <v>10146.31</v>
      </c>
      <c r="O105" s="241"/>
      <c r="P105" s="214">
        <v>12</v>
      </c>
      <c r="Q105" s="30">
        <v>50650.69</v>
      </c>
      <c r="R105" s="205">
        <v>11</v>
      </c>
      <c r="S105" s="26">
        <f t="shared" si="7"/>
        <v>49430.98</v>
      </c>
      <c r="T105" s="30">
        <v>49430.98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5</v>
      </c>
      <c r="I106" s="286">
        <v>3</v>
      </c>
      <c r="J106" s="286">
        <v>3</v>
      </c>
      <c r="K106" s="287">
        <v>6915.6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40"/>
      <c r="S106" s="39">
        <f t="shared" si="7"/>
        <v>4514.3500000000004</v>
      </c>
      <c r="T106" s="68">
        <f>1056.55+3457.8</f>
        <v>4514.3500000000004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5</v>
      </c>
      <c r="Q107" s="65">
        <v>33607.81</v>
      </c>
      <c r="R107" s="224">
        <v>1</v>
      </c>
      <c r="S107" s="50">
        <f t="shared" si="7"/>
        <v>7049.72</v>
      </c>
      <c r="T107" s="65">
        <v>7049.72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285">
        <v>1</v>
      </c>
      <c r="M108" s="39">
        <f t="shared" si="5"/>
        <v>864.15</v>
      </c>
      <c r="N108" s="39">
        <f>864.15</f>
        <v>864.15</v>
      </c>
      <c r="O108" s="41"/>
      <c r="P108" s="115">
        <v>1</v>
      </c>
      <c r="Q108" s="68">
        <v>1152.5999999999999</v>
      </c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5</v>
      </c>
      <c r="M109" s="50">
        <f t="shared" si="5"/>
        <v>8143.62</v>
      </c>
      <c r="N109" s="65">
        <v>8143.62</v>
      </c>
      <c r="O109" s="225"/>
      <c r="P109" s="108">
        <v>9</v>
      </c>
      <c r="Q109" s="65">
        <v>19656.830000000002</v>
      </c>
      <c r="R109" s="224">
        <v>9</v>
      </c>
      <c r="S109" s="50">
        <f t="shared" si="7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4</v>
      </c>
      <c r="M110" s="50">
        <f t="shared" si="5"/>
        <v>4428.0999999999995</v>
      </c>
      <c r="N110" s="43">
        <f>1290.6+1152.6+1290.6+694.3</f>
        <v>4428.0999999999995</v>
      </c>
      <c r="O110" s="41"/>
      <c r="P110" s="113">
        <v>2</v>
      </c>
      <c r="Q110" s="114">
        <v>8007.8</v>
      </c>
      <c r="R110" s="270">
        <v>3</v>
      </c>
      <c r="S110" s="43">
        <f t="shared" si="7"/>
        <v>12810.6</v>
      </c>
      <c r="T110" s="114">
        <f>4358.2+3649.9+4802.5</f>
        <v>12810.6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2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5"/>
        <v>3538.71</v>
      </c>
      <c r="N111" s="30">
        <v>3538.71</v>
      </c>
      <c r="O111" s="225"/>
      <c r="P111" s="53">
        <v>5</v>
      </c>
      <c r="Q111" s="30">
        <v>7208.15</v>
      </c>
      <c r="R111" s="205">
        <v>5</v>
      </c>
      <c r="S111" s="26">
        <f t="shared" si="7"/>
        <v>7208.15</v>
      </c>
      <c r="T111" s="30">
        <v>7208.15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285">
        <v>2</v>
      </c>
      <c r="M112" s="39">
        <f t="shared" si="5"/>
        <v>4934.5</v>
      </c>
      <c r="N112" s="39">
        <f>1580.8+3353.7</f>
        <v>4934.5</v>
      </c>
      <c r="O112" s="41"/>
      <c r="P112" s="115">
        <v>2</v>
      </c>
      <c r="Q112" s="68">
        <v>3490.8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13</v>
      </c>
      <c r="I113" s="203">
        <v>7</v>
      </c>
      <c r="J113" s="203">
        <v>7</v>
      </c>
      <c r="K113" s="65">
        <v>16886.599999999999</v>
      </c>
      <c r="L113" s="224">
        <v>5</v>
      </c>
      <c r="M113" s="50">
        <f t="shared" si="5"/>
        <v>10662.56</v>
      </c>
      <c r="N113" s="65">
        <v>10662.56</v>
      </c>
      <c r="O113" s="225"/>
      <c r="P113" s="108">
        <v>18</v>
      </c>
      <c r="Q113" s="65">
        <v>49334.39</v>
      </c>
      <c r="R113" s="224">
        <v>11</v>
      </c>
      <c r="S113" s="50">
        <f t="shared" si="7"/>
        <v>36822.959999999999</v>
      </c>
      <c r="T113" s="65">
        <v>36822.959999999999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5</v>
      </c>
      <c r="I115" s="62">
        <v>5</v>
      </c>
      <c r="J115" s="62">
        <v>5</v>
      </c>
      <c r="K115" s="30">
        <v>4306.6099999999997</v>
      </c>
      <c r="L115" s="205">
        <v>3</v>
      </c>
      <c r="M115" s="26">
        <f t="shared" si="5"/>
        <v>3154.01</v>
      </c>
      <c r="N115" s="30">
        <v>3154.01</v>
      </c>
      <c r="O115" s="31"/>
      <c r="P115" s="53">
        <v>9</v>
      </c>
      <c r="Q115" s="30">
        <v>63620.18</v>
      </c>
      <c r="R115" s="205">
        <v>8</v>
      </c>
      <c r="S115" s="26">
        <f t="shared" si="7"/>
        <v>61606.400000000001</v>
      </c>
      <c r="T115" s="30">
        <v>61606.400000000001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4</v>
      </c>
      <c r="I116" s="57"/>
      <c r="J116" s="57"/>
      <c r="K116" s="43"/>
      <c r="L116" s="44"/>
      <c r="M116" s="43">
        <f t="shared" si="5"/>
        <v>0</v>
      </c>
      <c r="N116" s="43"/>
      <c r="O116" s="41"/>
      <c r="P116" s="113">
        <v>2</v>
      </c>
      <c r="Q116" s="114">
        <v>2881.5</v>
      </c>
      <c r="R116" s="270">
        <v>2</v>
      </c>
      <c r="S116" s="43">
        <f t="shared" si="7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10</v>
      </c>
      <c r="I117" s="62">
        <v>9</v>
      </c>
      <c r="J117" s="62">
        <v>9</v>
      </c>
      <c r="K117" s="30">
        <v>8773.83</v>
      </c>
      <c r="L117" s="205">
        <v>3</v>
      </c>
      <c r="M117" s="26">
        <f t="shared" si="5"/>
        <v>2714.37</v>
      </c>
      <c r="N117" s="30">
        <v>2714.37</v>
      </c>
      <c r="O117" s="31"/>
      <c r="P117" s="53">
        <v>7</v>
      </c>
      <c r="Q117" s="30">
        <v>28154.06</v>
      </c>
      <c r="R117" s="205">
        <v>7</v>
      </c>
      <c r="S117" s="26">
        <f t="shared" si="7"/>
        <v>28154.06</v>
      </c>
      <c r="T117" s="30">
        <v>28154.06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285">
        <v>1</v>
      </c>
      <c r="M119" s="68">
        <v>2881.5</v>
      </c>
      <c r="N119" s="68">
        <v>2881.5</v>
      </c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4356.83</v>
      </c>
      <c r="L120" s="224">
        <v>1</v>
      </c>
      <c r="M120" s="50">
        <f t="shared" ref="M120:M149" si="8">N120+O120</f>
        <v>1267.8599999999999</v>
      </c>
      <c r="N120" s="65">
        <v>1267.8599999999999</v>
      </c>
      <c r="O120" s="31"/>
      <c r="P120" s="108">
        <v>4</v>
      </c>
      <c r="Q120" s="65">
        <v>10383.700000000001</v>
      </c>
      <c r="R120" s="224">
        <v>3</v>
      </c>
      <c r="S120" s="50">
        <f t="shared" si="7"/>
        <v>9678.9</v>
      </c>
      <c r="T120" s="65">
        <v>9678.9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8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6</v>
      </c>
      <c r="I122" s="62">
        <v>3</v>
      </c>
      <c r="J122" s="62">
        <v>4</v>
      </c>
      <c r="K122" s="30">
        <v>4102.0200000000004</v>
      </c>
      <c r="L122" s="205">
        <v>2</v>
      </c>
      <c r="M122" s="26">
        <f t="shared" si="8"/>
        <v>1719.3</v>
      </c>
      <c r="N122" s="30">
        <v>1719.3</v>
      </c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8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12</v>
      </c>
      <c r="I124" s="62">
        <v>10</v>
      </c>
      <c r="J124" s="62">
        <v>16</v>
      </c>
      <c r="K124" s="30">
        <v>34743.61</v>
      </c>
      <c r="L124" s="205">
        <v>9</v>
      </c>
      <c r="M124" s="26">
        <f t="shared" si="8"/>
        <v>11503.24</v>
      </c>
      <c r="N124" s="30">
        <v>11503.24</v>
      </c>
      <c r="O124" s="225"/>
      <c r="P124" s="53">
        <v>10</v>
      </c>
      <c r="Q124" s="30">
        <v>25611.57</v>
      </c>
      <c r="R124" s="205">
        <v>9</v>
      </c>
      <c r="S124" s="26">
        <f t="shared" si="7"/>
        <v>22270.76</v>
      </c>
      <c r="T124" s="30">
        <v>22270.76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3</v>
      </c>
      <c r="I125" s="130">
        <v>2</v>
      </c>
      <c r="J125" s="130">
        <v>2</v>
      </c>
      <c r="K125" s="114">
        <v>2497.3000000000002</v>
      </c>
      <c r="L125" s="44"/>
      <c r="M125" s="43">
        <f t="shared" si="8"/>
        <v>1152.5999999999999</v>
      </c>
      <c r="N125" s="43">
        <f>1152.6</f>
        <v>1152.5999999999999</v>
      </c>
      <c r="O125" s="45"/>
      <c r="P125" s="113">
        <v>2</v>
      </c>
      <c r="Q125" s="114">
        <v>5186.7</v>
      </c>
      <c r="R125" s="44"/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8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8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6</v>
      </c>
      <c r="I128" s="62">
        <v>3</v>
      </c>
      <c r="J128" s="62">
        <v>4</v>
      </c>
      <c r="K128" s="30">
        <v>5120.59</v>
      </c>
      <c r="L128" s="205">
        <v>3</v>
      </c>
      <c r="M128" s="26">
        <f t="shared" si="8"/>
        <v>3189.98</v>
      </c>
      <c r="N128" s="30">
        <v>3189.98</v>
      </c>
      <c r="O128" s="243"/>
      <c r="P128" s="64">
        <v>4</v>
      </c>
      <c r="Q128" s="65">
        <v>11112.76</v>
      </c>
      <c r="R128" s="224">
        <v>2</v>
      </c>
      <c r="S128" s="50">
        <f t="shared" si="7"/>
        <v>3540.18</v>
      </c>
      <c r="T128" s="65">
        <v>3540.18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8"/>
        <v>0</v>
      </c>
      <c r="N129" s="39"/>
      <c r="O129" s="41"/>
      <c r="P129" s="67">
        <v>1</v>
      </c>
      <c r="Q129" s="68">
        <v>2305.1999999999998</v>
      </c>
      <c r="R129" s="40"/>
      <c r="S129" s="39">
        <f t="shared" si="7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13</v>
      </c>
      <c r="I130" s="203">
        <v>8</v>
      </c>
      <c r="J130" s="203">
        <v>9</v>
      </c>
      <c r="K130" s="65">
        <v>19906.349999999999</v>
      </c>
      <c r="L130" s="224">
        <v>5</v>
      </c>
      <c r="M130" s="50">
        <f t="shared" si="8"/>
        <v>13711.53</v>
      </c>
      <c r="N130" s="65">
        <v>13711.53</v>
      </c>
      <c r="O130" s="225"/>
      <c r="P130" s="108">
        <v>25</v>
      </c>
      <c r="Q130" s="65">
        <v>93722.79</v>
      </c>
      <c r="R130" s="224">
        <v>18</v>
      </c>
      <c r="S130" s="50">
        <f t="shared" si="7"/>
        <v>59334.53</v>
      </c>
      <c r="T130" s="65">
        <v>59334.53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8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10</v>
      </c>
      <c r="I132" s="62">
        <v>3</v>
      </c>
      <c r="J132" s="62">
        <v>3</v>
      </c>
      <c r="K132" s="30">
        <v>3991.26</v>
      </c>
      <c r="L132" s="27"/>
      <c r="M132" s="26">
        <f t="shared" si="8"/>
        <v>0</v>
      </c>
      <c r="N132" s="26"/>
      <c r="O132" s="31"/>
      <c r="P132" s="53">
        <v>13</v>
      </c>
      <c r="Q132" s="30">
        <v>46879.51</v>
      </c>
      <c r="R132" s="205">
        <v>12</v>
      </c>
      <c r="S132" s="26">
        <f t="shared" si="7"/>
        <v>46294.31</v>
      </c>
      <c r="T132" s="30">
        <v>46294.31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8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12</v>
      </c>
      <c r="I134" s="62">
        <v>6</v>
      </c>
      <c r="J134" s="62">
        <v>6</v>
      </c>
      <c r="K134" s="30">
        <v>10057.43</v>
      </c>
      <c r="L134" s="205">
        <v>3</v>
      </c>
      <c r="M134" s="26">
        <f t="shared" si="8"/>
        <v>2221.61</v>
      </c>
      <c r="N134" s="30">
        <v>2221.61</v>
      </c>
      <c r="O134" s="31"/>
      <c r="P134" s="53">
        <v>24</v>
      </c>
      <c r="Q134" s="30">
        <v>39369.230000000003</v>
      </c>
      <c r="R134" s="205">
        <v>24</v>
      </c>
      <c r="S134" s="26">
        <f t="shared" si="7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4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8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8"/>
        <v>0</v>
      </c>
      <c r="N136" s="26"/>
      <c r="O136" s="28"/>
      <c r="P136" s="214"/>
      <c r="Q136" s="30"/>
      <c r="R136" s="205"/>
      <c r="S136" s="26">
        <f t="shared" ref="S136:S149" si="9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3</v>
      </c>
      <c r="I137" s="37"/>
      <c r="J137" s="37"/>
      <c r="K137" s="68"/>
      <c r="L137" s="40"/>
      <c r="M137" s="39">
        <f t="shared" si="8"/>
        <v>0</v>
      </c>
      <c r="N137" s="39"/>
      <c r="O137" s="41"/>
      <c r="P137" s="217"/>
      <c r="Q137" s="68"/>
      <c r="R137" s="285"/>
      <c r="S137" s="39">
        <f t="shared" si="9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16</v>
      </c>
      <c r="I138" s="266">
        <v>16</v>
      </c>
      <c r="J138" s="266">
        <v>21</v>
      </c>
      <c r="K138" s="79">
        <v>34303.89</v>
      </c>
      <c r="L138" s="268">
        <v>15</v>
      </c>
      <c r="M138" s="81">
        <f t="shared" si="8"/>
        <v>21503.97</v>
      </c>
      <c r="N138" s="79">
        <v>21503.97</v>
      </c>
      <c r="O138" s="269"/>
      <c r="P138" s="267">
        <v>16</v>
      </c>
      <c r="Q138" s="79">
        <v>76490.14</v>
      </c>
      <c r="R138" s="268">
        <v>15</v>
      </c>
      <c r="S138" s="81">
        <f t="shared" si="9"/>
        <v>74080.17</v>
      </c>
      <c r="T138" s="79">
        <v>74080.17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8"/>
        <v>0</v>
      </c>
      <c r="N139" s="39"/>
      <c r="O139" s="41"/>
      <c r="P139" s="59"/>
      <c r="Q139" s="39"/>
      <c r="R139" s="40"/>
      <c r="S139" s="39">
        <f t="shared" si="9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12</v>
      </c>
      <c r="I140" s="203">
        <v>6</v>
      </c>
      <c r="J140" s="203">
        <v>8</v>
      </c>
      <c r="K140" s="65">
        <v>17205.05</v>
      </c>
      <c r="L140" s="224">
        <v>6</v>
      </c>
      <c r="M140" s="50">
        <f t="shared" si="8"/>
        <v>11288.37</v>
      </c>
      <c r="N140" s="65">
        <v>11288.37</v>
      </c>
      <c r="O140" s="225"/>
      <c r="P140" s="108">
        <v>47</v>
      </c>
      <c r="Q140" s="65">
        <v>286610</v>
      </c>
      <c r="R140" s="224">
        <v>43</v>
      </c>
      <c r="S140" s="50">
        <f t="shared" si="9"/>
        <v>253338.63</v>
      </c>
      <c r="T140" s="65">
        <v>253338.63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8"/>
        <v>0</v>
      </c>
      <c r="N141" s="129"/>
      <c r="O141" s="45"/>
      <c r="P141" s="156"/>
      <c r="Q141" s="129"/>
      <c r="R141" s="128"/>
      <c r="S141" s="129">
        <f t="shared" si="9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8"/>
        <v>0</v>
      </c>
      <c r="N142" s="43"/>
      <c r="O142" s="41"/>
      <c r="P142" s="113">
        <v>2</v>
      </c>
      <c r="Q142" s="114">
        <v>6912.6</v>
      </c>
      <c r="R142" s="270">
        <v>2</v>
      </c>
      <c r="S142" s="43">
        <f t="shared" si="9"/>
        <v>6531.4</v>
      </c>
      <c r="T142" s="114">
        <f>2305.2+4226.2</f>
        <v>6531.4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8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9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6</v>
      </c>
      <c r="I144" s="37">
        <v>2</v>
      </c>
      <c r="J144" s="37">
        <v>2</v>
      </c>
      <c r="K144" s="68">
        <v>2305.1999999999998</v>
      </c>
      <c r="L144" s="40"/>
      <c r="M144" s="39">
        <f t="shared" si="8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40"/>
      <c r="S144" s="39">
        <f t="shared" si="9"/>
        <v>1056.55</v>
      </c>
      <c r="T144" s="39">
        <f>1056.55</f>
        <v>1056.55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7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8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9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40"/>
      <c r="M146" s="39">
        <f t="shared" si="8"/>
        <v>1578.8</v>
      </c>
      <c r="N146" s="39">
        <f>1578.8</f>
        <v>1578.8</v>
      </c>
      <c r="O146" s="41"/>
      <c r="P146" s="115">
        <v>2</v>
      </c>
      <c r="Q146" s="68">
        <v>15088</v>
      </c>
      <c r="R146" s="40"/>
      <c r="S146" s="39">
        <f t="shared" si="9"/>
        <v>4034.1</v>
      </c>
      <c r="T146" s="39">
        <f>4034.1</f>
        <v>4034.1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8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9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8"/>
        <v>0</v>
      </c>
      <c r="N148" s="43"/>
      <c r="O148" s="41"/>
      <c r="P148" s="103"/>
      <c r="Q148" s="43"/>
      <c r="R148" s="44"/>
      <c r="S148" s="43">
        <f t="shared" si="9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3</v>
      </c>
      <c r="I149" s="62">
        <v>2</v>
      </c>
      <c r="J149" s="62">
        <v>2</v>
      </c>
      <c r="K149" s="30">
        <v>2935.73</v>
      </c>
      <c r="L149" s="205">
        <v>1</v>
      </c>
      <c r="M149" s="26">
        <f t="shared" si="8"/>
        <v>1854.88</v>
      </c>
      <c r="N149" s="30">
        <v>1854.88</v>
      </c>
      <c r="O149" s="31"/>
      <c r="P149" s="53">
        <v>4</v>
      </c>
      <c r="Q149" s="30">
        <v>22885.21</v>
      </c>
      <c r="R149" s="205">
        <v>3</v>
      </c>
      <c r="S149" s="26">
        <f t="shared" si="9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3</v>
      </c>
      <c r="M150" s="114">
        <v>3073.6</v>
      </c>
      <c r="N150" s="114">
        <v>3073.6</v>
      </c>
      <c r="O150" s="234"/>
      <c r="P150" s="113">
        <v>3</v>
      </c>
      <c r="Q150" s="114">
        <v>7539.8</v>
      </c>
      <c r="R150" s="270">
        <v>2</v>
      </c>
      <c r="S150" s="114">
        <v>6195.1</v>
      </c>
      <c r="T150" s="114">
        <v>6195.1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9</v>
      </c>
      <c r="I151" s="62">
        <v>7</v>
      </c>
      <c r="J151" s="62">
        <v>8</v>
      </c>
      <c r="K151" s="30">
        <v>9587.24</v>
      </c>
      <c r="L151" s="205">
        <v>7</v>
      </c>
      <c r="M151" s="26">
        <f t="shared" ref="M151:M225" si="10">N151+O151</f>
        <v>7882.16</v>
      </c>
      <c r="N151" s="30">
        <v>7882.16</v>
      </c>
      <c r="O151" s="225"/>
      <c r="P151" s="53">
        <v>12</v>
      </c>
      <c r="Q151" s="30">
        <v>45972.74</v>
      </c>
      <c r="R151" s="205">
        <v>10</v>
      </c>
      <c r="S151" s="26">
        <f t="shared" ref="S151:S183" si="11">T151+U151</f>
        <v>30631.77</v>
      </c>
      <c r="T151" s="30">
        <v>30631.77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3</v>
      </c>
      <c r="J152" s="271">
        <v>3</v>
      </c>
      <c r="K152" s="239">
        <v>4610.3999999999996</v>
      </c>
      <c r="L152" s="316">
        <v>3</v>
      </c>
      <c r="M152" s="129">
        <f t="shared" si="10"/>
        <v>4610.3999999999996</v>
      </c>
      <c r="N152" s="129">
        <f>1728.9+2305.2+576.3</f>
        <v>4610.3999999999996</v>
      </c>
      <c r="O152" s="45"/>
      <c r="P152" s="238">
        <v>7</v>
      </c>
      <c r="Q152" s="239">
        <v>11775.73</v>
      </c>
      <c r="R152" s="316">
        <v>6</v>
      </c>
      <c r="S152" s="129">
        <f t="shared" si="11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10"/>
        <v>0</v>
      </c>
      <c r="N153" s="43"/>
      <c r="O153" s="41"/>
      <c r="P153" s="103"/>
      <c r="Q153" s="43"/>
      <c r="R153" s="44"/>
      <c r="S153" s="43">
        <f t="shared" si="11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/>
      <c r="D154" s="374"/>
      <c r="E154" s="381" t="s">
        <v>23</v>
      </c>
      <c r="F154" s="22"/>
      <c r="G154" s="23" t="s">
        <v>24</v>
      </c>
      <c r="H154" s="61">
        <v>9</v>
      </c>
      <c r="I154" s="62">
        <v>6</v>
      </c>
      <c r="J154" s="62">
        <v>6</v>
      </c>
      <c r="K154" s="30">
        <v>16306.8</v>
      </c>
      <c r="L154" s="27"/>
      <c r="M154" s="26">
        <f t="shared" si="10"/>
        <v>0</v>
      </c>
      <c r="N154" s="26"/>
      <c r="O154" s="31"/>
      <c r="P154" s="53">
        <v>1</v>
      </c>
      <c r="Q154" s="30">
        <v>1415.78</v>
      </c>
      <c r="R154" s="27"/>
      <c r="S154" s="26">
        <f t="shared" si="11"/>
        <v>0</v>
      </c>
      <c r="T154" s="26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10"/>
        <v>0</v>
      </c>
      <c r="N155" s="39"/>
      <c r="O155" s="41"/>
      <c r="P155" s="59"/>
      <c r="Q155" s="39"/>
      <c r="R155" s="40"/>
      <c r="S155" s="39">
        <f t="shared" si="11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10</v>
      </c>
      <c r="I156" s="203">
        <v>6</v>
      </c>
      <c r="J156" s="203">
        <v>6</v>
      </c>
      <c r="K156" s="65">
        <v>8949.17</v>
      </c>
      <c r="L156" s="224">
        <v>3</v>
      </c>
      <c r="M156" s="50">
        <f t="shared" si="10"/>
        <v>6564.06</v>
      </c>
      <c r="N156" s="65">
        <v>6564.06</v>
      </c>
      <c r="O156" s="225"/>
      <c r="P156" s="108">
        <v>5</v>
      </c>
      <c r="Q156" s="65">
        <v>27150.720000000001</v>
      </c>
      <c r="R156" s="224">
        <v>5</v>
      </c>
      <c r="S156" s="50">
        <f t="shared" si="11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8</v>
      </c>
      <c r="I157" s="246">
        <v>2</v>
      </c>
      <c r="J157" s="246">
        <v>2</v>
      </c>
      <c r="K157" s="158">
        <v>4226.2</v>
      </c>
      <c r="L157" s="143"/>
      <c r="M157" s="142">
        <f t="shared" si="10"/>
        <v>0</v>
      </c>
      <c r="N157" s="142"/>
      <c r="O157" s="45"/>
      <c r="P157" s="157">
        <v>4</v>
      </c>
      <c r="Q157" s="158">
        <v>8625.2900000000009</v>
      </c>
      <c r="R157" s="224">
        <v>5</v>
      </c>
      <c r="S157" s="50">
        <f t="shared" si="11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10"/>
        <v>0</v>
      </c>
      <c r="N158" s="43"/>
      <c r="O158" s="41"/>
      <c r="P158" s="103"/>
      <c r="Q158" s="43"/>
      <c r="R158" s="44"/>
      <c r="S158" s="43">
        <f t="shared" si="1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11</v>
      </c>
      <c r="I159" s="62">
        <v>5</v>
      </c>
      <c r="J159" s="62">
        <v>5</v>
      </c>
      <c r="K159" s="30">
        <v>8972.02</v>
      </c>
      <c r="L159" s="205">
        <v>5</v>
      </c>
      <c r="M159" s="26">
        <f t="shared" si="10"/>
        <v>8972.02</v>
      </c>
      <c r="N159" s="30">
        <v>8972.02</v>
      </c>
      <c r="O159" s="31"/>
      <c r="P159" s="53">
        <v>1</v>
      </c>
      <c r="Q159" s="30">
        <v>576.29999999999995</v>
      </c>
      <c r="R159" s="205">
        <v>1</v>
      </c>
      <c r="S159" s="26">
        <f t="shared" si="11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6</v>
      </c>
      <c r="I160" s="37">
        <v>1</v>
      </c>
      <c r="J160" s="37">
        <v>1</v>
      </c>
      <c r="K160" s="68">
        <v>576.29999999999995</v>
      </c>
      <c r="L160" s="285">
        <v>1</v>
      </c>
      <c r="M160" s="39">
        <f t="shared" si="10"/>
        <v>576.29999999999995</v>
      </c>
      <c r="N160" s="39">
        <f>576.3</f>
        <v>576.29999999999995</v>
      </c>
      <c r="O160" s="41"/>
      <c r="P160" s="115">
        <v>2</v>
      </c>
      <c r="Q160" s="68">
        <v>3265.7</v>
      </c>
      <c r="R160" s="285">
        <v>2</v>
      </c>
      <c r="S160" s="39">
        <f t="shared" si="11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6</v>
      </c>
      <c r="I161" s="203">
        <v>5</v>
      </c>
      <c r="J161" s="203">
        <v>6</v>
      </c>
      <c r="K161" s="65">
        <v>13186.17</v>
      </c>
      <c r="L161" s="224">
        <v>3</v>
      </c>
      <c r="M161" s="50">
        <f t="shared" si="10"/>
        <v>7338.22</v>
      </c>
      <c r="N161" s="65">
        <v>7338.22</v>
      </c>
      <c r="O161" s="31"/>
      <c r="P161" s="108">
        <v>8</v>
      </c>
      <c r="Q161" s="65">
        <v>16335.71</v>
      </c>
      <c r="R161" s="224">
        <v>8</v>
      </c>
      <c r="S161" s="50">
        <f t="shared" si="11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3</v>
      </c>
      <c r="J162" s="130">
        <v>3</v>
      </c>
      <c r="K162" s="114">
        <v>5993.52</v>
      </c>
      <c r="L162" s="270">
        <v>4</v>
      </c>
      <c r="M162" s="43">
        <f t="shared" si="10"/>
        <v>7146.12</v>
      </c>
      <c r="N162" s="43">
        <f>3880.42+1344.7+1921</f>
        <v>7146.12</v>
      </c>
      <c r="O162" s="41"/>
      <c r="P162" s="113">
        <v>5</v>
      </c>
      <c r="Q162" s="114">
        <v>11814.15</v>
      </c>
      <c r="R162" s="270">
        <v>3</v>
      </c>
      <c r="S162" s="43">
        <f t="shared" si="11"/>
        <v>7203.75</v>
      </c>
      <c r="T162" s="114">
        <f>4802.5+2401.25</f>
        <v>7203.75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13798.74</v>
      </c>
      <c r="L163" s="205">
        <v>6</v>
      </c>
      <c r="M163" s="26">
        <f t="shared" si="10"/>
        <v>13798.74</v>
      </c>
      <c r="N163" s="30">
        <v>13798.74</v>
      </c>
      <c r="O163" s="225"/>
      <c r="P163" s="53">
        <v>11</v>
      </c>
      <c r="Q163" s="30">
        <v>34906.400000000001</v>
      </c>
      <c r="R163" s="205">
        <v>11</v>
      </c>
      <c r="S163" s="26">
        <f t="shared" si="11"/>
        <v>34906.400000000001</v>
      </c>
      <c r="T163" s="30">
        <v>34906.400000000001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5</v>
      </c>
      <c r="I164" s="130">
        <v>1</v>
      </c>
      <c r="J164" s="130">
        <v>1</v>
      </c>
      <c r="K164" s="114">
        <v>1728.9</v>
      </c>
      <c r="L164" s="44"/>
      <c r="M164" s="43">
        <f t="shared" si="10"/>
        <v>0</v>
      </c>
      <c r="N164" s="43"/>
      <c r="O164" s="45"/>
      <c r="P164" s="113">
        <v>2</v>
      </c>
      <c r="Q164" s="114">
        <v>3976.1</v>
      </c>
      <c r="R164" s="44"/>
      <c r="S164" s="43">
        <f t="shared" si="11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5</v>
      </c>
      <c r="I165" s="62">
        <v>4</v>
      </c>
      <c r="J165" s="62">
        <v>4</v>
      </c>
      <c r="K165" s="30">
        <v>8539.0300000000007</v>
      </c>
      <c r="L165" s="205">
        <v>3</v>
      </c>
      <c r="M165" s="26">
        <f t="shared" si="10"/>
        <v>6561.17</v>
      </c>
      <c r="N165" s="30">
        <v>6561.17</v>
      </c>
      <c r="O165" s="159"/>
      <c r="P165" s="53">
        <v>3</v>
      </c>
      <c r="Q165" s="30">
        <v>20168.78</v>
      </c>
      <c r="R165" s="205">
        <v>3</v>
      </c>
      <c r="S165" s="26">
        <f t="shared" si="11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10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10"/>
      <c r="S166" s="211">
        <f t="shared" si="11"/>
        <v>4034.1</v>
      </c>
      <c r="T166" s="211">
        <f>2305.2+1728.9</f>
        <v>4034.1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2</v>
      </c>
      <c r="I167" s="25"/>
      <c r="J167" s="25"/>
      <c r="K167" s="26"/>
      <c r="L167" s="27"/>
      <c r="M167" s="26">
        <f t="shared" si="10"/>
        <v>0</v>
      </c>
      <c r="N167" s="26"/>
      <c r="O167" s="28"/>
      <c r="P167" s="214"/>
      <c r="Q167" s="30"/>
      <c r="R167" s="205"/>
      <c r="S167" s="26">
        <f t="shared" si="11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10"/>
        <v>0</v>
      </c>
      <c r="N168" s="39"/>
      <c r="O168" s="41"/>
      <c r="P168" s="217"/>
      <c r="Q168" s="68"/>
      <c r="R168" s="285"/>
      <c r="S168" s="39">
        <f t="shared" si="11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5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10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11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10"/>
        <v>0</v>
      </c>
      <c r="N170" s="43"/>
      <c r="O170" s="45"/>
      <c r="P170" s="103"/>
      <c r="Q170" s="43"/>
      <c r="R170" s="44"/>
      <c r="S170" s="43">
        <f t="shared" si="11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3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10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11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10"/>
        <v>0</v>
      </c>
      <c r="N172" s="211"/>
      <c r="O172" s="212"/>
      <c r="P172" s="273"/>
      <c r="Q172" s="211"/>
      <c r="R172" s="210"/>
      <c r="S172" s="211">
        <f t="shared" si="11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>
        <v>2</v>
      </c>
      <c r="I173" s="25"/>
      <c r="J173" s="25"/>
      <c r="K173" s="26"/>
      <c r="L173" s="27"/>
      <c r="M173" s="26">
        <f t="shared" si="10"/>
        <v>0</v>
      </c>
      <c r="N173" s="26"/>
      <c r="O173" s="28"/>
      <c r="P173" s="214"/>
      <c r="Q173" s="30"/>
      <c r="R173" s="205"/>
      <c r="S173" s="26">
        <f t="shared" si="11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10"/>
        <v>0</v>
      </c>
      <c r="N174" s="39"/>
      <c r="O174" s="41"/>
      <c r="P174" s="217"/>
      <c r="Q174" s="68"/>
      <c r="R174" s="285"/>
      <c r="S174" s="39">
        <f t="shared" si="11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2</v>
      </c>
      <c r="J175" s="266">
        <v>2</v>
      </c>
      <c r="K175" s="79">
        <v>2253.34</v>
      </c>
      <c r="L175" s="268">
        <v>2</v>
      </c>
      <c r="M175" s="81">
        <f t="shared" si="10"/>
        <v>2253.34</v>
      </c>
      <c r="N175" s="79">
        <v>2253.34</v>
      </c>
      <c r="O175" s="219"/>
      <c r="P175" s="267">
        <v>14</v>
      </c>
      <c r="Q175" s="79">
        <v>42391.839999999997</v>
      </c>
      <c r="R175" s="268">
        <v>14</v>
      </c>
      <c r="S175" s="81">
        <f t="shared" si="11"/>
        <v>42391.839999999997</v>
      </c>
      <c r="T175" s="79">
        <v>42391.839999999997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1</v>
      </c>
      <c r="J176" s="130">
        <v>1</v>
      </c>
      <c r="K176" s="114">
        <v>2497.3000000000002</v>
      </c>
      <c r="L176" s="316">
        <v>1</v>
      </c>
      <c r="M176" s="50">
        <f t="shared" si="10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3</v>
      </c>
      <c r="S176" s="43">
        <f t="shared" si="11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7</v>
      </c>
      <c r="I177" s="62">
        <v>3</v>
      </c>
      <c r="J177" s="62">
        <v>3</v>
      </c>
      <c r="K177" s="30">
        <v>5755.32</v>
      </c>
      <c r="L177" s="205">
        <v>3</v>
      </c>
      <c r="M177" s="26">
        <f t="shared" si="10"/>
        <v>5755.32</v>
      </c>
      <c r="N177" s="30">
        <v>5755.32</v>
      </c>
      <c r="O177" s="225"/>
      <c r="P177" s="53">
        <v>10</v>
      </c>
      <c r="Q177" s="30">
        <v>32403.07</v>
      </c>
      <c r="R177" s="205">
        <v>9</v>
      </c>
      <c r="S177" s="26">
        <f t="shared" si="11"/>
        <v>29348.55</v>
      </c>
      <c r="T177" s="30">
        <v>29348.55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10"/>
        <v>0</v>
      </c>
      <c r="N178" s="43"/>
      <c r="O178" s="41"/>
      <c r="P178" s="115">
        <v>5</v>
      </c>
      <c r="Q178" s="68">
        <v>19344.47</v>
      </c>
      <c r="R178" s="40"/>
      <c r="S178" s="39">
        <f t="shared" si="11"/>
        <v>16520.599999999999</v>
      </c>
      <c r="T178" s="68">
        <f>576.3+15944.3</f>
        <v>16520.599999999999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14</v>
      </c>
      <c r="I179" s="62">
        <v>12</v>
      </c>
      <c r="J179" s="204">
        <v>13</v>
      </c>
      <c r="K179" s="30">
        <v>22630.13</v>
      </c>
      <c r="L179" s="205">
        <v>11</v>
      </c>
      <c r="M179" s="26">
        <f t="shared" si="10"/>
        <v>18139.990000000002</v>
      </c>
      <c r="N179" s="30">
        <v>18139.990000000002</v>
      </c>
      <c r="O179" s="225"/>
      <c r="P179" s="108">
        <v>21</v>
      </c>
      <c r="Q179" s="65">
        <v>60276.03</v>
      </c>
      <c r="R179" s="224">
        <v>20</v>
      </c>
      <c r="S179" s="50">
        <f t="shared" si="11"/>
        <v>58682.48</v>
      </c>
      <c r="T179" s="65">
        <v>58682.48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10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11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25"/>
      <c r="J181" s="25"/>
      <c r="K181" s="162"/>
      <c r="L181" s="163"/>
      <c r="M181" s="162">
        <f t="shared" si="10"/>
        <v>0</v>
      </c>
      <c r="N181" s="162"/>
      <c r="O181" s="28"/>
      <c r="P181" s="275"/>
      <c r="Q181" s="26"/>
      <c r="R181" s="27"/>
      <c r="S181" s="26">
        <f t="shared" si="11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10"/>
        <v>0</v>
      </c>
      <c r="N182" s="164"/>
      <c r="O182" s="41"/>
      <c r="P182" s="276"/>
      <c r="Q182" s="39"/>
      <c r="R182" s="40"/>
      <c r="S182" s="39">
        <f t="shared" si="11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10"/>
        <v>0</v>
      </c>
      <c r="N183" s="293"/>
      <c r="O183" s="82"/>
      <c r="P183" s="295"/>
      <c r="Q183" s="81"/>
      <c r="R183" s="80"/>
      <c r="S183" s="81">
        <f t="shared" si="11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10"/>
        <v>0</v>
      </c>
      <c r="N184" s="164"/>
      <c r="O184" s="41"/>
      <c r="P184" s="67">
        <v>4</v>
      </c>
      <c r="Q184" s="68">
        <v>19199.810000000001</v>
      </c>
      <c r="R184" s="285">
        <v>4</v>
      </c>
      <c r="S184" s="68">
        <v>19199.810000000001</v>
      </c>
      <c r="T184" s="68">
        <v>19199.810000000001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13</v>
      </c>
      <c r="I185" s="203">
        <v>10</v>
      </c>
      <c r="J185" s="203">
        <v>13</v>
      </c>
      <c r="K185" s="242">
        <v>32279.96</v>
      </c>
      <c r="L185" s="320">
        <v>9</v>
      </c>
      <c r="M185" s="166">
        <f t="shared" si="10"/>
        <v>20143.900000000001</v>
      </c>
      <c r="N185" s="242">
        <v>20143.900000000001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2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270">
        <v>1</v>
      </c>
      <c r="M186" s="43">
        <f t="shared" si="10"/>
        <v>1152.5999999999999</v>
      </c>
      <c r="N186" s="43">
        <f>1152.6</f>
        <v>1152.5999999999999</v>
      </c>
      <c r="O186" s="41"/>
      <c r="P186" s="113">
        <v>2</v>
      </c>
      <c r="Q186" s="114">
        <v>16904.8</v>
      </c>
      <c r="R186" s="44"/>
      <c r="S186" s="43">
        <f t="shared" si="12"/>
        <v>13639.1</v>
      </c>
      <c r="T186" s="114">
        <f>1921+11718.1</f>
        <v>13639.1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4</v>
      </c>
      <c r="I187" s="62">
        <v>3</v>
      </c>
      <c r="J187" s="62">
        <v>3</v>
      </c>
      <c r="K187" s="30">
        <v>4497.1000000000004</v>
      </c>
      <c r="L187" s="205">
        <v>3</v>
      </c>
      <c r="M187" s="26">
        <f t="shared" si="10"/>
        <v>4497.1000000000004</v>
      </c>
      <c r="N187" s="30">
        <v>4497.1000000000004</v>
      </c>
      <c r="O187" s="31"/>
      <c r="P187" s="53">
        <v>7</v>
      </c>
      <c r="Q187" s="30">
        <v>16748.509999999998</v>
      </c>
      <c r="R187" s="205">
        <v>7</v>
      </c>
      <c r="S187" s="26">
        <f t="shared" si="12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10"/>
        <v>0</v>
      </c>
      <c r="N188" s="39"/>
      <c r="O188" s="41"/>
      <c r="P188" s="59"/>
      <c r="Q188" s="39"/>
      <c r="R188" s="40"/>
      <c r="S188" s="39">
        <f t="shared" si="12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10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2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10"/>
        <v>0</v>
      </c>
      <c r="N190" s="43"/>
      <c r="O190" s="41"/>
      <c r="P190" s="113">
        <v>1</v>
      </c>
      <c r="Q190" s="114">
        <v>0</v>
      </c>
      <c r="R190" s="44"/>
      <c r="S190" s="43">
        <f t="shared" si="12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10"/>
        <v>0</v>
      </c>
      <c r="N191" s="26"/>
      <c r="O191" s="31"/>
      <c r="P191" s="120"/>
      <c r="Q191" s="26"/>
      <c r="R191" s="27"/>
      <c r="S191" s="26">
        <f t="shared" si="12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10"/>
        <v>0</v>
      </c>
      <c r="N192" s="39"/>
      <c r="O192" s="41"/>
      <c r="P192" s="69"/>
      <c r="Q192" s="39"/>
      <c r="R192" s="40"/>
      <c r="S192" s="39">
        <f t="shared" si="12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6</v>
      </c>
      <c r="M193" s="50">
        <f t="shared" si="10"/>
        <v>11123.36</v>
      </c>
      <c r="N193" s="65">
        <v>11123.36</v>
      </c>
      <c r="O193" s="225"/>
      <c r="P193" s="108">
        <v>8</v>
      </c>
      <c r="Q193" s="65">
        <v>20431.349999999999</v>
      </c>
      <c r="R193" s="224">
        <v>7</v>
      </c>
      <c r="S193" s="50">
        <f t="shared" si="12"/>
        <v>14878.93</v>
      </c>
      <c r="T193" s="65">
        <v>14878.93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1</v>
      </c>
      <c r="J194" s="37">
        <v>1</v>
      </c>
      <c r="K194" s="68">
        <v>1921</v>
      </c>
      <c r="L194" s="40"/>
      <c r="M194" s="39">
        <f t="shared" si="10"/>
        <v>0</v>
      </c>
      <c r="N194" s="39"/>
      <c r="O194" s="41"/>
      <c r="P194" s="59"/>
      <c r="Q194" s="39"/>
      <c r="R194" s="40"/>
      <c r="S194" s="39">
        <f t="shared" si="12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16</v>
      </c>
      <c r="I195" s="203">
        <v>15</v>
      </c>
      <c r="J195" s="203">
        <v>20</v>
      </c>
      <c r="K195" s="65">
        <v>37461.589999999997</v>
      </c>
      <c r="L195" s="224">
        <v>12</v>
      </c>
      <c r="M195" s="50">
        <f t="shared" si="10"/>
        <v>20574.29</v>
      </c>
      <c r="N195" s="65">
        <v>20574.29</v>
      </c>
      <c r="O195" s="225"/>
      <c r="P195" s="108">
        <v>25</v>
      </c>
      <c r="Q195" s="65">
        <v>39876.11</v>
      </c>
      <c r="R195" s="224">
        <v>23</v>
      </c>
      <c r="S195" s="50">
        <f t="shared" si="12"/>
        <v>37107.68</v>
      </c>
      <c r="T195" s="65">
        <v>37107.68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4</v>
      </c>
      <c r="I196" s="130">
        <v>2</v>
      </c>
      <c r="J196" s="130">
        <v>2</v>
      </c>
      <c r="K196" s="114">
        <v>2401.25</v>
      </c>
      <c r="L196" s="316">
        <v>1</v>
      </c>
      <c r="M196" s="50">
        <f t="shared" si="10"/>
        <v>1056.55</v>
      </c>
      <c r="N196" s="43">
        <f>1056.55</f>
        <v>1056.55</v>
      </c>
      <c r="O196" s="41"/>
      <c r="P196" s="113">
        <v>3</v>
      </c>
      <c r="Q196" s="114">
        <v>5551.69</v>
      </c>
      <c r="R196" s="270">
        <v>3</v>
      </c>
      <c r="S196" s="43">
        <f t="shared" si="12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4"/>
      <c r="D197" s="374"/>
      <c r="E197" s="374"/>
      <c r="F197" s="60"/>
      <c r="G197" s="23" t="s">
        <v>24</v>
      </c>
      <c r="H197" s="24">
        <v>7</v>
      </c>
      <c r="I197" s="25"/>
      <c r="J197" s="25"/>
      <c r="K197" s="26"/>
      <c r="L197" s="27"/>
      <c r="M197" s="26">
        <f t="shared" si="10"/>
        <v>0</v>
      </c>
      <c r="N197" s="26"/>
      <c r="O197" s="31"/>
      <c r="P197" s="53">
        <v>3</v>
      </c>
      <c r="Q197" s="30">
        <v>8280.19</v>
      </c>
      <c r="R197" s="27"/>
      <c r="S197" s="26">
        <f t="shared" si="12"/>
        <v>0</v>
      </c>
      <c r="T197" s="26"/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10"/>
        <v>0</v>
      </c>
      <c r="N198" s="39"/>
      <c r="O198" s="41"/>
      <c r="P198" s="59"/>
      <c r="Q198" s="39"/>
      <c r="R198" s="40"/>
      <c r="S198" s="39">
        <f t="shared" si="12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10"/>
        <v>0</v>
      </c>
      <c r="N199" s="50"/>
      <c r="O199" s="31"/>
      <c r="P199" s="123"/>
      <c r="Q199" s="50"/>
      <c r="R199" s="51"/>
      <c r="S199" s="50">
        <f t="shared" si="12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10"/>
        <v>0</v>
      </c>
      <c r="N200" s="50"/>
      <c r="O200" s="45"/>
      <c r="P200" s="123"/>
      <c r="Q200" s="50"/>
      <c r="R200" s="51"/>
      <c r="S200" s="50">
        <f t="shared" si="12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10"/>
        <v>0</v>
      </c>
      <c r="N201" s="43"/>
      <c r="O201" s="41"/>
      <c r="P201" s="113">
        <v>1</v>
      </c>
      <c r="Q201" s="114">
        <v>4602.5</v>
      </c>
      <c r="R201" s="44"/>
      <c r="S201" s="43">
        <f t="shared" si="12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10"/>
        <v>0</v>
      </c>
      <c r="N202" s="26"/>
      <c r="O202" s="31"/>
      <c r="P202" s="99"/>
      <c r="Q202" s="26"/>
      <c r="R202" s="27"/>
      <c r="S202" s="26">
        <f t="shared" si="12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10"/>
        <v>0</v>
      </c>
      <c r="N203" s="43"/>
      <c r="O203" s="41"/>
      <c r="P203" s="113">
        <v>4</v>
      </c>
      <c r="Q203" s="114">
        <v>7395.85</v>
      </c>
      <c r="R203" s="44"/>
      <c r="S203" s="43">
        <f t="shared" si="12"/>
        <v>8452.4000000000015</v>
      </c>
      <c r="T203" s="114">
        <f>4034.1+1921+2497.3</f>
        <v>8452.4000000000015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10"/>
        <v>0</v>
      </c>
      <c r="N204" s="26"/>
      <c r="O204" s="31"/>
      <c r="P204" s="99"/>
      <c r="Q204" s="26"/>
      <c r="R204" s="27"/>
      <c r="S204" s="26">
        <f t="shared" si="12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1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151">
        <v>1</v>
      </c>
      <c r="I206" s="49"/>
      <c r="J206" s="49"/>
      <c r="K206" s="50"/>
      <c r="L206" s="51"/>
      <c r="M206" s="50">
        <f t="shared" si="10"/>
        <v>0</v>
      </c>
      <c r="N206" s="50"/>
      <c r="O206" s="31"/>
      <c r="P206" s="108">
        <v>3</v>
      </c>
      <c r="Q206" s="65">
        <v>12689.15</v>
      </c>
      <c r="R206" s="224">
        <v>3</v>
      </c>
      <c r="S206" s="50">
        <f t="shared" ref="S206:S220" si="13">T206+U206</f>
        <v>12689.15</v>
      </c>
      <c r="T206" s="65">
        <v>12689.15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10"/>
        <v>0</v>
      </c>
      <c r="N207" s="43"/>
      <c r="O207" s="45"/>
      <c r="P207" s="273"/>
      <c r="Q207" s="211"/>
      <c r="R207" s="210"/>
      <c r="S207" s="211">
        <f t="shared" si="13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4</v>
      </c>
      <c r="I208" s="62">
        <v>2</v>
      </c>
      <c r="J208" s="62">
        <v>2</v>
      </c>
      <c r="K208" s="30">
        <v>1152.5999999999999</v>
      </c>
      <c r="L208" s="205">
        <v>1</v>
      </c>
      <c r="M208" s="26">
        <f t="shared" si="10"/>
        <v>576.29999999999995</v>
      </c>
      <c r="N208" s="30">
        <v>576.29999999999995</v>
      </c>
      <c r="O208" s="308"/>
      <c r="P208" s="99"/>
      <c r="Q208" s="26"/>
      <c r="R208" s="27"/>
      <c r="S208" s="26">
        <f t="shared" si="13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4</v>
      </c>
      <c r="I209" s="37">
        <v>2</v>
      </c>
      <c r="J209" s="37">
        <v>2</v>
      </c>
      <c r="K209" s="68">
        <v>4994.6000000000004</v>
      </c>
      <c r="L209" s="285">
        <v>1</v>
      </c>
      <c r="M209" s="39">
        <f t="shared" si="10"/>
        <v>9086.33</v>
      </c>
      <c r="N209" s="39">
        <f>1985.09+7101.24</f>
        <v>9086.33</v>
      </c>
      <c r="O209" s="309"/>
      <c r="P209" s="310">
        <v>5</v>
      </c>
      <c r="Q209" s="245">
        <v>21572.83</v>
      </c>
      <c r="R209" s="285">
        <v>4</v>
      </c>
      <c r="S209" s="39">
        <f t="shared" si="13"/>
        <v>10565.5</v>
      </c>
      <c r="T209" s="68">
        <f>4034.1+1152.6+2881.5+2497.3</f>
        <v>10565.5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10"/>
        <v>0</v>
      </c>
      <c r="N210" s="50"/>
      <c r="O210" s="31"/>
      <c r="P210" s="277"/>
      <c r="Q210" s="81"/>
      <c r="R210" s="80"/>
      <c r="S210" s="81">
        <f t="shared" si="13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10"/>
        <v>0</v>
      </c>
      <c r="N211" s="43"/>
      <c r="O211" s="41"/>
      <c r="P211" s="113">
        <v>1</v>
      </c>
      <c r="Q211" s="114">
        <v>3842</v>
      </c>
      <c r="R211" s="316">
        <v>1</v>
      </c>
      <c r="S211" s="50">
        <f t="shared" si="13"/>
        <v>3842</v>
      </c>
      <c r="T211" s="43">
        <f>3842</f>
        <v>3842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11</v>
      </c>
      <c r="I212" s="62">
        <v>10</v>
      </c>
      <c r="J212" s="62">
        <v>16</v>
      </c>
      <c r="K212" s="30">
        <v>36893.33</v>
      </c>
      <c r="L212" s="205">
        <v>10</v>
      </c>
      <c r="M212" s="26">
        <f t="shared" si="10"/>
        <v>22151.4</v>
      </c>
      <c r="N212" s="30">
        <v>22151.4</v>
      </c>
      <c r="O212" s="225"/>
      <c r="P212" s="53">
        <v>20</v>
      </c>
      <c r="Q212" s="30">
        <v>64727.57</v>
      </c>
      <c r="R212" s="205">
        <v>19</v>
      </c>
      <c r="S212" s="26">
        <f t="shared" si="13"/>
        <v>56697.56</v>
      </c>
      <c r="T212" s="30">
        <v>56697.56</v>
      </c>
      <c r="U212" s="225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10"/>
        <v>0</v>
      </c>
      <c r="N213" s="39"/>
      <c r="O213" s="41"/>
      <c r="P213" s="59"/>
      <c r="Q213" s="39"/>
      <c r="R213" s="40"/>
      <c r="S213" s="39">
        <f t="shared" si="13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4</v>
      </c>
      <c r="I214" s="203">
        <v>2</v>
      </c>
      <c r="J214" s="203">
        <v>2</v>
      </c>
      <c r="K214" s="65">
        <v>3169.65</v>
      </c>
      <c r="L214" s="51"/>
      <c r="M214" s="50">
        <f t="shared" si="10"/>
        <v>0</v>
      </c>
      <c r="N214" s="50"/>
      <c r="O214" s="31"/>
      <c r="P214" s="108">
        <v>6</v>
      </c>
      <c r="Q214" s="65">
        <v>16741.060000000001</v>
      </c>
      <c r="R214" s="224">
        <v>5</v>
      </c>
      <c r="S214" s="50">
        <f t="shared" si="13"/>
        <v>16087.92</v>
      </c>
      <c r="T214" s="65">
        <v>16087.92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10"/>
        <v>0</v>
      </c>
      <c r="N215" s="43"/>
      <c r="O215" s="41"/>
      <c r="P215" s="113">
        <v>2</v>
      </c>
      <c r="Q215" s="114">
        <v>7299.8</v>
      </c>
      <c r="R215" s="44"/>
      <c r="S215" s="43">
        <f t="shared" si="13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17</v>
      </c>
      <c r="I216" s="62">
        <v>9</v>
      </c>
      <c r="J216" s="62">
        <v>10</v>
      </c>
      <c r="K216" s="30">
        <v>7339.68</v>
      </c>
      <c r="L216" s="205">
        <v>5</v>
      </c>
      <c r="M216" s="26">
        <f t="shared" si="10"/>
        <v>4097.9799999999996</v>
      </c>
      <c r="N216" s="30">
        <v>4097.9799999999996</v>
      </c>
      <c r="O216" s="225"/>
      <c r="P216" s="53">
        <v>28</v>
      </c>
      <c r="Q216" s="30">
        <v>78025.440000000002</v>
      </c>
      <c r="R216" s="205">
        <v>25</v>
      </c>
      <c r="S216" s="26">
        <f t="shared" si="13"/>
        <v>36047.910000000003</v>
      </c>
      <c r="T216" s="30">
        <v>36047.910000000003</v>
      </c>
      <c r="U216" s="30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10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3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26</v>
      </c>
      <c r="I218" s="25"/>
      <c r="J218" s="25"/>
      <c r="K218" s="26"/>
      <c r="L218" s="27"/>
      <c r="M218" s="26">
        <f t="shared" si="10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3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8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10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3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12</v>
      </c>
      <c r="I220" s="203">
        <v>9</v>
      </c>
      <c r="J220" s="203">
        <v>10</v>
      </c>
      <c r="K220" s="65">
        <v>18336.53</v>
      </c>
      <c r="L220" s="224">
        <v>7</v>
      </c>
      <c r="M220" s="50">
        <f t="shared" si="10"/>
        <v>10361.719999999999</v>
      </c>
      <c r="N220" s="65">
        <v>10361.719999999999</v>
      </c>
      <c r="O220" s="225"/>
      <c r="P220" s="108">
        <v>18</v>
      </c>
      <c r="Q220" s="65">
        <v>56598.95</v>
      </c>
      <c r="R220" s="224">
        <v>17</v>
      </c>
      <c r="S220" s="50">
        <f t="shared" si="13"/>
        <v>54358.97</v>
      </c>
      <c r="T220" s="65">
        <v>54358.97</v>
      </c>
      <c r="U220" s="225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2</v>
      </c>
      <c r="I221" s="57"/>
      <c r="J221" s="57"/>
      <c r="K221" s="43"/>
      <c r="L221" s="44"/>
      <c r="M221" s="43">
        <f t="shared" si="10"/>
        <v>0</v>
      </c>
      <c r="N221" s="43"/>
      <c r="O221" s="41"/>
      <c r="P221" s="113">
        <v>7</v>
      </c>
      <c r="Q221" s="114">
        <v>37704.239999999998</v>
      </c>
      <c r="R221" s="270">
        <v>6</v>
      </c>
      <c r="S221" s="114">
        <v>32210.18</v>
      </c>
      <c r="T221" s="114">
        <v>32210.18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3</v>
      </c>
      <c r="I222" s="62">
        <v>3</v>
      </c>
      <c r="J222" s="62">
        <v>3</v>
      </c>
      <c r="K222" s="30">
        <v>1969.94</v>
      </c>
      <c r="L222" s="205">
        <v>2</v>
      </c>
      <c r="M222" s="26">
        <f t="shared" si="10"/>
        <v>1185.45</v>
      </c>
      <c r="N222" s="30">
        <v>1185.45</v>
      </c>
      <c r="O222" s="225"/>
      <c r="P222" s="53">
        <v>15</v>
      </c>
      <c r="Q222" s="30">
        <v>47736.39</v>
      </c>
      <c r="R222" s="205">
        <v>13</v>
      </c>
      <c r="S222" s="26">
        <f t="shared" ref="S222:S225" si="14">T222+U222</f>
        <v>28989.79</v>
      </c>
      <c r="T222" s="30">
        <v>28989.79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10"/>
        <v>0</v>
      </c>
      <c r="N223" s="43"/>
      <c r="O223" s="41"/>
      <c r="P223" s="103"/>
      <c r="Q223" s="43"/>
      <c r="R223" s="44"/>
      <c r="S223" s="43">
        <f t="shared" si="14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/>
      <c r="D224" s="374"/>
      <c r="E224" s="374"/>
      <c r="F224" s="22"/>
      <c r="G224" s="176" t="s">
        <v>24</v>
      </c>
      <c r="H224" s="61">
        <v>2</v>
      </c>
      <c r="I224" s="25"/>
      <c r="J224" s="25"/>
      <c r="K224" s="26"/>
      <c r="L224" s="27"/>
      <c r="M224" s="26">
        <f t="shared" si="10"/>
        <v>0</v>
      </c>
      <c r="N224" s="26"/>
      <c r="O224" s="31"/>
      <c r="P224" s="120"/>
      <c r="Q224" s="26"/>
      <c r="R224" s="27"/>
      <c r="S224" s="26">
        <f t="shared" si="14"/>
        <v>0</v>
      </c>
      <c r="T224" s="26"/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321"/>
      <c r="G225" s="252" t="s">
        <v>28</v>
      </c>
      <c r="H225" s="322"/>
      <c r="I225" s="139"/>
      <c r="J225" s="139"/>
      <c r="K225" s="142"/>
      <c r="L225" s="143"/>
      <c r="M225" s="142">
        <f t="shared" si="10"/>
        <v>0</v>
      </c>
      <c r="N225" s="142"/>
      <c r="O225" s="323"/>
      <c r="P225" s="324"/>
      <c r="Q225" s="142"/>
      <c r="R225" s="143"/>
      <c r="S225" s="142">
        <f t="shared" si="14"/>
        <v>0</v>
      </c>
      <c r="T225" s="142"/>
      <c r="U225" s="323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445</v>
      </c>
      <c r="C226" s="374"/>
      <c r="D226" s="374"/>
      <c r="E226" s="374"/>
      <c r="F226" s="72"/>
      <c r="G226" s="176" t="s">
        <v>24</v>
      </c>
      <c r="H226" s="265"/>
      <c r="I226" s="266"/>
      <c r="J226" s="96"/>
      <c r="K226" s="81"/>
      <c r="L226" s="80"/>
      <c r="M226" s="81"/>
      <c r="N226" s="81"/>
      <c r="O226" s="82"/>
      <c r="P226" s="295"/>
      <c r="Q226" s="81"/>
      <c r="R226" s="80"/>
      <c r="S226" s="81"/>
      <c r="T226" s="81"/>
      <c r="U226" s="8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6"/>
      <c r="G227" s="252" t="s">
        <v>28</v>
      </c>
      <c r="H227" s="302">
        <v>1</v>
      </c>
      <c r="I227" s="261"/>
      <c r="J227" s="261"/>
      <c r="K227" s="211"/>
      <c r="L227" s="210"/>
      <c r="M227" s="211"/>
      <c r="N227" s="211"/>
      <c r="O227" s="212"/>
      <c r="P227" s="284"/>
      <c r="Q227" s="211"/>
      <c r="R227" s="210"/>
      <c r="S227" s="211"/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179</v>
      </c>
      <c r="C228" s="374"/>
      <c r="D228" s="374"/>
      <c r="E228" s="374" t="s">
        <v>27</v>
      </c>
      <c r="F228" s="22"/>
      <c r="G228" s="176" t="s">
        <v>24</v>
      </c>
      <c r="H228" s="61">
        <v>2</v>
      </c>
      <c r="I228" s="25"/>
      <c r="J228" s="25"/>
      <c r="K228" s="26"/>
      <c r="L228" s="27"/>
      <c r="M228" s="26">
        <f t="shared" ref="M228:M281" si="15">N228+O228</f>
        <v>0</v>
      </c>
      <c r="N228" s="26"/>
      <c r="O228" s="28"/>
      <c r="P228" s="120"/>
      <c r="Q228" s="26"/>
      <c r="R228" s="27"/>
      <c r="S228" s="26">
        <f t="shared" ref="S228:S246" si="16">T228+U228</f>
        <v>0</v>
      </c>
      <c r="T228" s="26"/>
      <c r="U228" s="28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105"/>
      <c r="G229" s="229" t="s">
        <v>28</v>
      </c>
      <c r="H229" s="298"/>
      <c r="I229" s="261"/>
      <c r="J229" s="261"/>
      <c r="K229" s="211"/>
      <c r="L229" s="210"/>
      <c r="M229" s="211">
        <f t="shared" si="15"/>
        <v>0</v>
      </c>
      <c r="N229" s="211"/>
      <c r="O229" s="212"/>
      <c r="P229" s="284"/>
      <c r="Q229" s="211"/>
      <c r="R229" s="210"/>
      <c r="S229" s="211">
        <f t="shared" si="16"/>
        <v>0</v>
      </c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378</v>
      </c>
      <c r="C230" s="374" t="s">
        <v>46</v>
      </c>
      <c r="D230" s="374" t="s">
        <v>422</v>
      </c>
      <c r="E230" s="374" t="s">
        <v>27</v>
      </c>
      <c r="F230" s="232" t="s">
        <v>423</v>
      </c>
      <c r="G230" s="213" t="s">
        <v>24</v>
      </c>
      <c r="H230" s="61">
        <v>10</v>
      </c>
      <c r="I230" s="62">
        <v>4</v>
      </c>
      <c r="J230" s="62">
        <v>5</v>
      </c>
      <c r="K230" s="30">
        <v>5323.77</v>
      </c>
      <c r="L230" s="205">
        <v>4</v>
      </c>
      <c r="M230" s="26">
        <f t="shared" si="15"/>
        <v>4555.37</v>
      </c>
      <c r="N230" s="30">
        <v>4555.37</v>
      </c>
      <c r="O230" s="28"/>
      <c r="P230" s="214"/>
      <c r="Q230" s="30"/>
      <c r="R230" s="205"/>
      <c r="S230" s="26">
        <f t="shared" si="16"/>
        <v>0</v>
      </c>
      <c r="T230" s="30"/>
      <c r="U230" s="24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/>
      <c r="G231" s="215" t="s">
        <v>28</v>
      </c>
      <c r="H231" s="117">
        <v>5</v>
      </c>
      <c r="I231" s="37">
        <v>1</v>
      </c>
      <c r="J231" s="37">
        <v>1</v>
      </c>
      <c r="K231" s="68">
        <v>1152.5999999999999</v>
      </c>
      <c r="L231" s="40"/>
      <c r="M231" s="39">
        <f t="shared" si="15"/>
        <v>0</v>
      </c>
      <c r="N231" s="39"/>
      <c r="O231" s="41"/>
      <c r="P231" s="217"/>
      <c r="Q231" s="68"/>
      <c r="R231" s="285"/>
      <c r="S231" s="39">
        <f t="shared" si="16"/>
        <v>0</v>
      </c>
      <c r="T231" s="68"/>
      <c r="U231" s="23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6"/>
      <c r="B232" s="377" t="s">
        <v>180</v>
      </c>
      <c r="C232" s="377" t="s">
        <v>46</v>
      </c>
      <c r="D232" s="377" t="s">
        <v>181</v>
      </c>
      <c r="E232" s="377" t="s">
        <v>27</v>
      </c>
      <c r="F232" s="232" t="s">
        <v>228</v>
      </c>
      <c r="G232" s="95" t="s">
        <v>24</v>
      </c>
      <c r="H232" s="265">
        <v>12</v>
      </c>
      <c r="I232" s="266">
        <v>7</v>
      </c>
      <c r="J232" s="266">
        <v>8</v>
      </c>
      <c r="K232" s="79">
        <v>5763.01</v>
      </c>
      <c r="L232" s="268">
        <v>7</v>
      </c>
      <c r="M232" s="81">
        <f t="shared" si="15"/>
        <v>0</v>
      </c>
      <c r="N232" s="81"/>
      <c r="O232" s="219"/>
      <c r="P232" s="267">
        <v>14</v>
      </c>
      <c r="Q232" s="79">
        <v>65943.149999999994</v>
      </c>
      <c r="R232" s="268">
        <v>13</v>
      </c>
      <c r="S232" s="81">
        <f t="shared" si="16"/>
        <v>31034.59</v>
      </c>
      <c r="T232" s="79">
        <v>31034.59</v>
      </c>
      <c r="U232" s="269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9"/>
      <c r="B233" s="380"/>
      <c r="C233" s="380"/>
      <c r="D233" s="380"/>
      <c r="E233" s="380"/>
      <c r="F233" s="54"/>
      <c r="G233" s="55" t="s">
        <v>28</v>
      </c>
      <c r="H233" s="116"/>
      <c r="I233" s="57"/>
      <c r="J233" s="57"/>
      <c r="K233" s="43"/>
      <c r="L233" s="128"/>
      <c r="M233" s="50">
        <f t="shared" si="15"/>
        <v>0</v>
      </c>
      <c r="N233" s="43"/>
      <c r="O233" s="41"/>
      <c r="P233" s="113">
        <v>3</v>
      </c>
      <c r="Q233" s="114">
        <v>15175.95</v>
      </c>
      <c r="R233" s="44"/>
      <c r="S233" s="43">
        <f t="shared" si="16"/>
        <v>2209.1999999999998</v>
      </c>
      <c r="T233" s="114">
        <v>2209.1999999999998</v>
      </c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72"/>
      <c r="B234" s="374" t="s">
        <v>182</v>
      </c>
      <c r="C234" s="374" t="s">
        <v>46</v>
      </c>
      <c r="D234" s="374" t="s">
        <v>181</v>
      </c>
      <c r="E234" s="374" t="s">
        <v>27</v>
      </c>
      <c r="F234" s="204" t="s">
        <v>379</v>
      </c>
      <c r="G234" s="23" t="s">
        <v>24</v>
      </c>
      <c r="H234" s="48">
        <v>16</v>
      </c>
      <c r="I234" s="62">
        <v>16</v>
      </c>
      <c r="J234" s="62">
        <v>18</v>
      </c>
      <c r="K234" s="30">
        <v>24661.43</v>
      </c>
      <c r="L234" s="205">
        <v>15</v>
      </c>
      <c r="M234" s="26">
        <f t="shared" si="15"/>
        <v>19551.57</v>
      </c>
      <c r="N234" s="30">
        <v>19551.57</v>
      </c>
      <c r="O234" s="31"/>
      <c r="P234" s="53">
        <v>11</v>
      </c>
      <c r="Q234" s="30">
        <v>66117.05</v>
      </c>
      <c r="R234" s="205">
        <v>8</v>
      </c>
      <c r="S234" s="26">
        <f t="shared" si="16"/>
        <v>53638.34</v>
      </c>
      <c r="T234" s="30">
        <v>53638.34</v>
      </c>
      <c r="U234" s="100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3"/>
      <c r="B235" s="375"/>
      <c r="C235" s="375"/>
      <c r="D235" s="375"/>
      <c r="E235" s="375"/>
      <c r="F235" s="34"/>
      <c r="G235" s="35" t="s">
        <v>28</v>
      </c>
      <c r="H235" s="116"/>
      <c r="I235" s="38"/>
      <c r="J235" s="38"/>
      <c r="K235" s="39"/>
      <c r="L235" s="40"/>
      <c r="M235" s="39">
        <f t="shared" si="15"/>
        <v>0</v>
      </c>
      <c r="N235" s="39"/>
      <c r="O235" s="41"/>
      <c r="P235" s="115">
        <v>2</v>
      </c>
      <c r="Q235" s="68">
        <v>4418.3</v>
      </c>
      <c r="R235" s="285">
        <v>1</v>
      </c>
      <c r="S235" s="39">
        <f t="shared" si="16"/>
        <v>3073.6</v>
      </c>
      <c r="T235" s="39">
        <f>3073.6</f>
        <v>3073.6</v>
      </c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82"/>
      <c r="B236" s="381" t="s">
        <v>183</v>
      </c>
      <c r="C236" s="381" t="s">
        <v>22</v>
      </c>
      <c r="D236" s="381"/>
      <c r="E236" s="381" t="s">
        <v>99</v>
      </c>
      <c r="F236" s="223" t="s">
        <v>380</v>
      </c>
      <c r="G236" s="23" t="s">
        <v>24</v>
      </c>
      <c r="H236" s="48">
        <v>4</v>
      </c>
      <c r="I236" s="49"/>
      <c r="J236" s="49"/>
      <c r="K236" s="50"/>
      <c r="L236" s="51"/>
      <c r="M236" s="50">
        <f t="shared" si="15"/>
        <v>0</v>
      </c>
      <c r="N236" s="50"/>
      <c r="O236" s="31"/>
      <c r="P236" s="108">
        <v>10</v>
      </c>
      <c r="Q236" s="65">
        <v>15519.54</v>
      </c>
      <c r="R236" s="224">
        <v>7</v>
      </c>
      <c r="S236" s="50">
        <f t="shared" si="16"/>
        <v>8094.01</v>
      </c>
      <c r="T236" s="65">
        <v>8094.01</v>
      </c>
      <c r="U236" s="225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9"/>
      <c r="B237" s="380"/>
      <c r="C237" s="380"/>
      <c r="D237" s="380"/>
      <c r="E237" s="380"/>
      <c r="F237" s="233" t="s">
        <v>252</v>
      </c>
      <c r="G237" s="227" t="s">
        <v>28</v>
      </c>
      <c r="H237" s="292">
        <v>6</v>
      </c>
      <c r="I237" s="208">
        <v>1</v>
      </c>
      <c r="J237" s="208">
        <v>1</v>
      </c>
      <c r="K237" s="209">
        <v>3073.6</v>
      </c>
      <c r="L237" s="210"/>
      <c r="M237" s="211">
        <f t="shared" si="15"/>
        <v>0</v>
      </c>
      <c r="N237" s="211"/>
      <c r="O237" s="212"/>
      <c r="P237" s="262">
        <v>2</v>
      </c>
      <c r="Q237" s="209">
        <v>5378.8</v>
      </c>
      <c r="R237" s="210"/>
      <c r="S237" s="211">
        <f t="shared" si="16"/>
        <v>4034.1</v>
      </c>
      <c r="T237" s="211">
        <f>4034.1</f>
        <v>4034.1</v>
      </c>
      <c r="U237" s="21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2"/>
      <c r="B238" s="374" t="s">
        <v>425</v>
      </c>
      <c r="C238" s="374" t="s">
        <v>22</v>
      </c>
      <c r="D238" s="374"/>
      <c r="E238" s="374" t="s">
        <v>131</v>
      </c>
      <c r="F238" s="204" t="s">
        <v>426</v>
      </c>
      <c r="G238" s="176" t="s">
        <v>24</v>
      </c>
      <c r="H238" s="61">
        <v>1</v>
      </c>
      <c r="I238" s="25"/>
      <c r="J238" s="25"/>
      <c r="K238" s="26"/>
      <c r="L238" s="27"/>
      <c r="M238" s="26">
        <f t="shared" si="15"/>
        <v>0</v>
      </c>
      <c r="N238" s="26"/>
      <c r="O238" s="28"/>
      <c r="P238" s="275"/>
      <c r="Q238" s="26"/>
      <c r="R238" s="27"/>
      <c r="S238" s="26">
        <f t="shared" si="16"/>
        <v>0</v>
      </c>
      <c r="T238" s="26"/>
      <c r="U238" s="28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3"/>
      <c r="B239" s="375"/>
      <c r="C239" s="375"/>
      <c r="D239" s="375"/>
      <c r="E239" s="375"/>
      <c r="F239" s="34"/>
      <c r="G239" s="229" t="s">
        <v>25</v>
      </c>
      <c r="H239" s="106"/>
      <c r="I239" s="38"/>
      <c r="J239" s="38"/>
      <c r="K239" s="39"/>
      <c r="L239" s="40"/>
      <c r="M239" s="39">
        <f t="shared" si="15"/>
        <v>0</v>
      </c>
      <c r="N239" s="39"/>
      <c r="O239" s="41"/>
      <c r="P239" s="276"/>
      <c r="Q239" s="39"/>
      <c r="R239" s="40"/>
      <c r="S239" s="39">
        <f t="shared" si="16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6"/>
      <c r="B240" s="377" t="s">
        <v>184</v>
      </c>
      <c r="C240" s="377" t="s">
        <v>22</v>
      </c>
      <c r="D240" s="377"/>
      <c r="E240" s="377" t="s">
        <v>27</v>
      </c>
      <c r="F240" s="76"/>
      <c r="G240" s="95" t="s">
        <v>24</v>
      </c>
      <c r="H240" s="265">
        <v>1</v>
      </c>
      <c r="I240" s="266">
        <v>1</v>
      </c>
      <c r="J240" s="266">
        <v>1</v>
      </c>
      <c r="K240" s="79">
        <v>950.9</v>
      </c>
      <c r="L240" s="80"/>
      <c r="M240" s="81">
        <f t="shared" si="15"/>
        <v>0</v>
      </c>
      <c r="N240" s="81"/>
      <c r="O240" s="219"/>
      <c r="P240" s="277"/>
      <c r="Q240" s="81"/>
      <c r="R240" s="80"/>
      <c r="S240" s="81">
        <f t="shared" si="16"/>
        <v>0</v>
      </c>
      <c r="T240" s="81"/>
      <c r="U240" s="219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9"/>
      <c r="B241" s="380"/>
      <c r="C241" s="380"/>
      <c r="D241" s="380"/>
      <c r="E241" s="380"/>
      <c r="F241" s="233" t="s">
        <v>253</v>
      </c>
      <c r="G241" s="227" t="s">
        <v>28</v>
      </c>
      <c r="H241" s="153">
        <v>4</v>
      </c>
      <c r="I241" s="130">
        <v>2</v>
      </c>
      <c r="J241" s="130">
        <v>2</v>
      </c>
      <c r="K241" s="114">
        <v>4701.96</v>
      </c>
      <c r="L241" s="270">
        <v>1</v>
      </c>
      <c r="M241" s="43">
        <f t="shared" si="15"/>
        <v>1921</v>
      </c>
      <c r="N241" s="43">
        <f>1921</f>
        <v>1921</v>
      </c>
      <c r="O241" s="41"/>
      <c r="P241" s="113">
        <v>5</v>
      </c>
      <c r="Q241" s="114">
        <v>10565.5</v>
      </c>
      <c r="R241" s="44"/>
      <c r="S241" s="43">
        <f t="shared" si="16"/>
        <v>2958.34</v>
      </c>
      <c r="T241" s="114">
        <v>2958.34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2"/>
      <c r="B242" s="374" t="s">
        <v>185</v>
      </c>
      <c r="C242" s="374" t="s">
        <v>22</v>
      </c>
      <c r="D242" s="374"/>
      <c r="E242" s="374" t="s">
        <v>27</v>
      </c>
      <c r="F242" s="204" t="s">
        <v>341</v>
      </c>
      <c r="G242" s="176" t="s">
        <v>24</v>
      </c>
      <c r="H242" s="98"/>
      <c r="I242" s="25"/>
      <c r="J242" s="25"/>
      <c r="K242" s="26"/>
      <c r="L242" s="27"/>
      <c r="M242" s="26">
        <f t="shared" si="15"/>
        <v>0</v>
      </c>
      <c r="N242" s="26"/>
      <c r="O242" s="31"/>
      <c r="P242" s="53">
        <v>2</v>
      </c>
      <c r="Q242" s="30">
        <v>2633.4</v>
      </c>
      <c r="R242" s="205">
        <v>2</v>
      </c>
      <c r="S242" s="26">
        <f t="shared" si="16"/>
        <v>2633.4</v>
      </c>
      <c r="T242" s="30">
        <v>2633.4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342</v>
      </c>
      <c r="G243" s="229" t="s">
        <v>28</v>
      </c>
      <c r="H243" s="133">
        <v>3</v>
      </c>
      <c r="I243" s="57"/>
      <c r="J243" s="57"/>
      <c r="K243" s="43"/>
      <c r="L243" s="44"/>
      <c r="M243" s="43">
        <f t="shared" si="15"/>
        <v>0</v>
      </c>
      <c r="N243" s="43"/>
      <c r="O243" s="41"/>
      <c r="P243" s="113">
        <v>1</v>
      </c>
      <c r="Q243" s="114">
        <v>2994.47</v>
      </c>
      <c r="R243" s="270">
        <v>1</v>
      </c>
      <c r="S243" s="43">
        <f t="shared" si="16"/>
        <v>2994.47</v>
      </c>
      <c r="T243" s="43">
        <f>2994.47</f>
        <v>2994.47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186</v>
      </c>
      <c r="C244" s="374" t="s">
        <v>22</v>
      </c>
      <c r="D244" s="374"/>
      <c r="E244" s="374" t="s">
        <v>99</v>
      </c>
      <c r="F244" s="232" t="s">
        <v>315</v>
      </c>
      <c r="G244" s="23" t="s">
        <v>24</v>
      </c>
      <c r="H244" s="48">
        <v>7</v>
      </c>
      <c r="I244" s="62">
        <v>4</v>
      </c>
      <c r="J244" s="62">
        <v>6</v>
      </c>
      <c r="K244" s="30">
        <v>14943.46</v>
      </c>
      <c r="L244" s="205">
        <v>4</v>
      </c>
      <c r="M244" s="26">
        <f t="shared" si="15"/>
        <v>12383.29</v>
      </c>
      <c r="N244" s="30">
        <v>12383.29</v>
      </c>
      <c r="O244" s="31"/>
      <c r="P244" s="53">
        <v>12</v>
      </c>
      <c r="Q244" s="30">
        <v>25258.31</v>
      </c>
      <c r="R244" s="205">
        <v>11</v>
      </c>
      <c r="S244" s="26">
        <f t="shared" si="16"/>
        <v>34166.06</v>
      </c>
      <c r="T244" s="30">
        <v>34166.06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254</v>
      </c>
      <c r="G245" s="35" t="s">
        <v>28</v>
      </c>
      <c r="H245" s="153">
        <v>7</v>
      </c>
      <c r="I245" s="38"/>
      <c r="J245" s="38"/>
      <c r="K245" s="39"/>
      <c r="L245" s="40"/>
      <c r="M245" s="39">
        <f t="shared" si="15"/>
        <v>0</v>
      </c>
      <c r="N245" s="39"/>
      <c r="O245" s="41"/>
      <c r="P245" s="59"/>
      <c r="Q245" s="39"/>
      <c r="R245" s="40"/>
      <c r="S245" s="39">
        <f t="shared" si="16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187</v>
      </c>
      <c r="C246" s="381" t="s">
        <v>22</v>
      </c>
      <c r="D246" s="381"/>
      <c r="E246" s="381" t="s">
        <v>131</v>
      </c>
      <c r="F246" s="223" t="s">
        <v>343</v>
      </c>
      <c r="G246" s="23" t="s">
        <v>24</v>
      </c>
      <c r="H246" s="48">
        <v>12</v>
      </c>
      <c r="I246" s="203">
        <v>10</v>
      </c>
      <c r="J246" s="203">
        <v>14</v>
      </c>
      <c r="K246" s="65">
        <v>25478.57</v>
      </c>
      <c r="L246" s="224">
        <v>7</v>
      </c>
      <c r="M246" s="50">
        <f t="shared" si="15"/>
        <v>7297.6</v>
      </c>
      <c r="N246" s="65">
        <v>7297.6</v>
      </c>
      <c r="O246" s="225"/>
      <c r="P246" s="108">
        <v>18</v>
      </c>
      <c r="Q246" s="65">
        <v>51466.49</v>
      </c>
      <c r="R246" s="224">
        <v>14</v>
      </c>
      <c r="S246" s="50">
        <f t="shared" si="16"/>
        <v>32281.95</v>
      </c>
      <c r="T246" s="65">
        <v>32281.95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9"/>
      <c r="B247" s="380"/>
      <c r="C247" s="380"/>
      <c r="D247" s="380"/>
      <c r="E247" s="380"/>
      <c r="F247" s="247"/>
      <c r="G247" s="227" t="s">
        <v>25</v>
      </c>
      <c r="H247" s="153">
        <v>1</v>
      </c>
      <c r="I247" s="57"/>
      <c r="J247" s="57"/>
      <c r="K247" s="43"/>
      <c r="L247" s="44"/>
      <c r="M247" s="43">
        <f t="shared" si="15"/>
        <v>0</v>
      </c>
      <c r="N247" s="43"/>
      <c r="O247" s="41"/>
      <c r="P247" s="113">
        <v>3</v>
      </c>
      <c r="Q247" s="114">
        <v>23282.52</v>
      </c>
      <c r="R247" s="270">
        <v>3</v>
      </c>
      <c r="S247" s="114">
        <v>23282.52</v>
      </c>
      <c r="T247" s="114">
        <v>23282.52</v>
      </c>
      <c r="U247" s="23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429</v>
      </c>
      <c r="C248" s="374" t="s">
        <v>22</v>
      </c>
      <c r="D248" s="374"/>
      <c r="E248" s="374" t="s">
        <v>27</v>
      </c>
      <c r="F248" s="204" t="s">
        <v>446</v>
      </c>
      <c r="G248" s="176" t="s">
        <v>24</v>
      </c>
      <c r="H248" s="151"/>
      <c r="I248" s="25"/>
      <c r="J248" s="25"/>
      <c r="K248" s="26"/>
      <c r="L248" s="27"/>
      <c r="M248" s="26">
        <f t="shared" si="15"/>
        <v>0</v>
      </c>
      <c r="N248" s="30"/>
      <c r="O248" s="31"/>
      <c r="P248" s="53">
        <v>1</v>
      </c>
      <c r="Q248" s="30">
        <v>36784.050000000003</v>
      </c>
      <c r="R248" s="205">
        <v>1</v>
      </c>
      <c r="S248" s="26">
        <f t="shared" ref="S248:S274" si="17">T248+U248</f>
        <v>36784.050000000003</v>
      </c>
      <c r="T248" s="30">
        <v>36784.050000000003</v>
      </c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/>
      <c r="G249" s="229" t="s">
        <v>28</v>
      </c>
      <c r="H249" s="56"/>
      <c r="I249" s="57"/>
      <c r="J249" s="57"/>
      <c r="K249" s="43"/>
      <c r="L249" s="44"/>
      <c r="M249" s="43">
        <f t="shared" si="15"/>
        <v>0</v>
      </c>
      <c r="N249" s="43"/>
      <c r="O249" s="45"/>
      <c r="P249" s="113"/>
      <c r="Q249" s="114"/>
      <c r="R249" s="44"/>
      <c r="S249" s="43">
        <f t="shared" si="17"/>
        <v>0</v>
      </c>
      <c r="T249" s="114"/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188</v>
      </c>
      <c r="C250" s="374" t="s">
        <v>39</v>
      </c>
      <c r="D250" s="374"/>
      <c r="E250" s="374" t="s">
        <v>27</v>
      </c>
      <c r="F250" s="22"/>
      <c r="G250" s="176" t="s">
        <v>24</v>
      </c>
      <c r="H250" s="151">
        <v>1</v>
      </c>
      <c r="I250" s="25"/>
      <c r="J250" s="25"/>
      <c r="K250" s="26"/>
      <c r="L250" s="27"/>
      <c r="M250" s="26">
        <f t="shared" si="15"/>
        <v>0</v>
      </c>
      <c r="N250" s="26"/>
      <c r="O250" s="31"/>
      <c r="P250" s="53">
        <v>1</v>
      </c>
      <c r="Q250" s="30">
        <v>2000</v>
      </c>
      <c r="R250" s="27"/>
      <c r="S250" s="26">
        <f t="shared" si="17"/>
        <v>0</v>
      </c>
      <c r="T250" s="26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20.25" customHeight="1">
      <c r="A251" s="373"/>
      <c r="B251" s="375"/>
      <c r="C251" s="375"/>
      <c r="D251" s="375"/>
      <c r="E251" s="375"/>
      <c r="F251" s="220" t="s">
        <v>344</v>
      </c>
      <c r="G251" s="229" t="s">
        <v>28</v>
      </c>
      <c r="H251" s="56">
        <v>3</v>
      </c>
      <c r="I251" s="130">
        <v>1</v>
      </c>
      <c r="J251" s="130">
        <v>1</v>
      </c>
      <c r="K251" s="114">
        <v>1052.5999999999999</v>
      </c>
      <c r="L251" s="44"/>
      <c r="M251" s="43">
        <f t="shared" si="15"/>
        <v>0</v>
      </c>
      <c r="N251" s="43"/>
      <c r="O251" s="222">
        <v>0</v>
      </c>
      <c r="P251" s="113">
        <v>13</v>
      </c>
      <c r="Q251" s="114">
        <v>15160.1</v>
      </c>
      <c r="R251" s="44"/>
      <c r="S251" s="43">
        <f t="shared" si="17"/>
        <v>4050.2</v>
      </c>
      <c r="T251" s="114">
        <v>4050.2</v>
      </c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189</v>
      </c>
      <c r="C252" s="374" t="s">
        <v>39</v>
      </c>
      <c r="D252" s="374" t="s">
        <v>427</v>
      </c>
      <c r="E252" s="374" t="s">
        <v>27</v>
      </c>
      <c r="F252" s="232" t="s">
        <v>428</v>
      </c>
      <c r="G252" s="23" t="s">
        <v>24</v>
      </c>
      <c r="H252" s="24">
        <v>14</v>
      </c>
      <c r="I252" s="62">
        <v>9</v>
      </c>
      <c r="J252" s="62">
        <v>12</v>
      </c>
      <c r="K252" s="30">
        <v>21540.38</v>
      </c>
      <c r="L252" s="205">
        <v>5</v>
      </c>
      <c r="M252" s="26">
        <f t="shared" si="15"/>
        <v>6835.88</v>
      </c>
      <c r="N252" s="30">
        <v>6835.88</v>
      </c>
      <c r="O252" s="241"/>
      <c r="P252" s="29">
        <v>2</v>
      </c>
      <c r="Q252" s="30">
        <v>1870.81</v>
      </c>
      <c r="R252" s="205">
        <v>2</v>
      </c>
      <c r="S252" s="26">
        <f t="shared" si="17"/>
        <v>1870.81</v>
      </c>
      <c r="T252" s="30">
        <v>1870.81</v>
      </c>
      <c r="U252" s="2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256</v>
      </c>
      <c r="G253" s="35" t="s">
        <v>28</v>
      </c>
      <c r="H253" s="66">
        <v>3</v>
      </c>
      <c r="I253" s="38"/>
      <c r="J253" s="38"/>
      <c r="K253" s="39"/>
      <c r="L253" s="40"/>
      <c r="M253" s="39">
        <f t="shared" si="15"/>
        <v>0</v>
      </c>
      <c r="N253" s="39"/>
      <c r="O253" s="41"/>
      <c r="P253" s="69"/>
      <c r="Q253" s="39"/>
      <c r="R253" s="40"/>
      <c r="S253" s="39">
        <f t="shared" si="17"/>
        <v>0</v>
      </c>
      <c r="T253" s="39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82"/>
      <c r="B254" s="381" t="s">
        <v>190</v>
      </c>
      <c r="C254" s="381" t="s">
        <v>39</v>
      </c>
      <c r="D254" s="381" t="s">
        <v>191</v>
      </c>
      <c r="E254" s="381" t="s">
        <v>27</v>
      </c>
      <c r="F254" s="46"/>
      <c r="G254" s="47" t="s">
        <v>24</v>
      </c>
      <c r="H254" s="98"/>
      <c r="I254" s="49"/>
      <c r="J254" s="49"/>
      <c r="K254" s="50"/>
      <c r="L254" s="51"/>
      <c r="M254" s="50">
        <f t="shared" si="15"/>
        <v>0</v>
      </c>
      <c r="N254" s="50"/>
      <c r="O254" s="31"/>
      <c r="P254" s="123"/>
      <c r="Q254" s="50"/>
      <c r="R254" s="51"/>
      <c r="S254" s="50">
        <f t="shared" si="17"/>
        <v>0</v>
      </c>
      <c r="T254" s="50"/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345</v>
      </c>
      <c r="G255" s="35" t="s">
        <v>28</v>
      </c>
      <c r="H255" s="112">
        <v>2</v>
      </c>
      <c r="I255" s="57"/>
      <c r="J255" s="57"/>
      <c r="K255" s="43"/>
      <c r="L255" s="44"/>
      <c r="M255" s="43">
        <f t="shared" si="15"/>
        <v>0</v>
      </c>
      <c r="N255" s="43"/>
      <c r="O255" s="45"/>
      <c r="P255" s="115">
        <v>4</v>
      </c>
      <c r="Q255" s="68">
        <v>5106.7</v>
      </c>
      <c r="R255" s="40"/>
      <c r="S255" s="39">
        <f t="shared" si="17"/>
        <v>6739.58</v>
      </c>
      <c r="T255" s="68">
        <f>3818+2921.58</f>
        <v>6739.58</v>
      </c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192</v>
      </c>
      <c r="C256" s="374" t="s">
        <v>22</v>
      </c>
      <c r="D256" s="374"/>
      <c r="E256" s="374" t="s">
        <v>193</v>
      </c>
      <c r="F256" s="204" t="s">
        <v>318</v>
      </c>
      <c r="G256" s="176" t="s">
        <v>24</v>
      </c>
      <c r="H256" s="61">
        <v>8</v>
      </c>
      <c r="I256" s="62">
        <v>8</v>
      </c>
      <c r="J256" s="62">
        <v>9</v>
      </c>
      <c r="K256" s="30">
        <v>9532.68</v>
      </c>
      <c r="L256" s="205">
        <v>5</v>
      </c>
      <c r="M256" s="26">
        <f t="shared" si="15"/>
        <v>5727.17</v>
      </c>
      <c r="N256" s="30">
        <v>5727.17</v>
      </c>
      <c r="O256" s="100"/>
      <c r="P256" s="64">
        <v>20</v>
      </c>
      <c r="Q256" s="65">
        <v>52299.07</v>
      </c>
      <c r="R256" s="224">
        <v>18</v>
      </c>
      <c r="S256" s="50">
        <f t="shared" si="17"/>
        <v>47921.06</v>
      </c>
      <c r="T256" s="65">
        <v>47921.06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346</v>
      </c>
      <c r="G257" s="229" t="s">
        <v>28</v>
      </c>
      <c r="H257" s="133">
        <v>1</v>
      </c>
      <c r="I257" s="37">
        <v>1</v>
      </c>
      <c r="J257" s="37">
        <v>1</v>
      </c>
      <c r="K257" s="68">
        <v>1728.9</v>
      </c>
      <c r="L257" s="285">
        <v>1</v>
      </c>
      <c r="M257" s="39">
        <f t="shared" si="15"/>
        <v>1728.9</v>
      </c>
      <c r="N257" s="39">
        <f>1728.9</f>
        <v>1728.9</v>
      </c>
      <c r="O257" s="41"/>
      <c r="P257" s="42"/>
      <c r="Q257" s="43"/>
      <c r="R257" s="44"/>
      <c r="S257" s="43">
        <f t="shared" si="17"/>
        <v>0</v>
      </c>
      <c r="T257" s="43"/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194</v>
      </c>
      <c r="C258" s="377" t="s">
        <v>39</v>
      </c>
      <c r="D258" s="377" t="s">
        <v>319</v>
      </c>
      <c r="E258" s="374" t="s">
        <v>160</v>
      </c>
      <c r="F258" s="232" t="s">
        <v>320</v>
      </c>
      <c r="G258" s="23" t="s">
        <v>24</v>
      </c>
      <c r="H258" s="48">
        <v>5</v>
      </c>
      <c r="I258" s="203">
        <v>4</v>
      </c>
      <c r="J258" s="203">
        <v>4</v>
      </c>
      <c r="K258" s="65">
        <v>2968.33</v>
      </c>
      <c r="L258" s="316">
        <v>3</v>
      </c>
      <c r="M258" s="129">
        <f t="shared" si="15"/>
        <v>2090.2399999999998</v>
      </c>
      <c r="N258" s="65">
        <v>2090.2399999999998</v>
      </c>
      <c r="O258" s="225"/>
      <c r="P258" s="29">
        <v>3</v>
      </c>
      <c r="Q258" s="30">
        <v>6107.21</v>
      </c>
      <c r="R258" s="205">
        <v>3</v>
      </c>
      <c r="S258" s="26">
        <f t="shared" si="17"/>
        <v>6107.21</v>
      </c>
      <c r="T258" s="30">
        <v>6107.21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347</v>
      </c>
      <c r="G259" s="35" t="s">
        <v>28</v>
      </c>
      <c r="H259" s="117">
        <v>2</v>
      </c>
      <c r="I259" s="37"/>
      <c r="J259" s="37"/>
      <c r="K259" s="39"/>
      <c r="L259" s="44"/>
      <c r="M259" s="43">
        <f t="shared" si="15"/>
        <v>0</v>
      </c>
      <c r="N259" s="39"/>
      <c r="O259" s="41"/>
      <c r="P259" s="37">
        <v>5</v>
      </c>
      <c r="Q259" s="37">
        <v>12038.63</v>
      </c>
      <c r="R259" s="40"/>
      <c r="S259" s="39">
        <f t="shared" si="17"/>
        <v>4621.6400000000003</v>
      </c>
      <c r="T259" s="68">
        <f>576.3+4045.34</f>
        <v>4621.6400000000003</v>
      </c>
      <c r="U259" s="2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195</v>
      </c>
      <c r="C260" s="377" t="s">
        <v>39</v>
      </c>
      <c r="D260" s="377" t="s">
        <v>231</v>
      </c>
      <c r="E260" s="381" t="s">
        <v>27</v>
      </c>
      <c r="F260" s="204" t="s">
        <v>232</v>
      </c>
      <c r="G260" s="47" t="s">
        <v>24</v>
      </c>
      <c r="H260" s="61">
        <v>2</v>
      </c>
      <c r="I260" s="25"/>
      <c r="J260" s="25"/>
      <c r="K260" s="26"/>
      <c r="L260" s="205"/>
      <c r="M260" s="26">
        <f t="shared" si="15"/>
        <v>0</v>
      </c>
      <c r="N260" s="26"/>
      <c r="O260" s="31"/>
      <c r="P260" s="64">
        <v>7</v>
      </c>
      <c r="Q260" s="65">
        <v>46859.35</v>
      </c>
      <c r="R260" s="224">
        <v>7</v>
      </c>
      <c r="S260" s="50">
        <f t="shared" si="17"/>
        <v>46859.35</v>
      </c>
      <c r="T260" s="65">
        <v>46859.35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1" t="s">
        <v>260</v>
      </c>
      <c r="G261" s="55" t="s">
        <v>28</v>
      </c>
      <c r="H261" s="178">
        <v>5</v>
      </c>
      <c r="I261" s="130">
        <v>2</v>
      </c>
      <c r="J261" s="130">
        <v>2</v>
      </c>
      <c r="K261" s="114">
        <v>1997.84</v>
      </c>
      <c r="L261" s="44"/>
      <c r="M261" s="43">
        <f t="shared" si="15"/>
        <v>1152.5999999999999</v>
      </c>
      <c r="N261" s="43">
        <f>1152.6</f>
        <v>1152.5999999999999</v>
      </c>
      <c r="O261" s="222"/>
      <c r="P261" s="130">
        <v>7</v>
      </c>
      <c r="Q261" s="130">
        <v>24706.45</v>
      </c>
      <c r="R261" s="270">
        <v>6</v>
      </c>
      <c r="S261" s="43">
        <f t="shared" si="17"/>
        <v>18249.5</v>
      </c>
      <c r="T261" s="114">
        <f>4994.6+12678.6+576.3</f>
        <v>18249.5</v>
      </c>
      <c r="U261" s="222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196</v>
      </c>
      <c r="C262" s="381" t="s">
        <v>22</v>
      </c>
      <c r="D262" s="374"/>
      <c r="E262" s="381" t="s">
        <v>27</v>
      </c>
      <c r="F262" s="22"/>
      <c r="G262" s="23" t="s">
        <v>24</v>
      </c>
      <c r="H262" s="119"/>
      <c r="I262" s="25"/>
      <c r="J262" s="25"/>
      <c r="K262" s="26"/>
      <c r="L262" s="27"/>
      <c r="M262" s="26">
        <f t="shared" si="15"/>
        <v>0</v>
      </c>
      <c r="N262" s="26"/>
      <c r="O262" s="28"/>
      <c r="P262" s="120"/>
      <c r="Q262" s="26"/>
      <c r="R262" s="27"/>
      <c r="S262" s="26">
        <f t="shared" si="17"/>
        <v>0</v>
      </c>
      <c r="T262" s="26"/>
      <c r="U262" s="28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348</v>
      </c>
      <c r="G263" s="35" t="s">
        <v>28</v>
      </c>
      <c r="H263" s="66">
        <v>4</v>
      </c>
      <c r="I263" s="38"/>
      <c r="J263" s="38"/>
      <c r="K263" s="39"/>
      <c r="L263" s="40"/>
      <c r="M263" s="39">
        <f t="shared" si="15"/>
        <v>0</v>
      </c>
      <c r="N263" s="39"/>
      <c r="O263" s="41"/>
      <c r="P263" s="67">
        <v>4</v>
      </c>
      <c r="Q263" s="68">
        <v>11282.42</v>
      </c>
      <c r="R263" s="285">
        <v>3</v>
      </c>
      <c r="S263" s="39">
        <f t="shared" si="17"/>
        <v>9655</v>
      </c>
      <c r="T263" s="39">
        <f>2547.3+4226.2+2881.5</f>
        <v>9655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82"/>
      <c r="B264" s="381" t="s">
        <v>197</v>
      </c>
      <c r="C264" s="381" t="s">
        <v>39</v>
      </c>
      <c r="D264" s="381" t="s">
        <v>381</v>
      </c>
      <c r="E264" s="381" t="s">
        <v>27</v>
      </c>
      <c r="F264" s="204" t="s">
        <v>382</v>
      </c>
      <c r="G264" s="47" t="s">
        <v>24</v>
      </c>
      <c r="H264" s="98"/>
      <c r="I264" s="49"/>
      <c r="J264" s="49"/>
      <c r="K264" s="50"/>
      <c r="L264" s="51"/>
      <c r="M264" s="50">
        <f t="shared" si="15"/>
        <v>0</v>
      </c>
      <c r="N264" s="50"/>
      <c r="O264" s="31"/>
      <c r="P264" s="108">
        <v>1</v>
      </c>
      <c r="Q264" s="65">
        <v>748.24</v>
      </c>
      <c r="R264" s="224">
        <v>1</v>
      </c>
      <c r="S264" s="50">
        <f t="shared" si="17"/>
        <v>748.24</v>
      </c>
      <c r="T264" s="65">
        <v>748.24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9"/>
      <c r="B265" s="380"/>
      <c r="C265" s="380"/>
      <c r="D265" s="380"/>
      <c r="E265" s="380"/>
      <c r="F265" s="221" t="s">
        <v>349</v>
      </c>
      <c r="G265" s="55" t="s">
        <v>28</v>
      </c>
      <c r="H265" s="153">
        <v>4</v>
      </c>
      <c r="I265" s="130">
        <v>2</v>
      </c>
      <c r="J265" s="130">
        <v>2</v>
      </c>
      <c r="K265" s="114">
        <v>3265.7</v>
      </c>
      <c r="L265" s="270">
        <v>1</v>
      </c>
      <c r="M265" s="43">
        <f t="shared" si="15"/>
        <v>1056.55</v>
      </c>
      <c r="N265" s="43">
        <f>1056.55</f>
        <v>1056.55</v>
      </c>
      <c r="O265" s="41"/>
      <c r="P265" s="103"/>
      <c r="Q265" s="43"/>
      <c r="R265" s="44"/>
      <c r="S265" s="43">
        <f t="shared" si="17"/>
        <v>3765.16</v>
      </c>
      <c r="T265" s="114">
        <f>1440.75+2324.41</f>
        <v>3765.16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2"/>
      <c r="B266" s="374" t="s">
        <v>198</v>
      </c>
      <c r="C266" s="374" t="s">
        <v>22</v>
      </c>
      <c r="D266" s="374"/>
      <c r="E266" s="374" t="s">
        <v>112</v>
      </c>
      <c r="F266" s="204" t="s">
        <v>383</v>
      </c>
      <c r="G266" s="23" t="s">
        <v>24</v>
      </c>
      <c r="H266" s="48">
        <v>5</v>
      </c>
      <c r="I266" s="62">
        <v>5</v>
      </c>
      <c r="J266" s="62">
        <v>5</v>
      </c>
      <c r="K266" s="30">
        <v>5867.69</v>
      </c>
      <c r="L266" s="205">
        <v>4</v>
      </c>
      <c r="M266" s="26">
        <f t="shared" si="15"/>
        <v>2486.73</v>
      </c>
      <c r="N266" s="30">
        <v>2486.73</v>
      </c>
      <c r="O266" s="31"/>
      <c r="P266" s="53">
        <v>12</v>
      </c>
      <c r="Q266" s="30">
        <v>46848.4</v>
      </c>
      <c r="R266" s="205">
        <v>11</v>
      </c>
      <c r="S266" s="26">
        <f t="shared" si="17"/>
        <v>44151.34</v>
      </c>
      <c r="T266" s="30">
        <v>44151.34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0" t="s">
        <v>350</v>
      </c>
      <c r="G267" s="35" t="s">
        <v>28</v>
      </c>
      <c r="H267" s="153">
        <v>1</v>
      </c>
      <c r="I267" s="38"/>
      <c r="J267" s="38"/>
      <c r="K267" s="39"/>
      <c r="L267" s="40"/>
      <c r="M267" s="39">
        <f t="shared" si="15"/>
        <v>0</v>
      </c>
      <c r="N267" s="39"/>
      <c r="O267" s="41"/>
      <c r="P267" s="59"/>
      <c r="Q267" s="39"/>
      <c r="R267" s="40"/>
      <c r="S267" s="39">
        <f t="shared" si="17"/>
        <v>0</v>
      </c>
      <c r="T267" s="39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82"/>
      <c r="B268" s="381" t="s">
        <v>199</v>
      </c>
      <c r="C268" s="381" t="s">
        <v>22</v>
      </c>
      <c r="D268" s="381"/>
      <c r="E268" s="381" t="s">
        <v>131</v>
      </c>
      <c r="F268" s="46"/>
      <c r="G268" s="23" t="s">
        <v>24</v>
      </c>
      <c r="H268" s="98"/>
      <c r="I268" s="49"/>
      <c r="J268" s="49"/>
      <c r="K268" s="50"/>
      <c r="L268" s="51"/>
      <c r="M268" s="50">
        <f t="shared" si="15"/>
        <v>0</v>
      </c>
      <c r="N268" s="50"/>
      <c r="O268" s="31"/>
      <c r="P268" s="123"/>
      <c r="Q268" s="50"/>
      <c r="R268" s="51"/>
      <c r="S268" s="50">
        <f t="shared" si="17"/>
        <v>0</v>
      </c>
      <c r="T268" s="50"/>
      <c r="U268" s="3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9"/>
      <c r="B269" s="380"/>
      <c r="C269" s="380"/>
      <c r="D269" s="380"/>
      <c r="E269" s="380"/>
      <c r="F269" s="126"/>
      <c r="G269" s="55" t="s">
        <v>25</v>
      </c>
      <c r="H269" s="118"/>
      <c r="I269" s="57"/>
      <c r="J269" s="57"/>
      <c r="K269" s="43"/>
      <c r="L269" s="44"/>
      <c r="M269" s="43">
        <f t="shared" si="15"/>
        <v>0</v>
      </c>
      <c r="N269" s="43"/>
      <c r="O269" s="41"/>
      <c r="P269" s="103"/>
      <c r="Q269" s="43"/>
      <c r="R269" s="44"/>
      <c r="S269" s="43">
        <f t="shared" si="17"/>
        <v>0</v>
      </c>
      <c r="T269" s="43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200</v>
      </c>
      <c r="C270" s="374" t="s">
        <v>22</v>
      </c>
      <c r="D270" s="374"/>
      <c r="E270" s="374" t="s">
        <v>27</v>
      </c>
      <c r="F270" s="204" t="s">
        <v>384</v>
      </c>
      <c r="G270" s="23" t="s">
        <v>24</v>
      </c>
      <c r="H270" s="61">
        <v>1</v>
      </c>
      <c r="I270" s="25"/>
      <c r="J270" s="25"/>
      <c r="K270" s="26"/>
      <c r="L270" s="27"/>
      <c r="M270" s="26">
        <f t="shared" si="15"/>
        <v>0</v>
      </c>
      <c r="N270" s="26"/>
      <c r="O270" s="31"/>
      <c r="P270" s="29">
        <v>5</v>
      </c>
      <c r="Q270" s="30">
        <v>20287.48</v>
      </c>
      <c r="R270" s="205">
        <v>5</v>
      </c>
      <c r="S270" s="26">
        <f t="shared" si="17"/>
        <v>20287.48</v>
      </c>
      <c r="T270" s="30">
        <v>20287.48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33" t="s">
        <v>351</v>
      </c>
      <c r="G271" s="227" t="s">
        <v>28</v>
      </c>
      <c r="H271" s="207">
        <v>1</v>
      </c>
      <c r="I271" s="208">
        <v>1</v>
      </c>
      <c r="J271" s="208">
        <v>1</v>
      </c>
      <c r="K271" s="209">
        <v>1056.55</v>
      </c>
      <c r="L271" s="210"/>
      <c r="M271" s="211">
        <f t="shared" si="15"/>
        <v>0</v>
      </c>
      <c r="N271" s="211"/>
      <c r="O271" s="212"/>
      <c r="P271" s="284"/>
      <c r="Q271" s="211"/>
      <c r="R271" s="210"/>
      <c r="S271" s="211">
        <f t="shared" si="17"/>
        <v>1921</v>
      </c>
      <c r="T271" s="209">
        <v>1921</v>
      </c>
      <c r="U271" s="212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430</v>
      </c>
      <c r="C272" s="374" t="s">
        <v>39</v>
      </c>
      <c r="D272" s="374" t="s">
        <v>439</v>
      </c>
      <c r="E272" s="374" t="s">
        <v>27</v>
      </c>
      <c r="F272" s="204" t="s">
        <v>440</v>
      </c>
      <c r="G272" s="213" t="s">
        <v>24</v>
      </c>
      <c r="H272" s="61"/>
      <c r="I272" s="62"/>
      <c r="J272" s="62"/>
      <c r="K272" s="30"/>
      <c r="L272" s="27"/>
      <c r="M272" s="26">
        <f t="shared" si="15"/>
        <v>0</v>
      </c>
      <c r="N272" s="26"/>
      <c r="O272" s="241"/>
      <c r="P272" s="214"/>
      <c r="Q272" s="30"/>
      <c r="R272" s="205"/>
      <c r="S272" s="26">
        <f t="shared" si="17"/>
        <v>0</v>
      </c>
      <c r="T272" s="30"/>
      <c r="U272" s="28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/>
      <c r="G273" s="215" t="s">
        <v>28</v>
      </c>
      <c r="H273" s="117"/>
      <c r="I273" s="37"/>
      <c r="J273" s="37"/>
      <c r="K273" s="68"/>
      <c r="L273" s="40"/>
      <c r="M273" s="39">
        <f t="shared" si="15"/>
        <v>0</v>
      </c>
      <c r="N273" s="39"/>
      <c r="O273" s="234"/>
      <c r="P273" s="217"/>
      <c r="Q273" s="68"/>
      <c r="R273" s="285"/>
      <c r="S273" s="39">
        <f t="shared" si="17"/>
        <v>0</v>
      </c>
      <c r="T273" s="68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6"/>
      <c r="B274" s="377" t="s">
        <v>201</v>
      </c>
      <c r="C274" s="377" t="s">
        <v>39</v>
      </c>
      <c r="D274" s="377" t="s">
        <v>385</v>
      </c>
      <c r="E274" s="377" t="s">
        <v>386</v>
      </c>
      <c r="F274" s="232" t="s">
        <v>387</v>
      </c>
      <c r="G274" s="95" t="s">
        <v>24</v>
      </c>
      <c r="H274" s="265">
        <v>12</v>
      </c>
      <c r="I274" s="266">
        <v>12</v>
      </c>
      <c r="J274" s="266">
        <v>17</v>
      </c>
      <c r="K274" s="79">
        <v>23491.16</v>
      </c>
      <c r="L274" s="268">
        <v>12</v>
      </c>
      <c r="M274" s="81">
        <f t="shared" si="15"/>
        <v>15909.92</v>
      </c>
      <c r="N274" s="79">
        <v>15909.92</v>
      </c>
      <c r="O274" s="313"/>
      <c r="P274" s="267">
        <v>2</v>
      </c>
      <c r="Q274" s="79">
        <v>4356.83</v>
      </c>
      <c r="R274" s="268">
        <v>2</v>
      </c>
      <c r="S274" s="81">
        <f t="shared" si="17"/>
        <v>4356.83</v>
      </c>
      <c r="T274" s="79">
        <v>4356.83</v>
      </c>
      <c r="U274" s="8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105"/>
      <c r="G275" s="35" t="s">
        <v>25</v>
      </c>
      <c r="H275" s="106"/>
      <c r="I275" s="38"/>
      <c r="J275" s="38"/>
      <c r="K275" s="39"/>
      <c r="L275" s="40"/>
      <c r="M275" s="39">
        <f t="shared" si="15"/>
        <v>0</v>
      </c>
      <c r="N275" s="39"/>
      <c r="O275" s="58"/>
      <c r="P275" s="115">
        <v>2</v>
      </c>
      <c r="Q275" s="68">
        <v>4418.3</v>
      </c>
      <c r="R275" s="285">
        <v>2</v>
      </c>
      <c r="S275" s="68">
        <v>4418.3</v>
      </c>
      <c r="T275" s="68">
        <v>4418.3</v>
      </c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82"/>
      <c r="B276" s="381" t="s">
        <v>202</v>
      </c>
      <c r="C276" s="381" t="s">
        <v>39</v>
      </c>
      <c r="D276" s="377" t="s">
        <v>441</v>
      </c>
      <c r="E276" s="381" t="s">
        <v>27</v>
      </c>
      <c r="F276" s="204" t="s">
        <v>442</v>
      </c>
      <c r="G276" s="47" t="s">
        <v>24</v>
      </c>
      <c r="H276" s="48">
        <v>2</v>
      </c>
      <c r="I276" s="203">
        <v>2</v>
      </c>
      <c r="J276" s="203">
        <v>2</v>
      </c>
      <c r="K276" s="65">
        <v>2382.04</v>
      </c>
      <c r="L276" s="224">
        <v>2</v>
      </c>
      <c r="M276" s="50">
        <f t="shared" si="15"/>
        <v>2382.04</v>
      </c>
      <c r="N276" s="65">
        <v>2382.04</v>
      </c>
      <c r="O276" s="31"/>
      <c r="P276" s="108">
        <v>2</v>
      </c>
      <c r="Q276" s="65">
        <v>4082.51</v>
      </c>
      <c r="R276" s="224">
        <v>2</v>
      </c>
      <c r="S276" s="50">
        <f t="shared" ref="S276:S280" si="18">T276+U276</f>
        <v>4082.51</v>
      </c>
      <c r="T276" s="65">
        <v>4082.51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21" t="s">
        <v>262</v>
      </c>
      <c r="G277" s="55" t="s">
        <v>28</v>
      </c>
      <c r="H277" s="112">
        <v>2</v>
      </c>
      <c r="I277" s="130">
        <v>1</v>
      </c>
      <c r="J277" s="130">
        <v>1</v>
      </c>
      <c r="K277" s="114">
        <v>1479.17</v>
      </c>
      <c r="L277" s="128"/>
      <c r="M277" s="129">
        <f t="shared" si="15"/>
        <v>0</v>
      </c>
      <c r="N277" s="43"/>
      <c r="O277" s="45"/>
      <c r="P277" s="113">
        <v>2</v>
      </c>
      <c r="Q277" s="114">
        <v>8452.4</v>
      </c>
      <c r="R277" s="128"/>
      <c r="S277" s="129">
        <f t="shared" si="18"/>
        <v>4994.6000000000004</v>
      </c>
      <c r="T277" s="114">
        <f>3649.9+1344.7</f>
        <v>4994.6000000000004</v>
      </c>
      <c r="U277" s="4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203</v>
      </c>
      <c r="C278" s="374"/>
      <c r="D278" s="374"/>
      <c r="E278" s="374" t="s">
        <v>27</v>
      </c>
      <c r="F278" s="60"/>
      <c r="G278" s="23" t="s">
        <v>24</v>
      </c>
      <c r="H278" s="61">
        <v>2</v>
      </c>
      <c r="I278" s="25"/>
      <c r="J278" s="25"/>
      <c r="K278" s="26"/>
      <c r="L278" s="27"/>
      <c r="M278" s="26">
        <f t="shared" si="15"/>
        <v>0</v>
      </c>
      <c r="N278" s="26"/>
      <c r="O278" s="28"/>
      <c r="P278" s="120"/>
      <c r="Q278" s="26"/>
      <c r="R278" s="27"/>
      <c r="S278" s="26">
        <f t="shared" si="18"/>
        <v>0</v>
      </c>
      <c r="T278" s="26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28</v>
      </c>
      <c r="H279" s="117"/>
      <c r="I279" s="38"/>
      <c r="J279" s="38"/>
      <c r="K279" s="39"/>
      <c r="L279" s="40"/>
      <c r="M279" s="39">
        <f t="shared" si="15"/>
        <v>0</v>
      </c>
      <c r="N279" s="39"/>
      <c r="O279" s="41"/>
      <c r="P279" s="69"/>
      <c r="Q279" s="39"/>
      <c r="R279" s="40"/>
      <c r="S279" s="39">
        <f t="shared" si="18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82"/>
      <c r="B280" s="381" t="s">
        <v>204</v>
      </c>
      <c r="C280" s="381" t="s">
        <v>22</v>
      </c>
      <c r="D280" s="381"/>
      <c r="E280" s="381" t="s">
        <v>23</v>
      </c>
      <c r="F280" s="204" t="s">
        <v>431</v>
      </c>
      <c r="G280" s="47" t="s">
        <v>24</v>
      </c>
      <c r="H280" s="48">
        <v>8</v>
      </c>
      <c r="I280" s="203">
        <v>5</v>
      </c>
      <c r="J280" s="203">
        <v>6</v>
      </c>
      <c r="K280" s="65">
        <v>7650.47</v>
      </c>
      <c r="L280" s="224">
        <v>2</v>
      </c>
      <c r="M280" s="50">
        <f t="shared" si="15"/>
        <v>2387.8000000000002</v>
      </c>
      <c r="N280" s="65">
        <v>2387.8000000000002</v>
      </c>
      <c r="O280" s="225"/>
      <c r="P280" s="108">
        <v>4</v>
      </c>
      <c r="Q280" s="65">
        <v>3363.11</v>
      </c>
      <c r="R280" s="224">
        <v>4</v>
      </c>
      <c r="S280" s="50">
        <f t="shared" si="18"/>
        <v>3363.11</v>
      </c>
      <c r="T280" s="65">
        <v>3363.11</v>
      </c>
      <c r="U280" s="225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25</v>
      </c>
      <c r="H281" s="111"/>
      <c r="I281" s="38"/>
      <c r="J281" s="38"/>
      <c r="K281" s="39"/>
      <c r="L281" s="40"/>
      <c r="M281" s="39">
        <f t="shared" si="15"/>
        <v>0</v>
      </c>
      <c r="N281" s="39"/>
      <c r="O281" s="41"/>
      <c r="P281" s="115">
        <v>1</v>
      </c>
      <c r="Q281" s="68">
        <v>2305.1999999999998</v>
      </c>
      <c r="R281" s="285">
        <v>1</v>
      </c>
      <c r="S281" s="68">
        <v>2305.1999999999998</v>
      </c>
      <c r="T281" s="68">
        <v>2305.1999999999998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179"/>
      <c r="B282" s="180" t="s">
        <v>205</v>
      </c>
      <c r="C282" s="180"/>
      <c r="D282" s="180"/>
      <c r="E282" s="180"/>
      <c r="F282" s="180"/>
      <c r="G282" s="181"/>
      <c r="H282" s="182">
        <f t="shared" ref="H282:U282" si="19">SUM(H9:H281)</f>
        <v>1073</v>
      </c>
      <c r="I282" s="183">
        <f t="shared" si="19"/>
        <v>576</v>
      </c>
      <c r="J282" s="183">
        <f t="shared" si="19"/>
        <v>684</v>
      </c>
      <c r="K282" s="184">
        <f t="shared" si="19"/>
        <v>1150883.5699999998</v>
      </c>
      <c r="L282" s="185">
        <f t="shared" si="19"/>
        <v>460</v>
      </c>
      <c r="M282" s="184">
        <f t="shared" si="19"/>
        <v>742263.47</v>
      </c>
      <c r="N282" s="184">
        <f t="shared" si="19"/>
        <v>742263.47</v>
      </c>
      <c r="O282" s="186">
        <f t="shared" si="19"/>
        <v>0</v>
      </c>
      <c r="P282" s="187">
        <f t="shared" si="19"/>
        <v>1137</v>
      </c>
      <c r="Q282" s="188">
        <f t="shared" si="19"/>
        <v>3761233.1799999983</v>
      </c>
      <c r="R282" s="185">
        <f t="shared" si="19"/>
        <v>938</v>
      </c>
      <c r="S282" s="188">
        <f t="shared" si="19"/>
        <v>3236607.7699999996</v>
      </c>
      <c r="T282" s="188">
        <f t="shared" si="19"/>
        <v>3236607.7699999996</v>
      </c>
      <c r="U282" s="189">
        <f t="shared" si="19"/>
        <v>0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I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 t="s">
        <v>206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27.75" customHeight="1">
      <c r="A286" s="4"/>
      <c r="B286" s="4"/>
      <c r="C286" s="4"/>
      <c r="D286" s="4"/>
      <c r="E286" s="4"/>
      <c r="F286" s="394"/>
      <c r="G286" s="395" t="s">
        <v>5</v>
      </c>
      <c r="H286" s="396"/>
      <c r="I286" s="396"/>
      <c r="J286" s="396"/>
      <c r="K286" s="396"/>
      <c r="L286" s="396"/>
      <c r="M286" s="396"/>
      <c r="N286" s="397"/>
      <c r="O286" s="395" t="s">
        <v>6</v>
      </c>
      <c r="P286" s="396"/>
      <c r="Q286" s="396"/>
      <c r="R286" s="396"/>
      <c r="S286" s="396"/>
      <c r="T286" s="397"/>
      <c r="U286" s="393" t="s">
        <v>207</v>
      </c>
      <c r="V286" s="393" t="s">
        <v>208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386"/>
      <c r="G287" s="190" t="s">
        <v>13</v>
      </c>
      <c r="H287" s="190" t="s">
        <v>14</v>
      </c>
      <c r="I287" s="190" t="s">
        <v>15</v>
      </c>
      <c r="J287" s="190" t="s">
        <v>16</v>
      </c>
      <c r="K287" s="191" t="s">
        <v>17</v>
      </c>
      <c r="L287" s="190" t="s">
        <v>18</v>
      </c>
      <c r="M287" s="190" t="s">
        <v>19</v>
      </c>
      <c r="N287" s="190" t="s">
        <v>20</v>
      </c>
      <c r="O287" s="190" t="s">
        <v>15</v>
      </c>
      <c r="P287" s="190" t="s">
        <v>16</v>
      </c>
      <c r="Q287" s="191" t="s">
        <v>17</v>
      </c>
      <c r="R287" s="190" t="s">
        <v>18</v>
      </c>
      <c r="S287" s="190" t="s">
        <v>19</v>
      </c>
      <c r="T287" s="190" t="s">
        <v>20</v>
      </c>
      <c r="U287" s="392"/>
      <c r="V287" s="392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24</v>
      </c>
      <c r="G288" s="193">
        <f t="shared" ref="G288:I288" si="20">SUMIF($G$9:$G$281,$F$288,H9:H281)</f>
        <v>758</v>
      </c>
      <c r="H288" s="193">
        <f t="shared" si="20"/>
        <v>487</v>
      </c>
      <c r="I288" s="193">
        <f t="shared" si="20"/>
        <v>595</v>
      </c>
      <c r="J288" s="194">
        <f t="shared" ref="J288:J290" si="21">SUMIF($G$9:$G$281,F288,$K$9:$K$281)</f>
        <v>1009047.72</v>
      </c>
      <c r="K288" s="195">
        <f t="shared" ref="K288:K290" si="22">SUMIF($G$9:$G$281,F288,$L$9:$L$281)</f>
        <v>411</v>
      </c>
      <c r="L288" s="194">
        <f t="shared" ref="L288:L290" si="23">SUMIF($G$9:$G$281,F288,$M$9:$M$281)</f>
        <v>651427.98</v>
      </c>
      <c r="M288" s="194">
        <f t="shared" ref="M288:O288" si="24">SUMIF($G$9:$G$281,$F$288,N9:N281)</f>
        <v>651427.98</v>
      </c>
      <c r="N288" s="194">
        <f t="shared" si="24"/>
        <v>0</v>
      </c>
      <c r="O288" s="193">
        <f t="shared" si="24"/>
        <v>934</v>
      </c>
      <c r="P288" s="194">
        <f t="shared" ref="P288:P290" si="25">SUMIF($G$9:$G$281,F288,$Q$9:$Q$281)</f>
        <v>3166665.9099999978</v>
      </c>
      <c r="Q288" s="195">
        <f t="shared" ref="Q288:Q290" si="26">SUMIF($G$9:$G$281,F288,$R$9:$R$281)</f>
        <v>828</v>
      </c>
      <c r="R288" s="194">
        <f t="shared" ref="R288:R290" si="27">SUMIF($G$9:$G$281,F288,$S$9:$S$281)</f>
        <v>2741336.9699999997</v>
      </c>
      <c r="S288" s="194">
        <f t="shared" ref="S288:T288" si="28">SUMIF($G$9:$G$281,$F$288,T9:T281)</f>
        <v>2741336.9699999997</v>
      </c>
      <c r="T288" s="194">
        <f t="shared" si="28"/>
        <v>0</v>
      </c>
      <c r="U288" s="194">
        <f t="shared" ref="U288:U290" si="29">S288+M288</f>
        <v>3392764.9499999997</v>
      </c>
      <c r="V288" s="196">
        <f t="shared" ref="V288:V290" si="30">J288-M288+P288-S288</f>
        <v>782948.67999999784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192" t="s">
        <v>28</v>
      </c>
      <c r="G289" s="236">
        <f t="shared" ref="G289:I289" si="31">SUMIF($G$9:$G$281,$F$289,H9:H281)</f>
        <v>261</v>
      </c>
      <c r="H289" s="193">
        <f t="shared" si="31"/>
        <v>68</v>
      </c>
      <c r="I289" s="193">
        <f t="shared" si="31"/>
        <v>68</v>
      </c>
      <c r="J289" s="194">
        <f t="shared" si="21"/>
        <v>108775.44000000002</v>
      </c>
      <c r="K289" s="195">
        <f t="shared" si="22"/>
        <v>31</v>
      </c>
      <c r="L289" s="194">
        <f t="shared" si="23"/>
        <v>61463.400000000016</v>
      </c>
      <c r="M289" s="194">
        <f t="shared" ref="M289:O289" si="32">SUMIF($G$9:$G$281,$F$289,N9:N281)</f>
        <v>61463.400000000016</v>
      </c>
      <c r="N289" s="194">
        <f t="shared" si="32"/>
        <v>0</v>
      </c>
      <c r="O289" s="193">
        <f t="shared" si="32"/>
        <v>156</v>
      </c>
      <c r="P289" s="194">
        <f t="shared" si="25"/>
        <v>433379.9</v>
      </c>
      <c r="Q289" s="195">
        <f t="shared" si="26"/>
        <v>66</v>
      </c>
      <c r="R289" s="194">
        <f t="shared" si="27"/>
        <v>340922.19</v>
      </c>
      <c r="S289" s="194">
        <f t="shared" ref="S289:T289" si="33">SUMIF($G$9:$G$281,$F$289,T9:T281)</f>
        <v>340922.19</v>
      </c>
      <c r="T289" s="194">
        <f t="shared" si="33"/>
        <v>0</v>
      </c>
      <c r="U289" s="194">
        <f t="shared" si="29"/>
        <v>402385.59</v>
      </c>
      <c r="V289" s="196">
        <f t="shared" si="30"/>
        <v>139769.75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25</v>
      </c>
      <c r="G290" s="193">
        <f t="shared" ref="G290:I290" si="34">SUMIF($G$9:$G$281,$F$290,H9:H281)</f>
        <v>54</v>
      </c>
      <c r="H290" s="193">
        <f t="shared" si="34"/>
        <v>21</v>
      </c>
      <c r="I290" s="193">
        <f t="shared" si="34"/>
        <v>21</v>
      </c>
      <c r="J290" s="194">
        <f t="shared" si="21"/>
        <v>33060.409999999996</v>
      </c>
      <c r="K290" s="195">
        <f t="shared" si="22"/>
        <v>18</v>
      </c>
      <c r="L290" s="194">
        <f t="shared" si="23"/>
        <v>29372.09</v>
      </c>
      <c r="M290" s="194">
        <f t="shared" ref="M290:O290" si="35">SUMIF($G$9:$G$281,$F$290,N9:N281)</f>
        <v>29372.09</v>
      </c>
      <c r="N290" s="194">
        <f t="shared" si="35"/>
        <v>0</v>
      </c>
      <c r="O290" s="193">
        <f t="shared" si="35"/>
        <v>47</v>
      </c>
      <c r="P290" s="194">
        <f t="shared" si="25"/>
        <v>161187.37</v>
      </c>
      <c r="Q290" s="195">
        <f t="shared" si="26"/>
        <v>44</v>
      </c>
      <c r="R290" s="194">
        <f t="shared" si="27"/>
        <v>154348.60999999999</v>
      </c>
      <c r="S290" s="194">
        <f t="shared" ref="S290:T290" si="36">SUMIF($G$9:$G$281,$F$290,T9:T281)</f>
        <v>154348.60999999999</v>
      </c>
      <c r="T290" s="194">
        <f t="shared" si="36"/>
        <v>0</v>
      </c>
      <c r="U290" s="194">
        <f t="shared" si="29"/>
        <v>183720.69999999998</v>
      </c>
      <c r="V290" s="196">
        <f t="shared" si="30"/>
        <v>10527.080000000016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197">
        <f t="shared" ref="G291:V291" si="37">G290+G289+G288</f>
        <v>1073</v>
      </c>
      <c r="H291" s="197">
        <f t="shared" si="37"/>
        <v>576</v>
      </c>
      <c r="I291" s="197">
        <f t="shared" si="37"/>
        <v>684</v>
      </c>
      <c r="J291" s="198">
        <f t="shared" si="37"/>
        <v>1150883.57</v>
      </c>
      <c r="K291" s="199">
        <f t="shared" si="37"/>
        <v>460</v>
      </c>
      <c r="L291" s="198">
        <f t="shared" si="37"/>
        <v>742263.47</v>
      </c>
      <c r="M291" s="198">
        <f t="shared" si="37"/>
        <v>742263.47</v>
      </c>
      <c r="N291" s="198">
        <f t="shared" si="37"/>
        <v>0</v>
      </c>
      <c r="O291" s="197">
        <f t="shared" si="37"/>
        <v>1137</v>
      </c>
      <c r="P291" s="198">
        <f t="shared" si="37"/>
        <v>3761233.1799999978</v>
      </c>
      <c r="Q291" s="200">
        <f t="shared" si="37"/>
        <v>938</v>
      </c>
      <c r="R291" s="198">
        <f t="shared" si="37"/>
        <v>3236607.7699999996</v>
      </c>
      <c r="S291" s="198">
        <f t="shared" si="37"/>
        <v>3236607.7699999996</v>
      </c>
      <c r="T291" s="198">
        <f t="shared" si="37"/>
        <v>0</v>
      </c>
      <c r="U291" s="198">
        <f t="shared" si="37"/>
        <v>3978871.2399999998</v>
      </c>
      <c r="V291" s="198">
        <f t="shared" si="37"/>
        <v>933245.50999999791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</sheetData>
  <mergeCells count="681">
    <mergeCell ref="B206:B207"/>
    <mergeCell ref="C206:C207"/>
    <mergeCell ref="A208:A209"/>
    <mergeCell ref="B208:B209"/>
    <mergeCell ref="C208:C209"/>
    <mergeCell ref="D208:D209"/>
    <mergeCell ref="E208:E209"/>
    <mergeCell ref="D224:D225"/>
    <mergeCell ref="E224:E225"/>
    <mergeCell ref="B224:B225"/>
    <mergeCell ref="C224:C225"/>
    <mergeCell ref="C189:C190"/>
    <mergeCell ref="D189:D190"/>
    <mergeCell ref="E189:E190"/>
    <mergeCell ref="A191:A192"/>
    <mergeCell ref="A195:A196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A204:A205"/>
    <mergeCell ref="B204:B205"/>
    <mergeCell ref="C204:C205"/>
    <mergeCell ref="D204:D205"/>
    <mergeCell ref="E204:E205"/>
    <mergeCell ref="A206:A207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202:A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G286:N286"/>
    <mergeCell ref="O286:T286"/>
    <mergeCell ref="U286:U287"/>
    <mergeCell ref="V286:V287"/>
    <mergeCell ref="D173:D174"/>
    <mergeCell ref="E173:E174"/>
    <mergeCell ref="D175:D176"/>
    <mergeCell ref="E175:E176"/>
    <mergeCell ref="D177:D178"/>
    <mergeCell ref="E177:E178"/>
    <mergeCell ref="D206:D207"/>
    <mergeCell ref="E206:E207"/>
    <mergeCell ref="D226:D227"/>
    <mergeCell ref="E226:E227"/>
    <mergeCell ref="D228:D229"/>
    <mergeCell ref="E228:E229"/>
    <mergeCell ref="B272:B273"/>
    <mergeCell ref="C272:C273"/>
    <mergeCell ref="B276:B277"/>
    <mergeCell ref="C276:C277"/>
    <mergeCell ref="A278:A279"/>
    <mergeCell ref="B278:B279"/>
    <mergeCell ref="C278:C279"/>
    <mergeCell ref="A280:A281"/>
    <mergeCell ref="B280:B281"/>
    <mergeCell ref="C280:C281"/>
    <mergeCell ref="A272:A273"/>
    <mergeCell ref="A274:A275"/>
    <mergeCell ref="B274:B275"/>
    <mergeCell ref="C274:C275"/>
    <mergeCell ref="A276:A277"/>
    <mergeCell ref="D280:D281"/>
    <mergeCell ref="E280:E281"/>
    <mergeCell ref="F286:F287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D268:D269"/>
    <mergeCell ref="E268:E269"/>
    <mergeCell ref="D270:D271"/>
    <mergeCell ref="E270:E271"/>
    <mergeCell ref="D272:D273"/>
    <mergeCell ref="E272:E273"/>
    <mergeCell ref="D276:D277"/>
    <mergeCell ref="E276:E277"/>
    <mergeCell ref="D278:D279"/>
    <mergeCell ref="E278:E279"/>
    <mergeCell ref="D274:D275"/>
    <mergeCell ref="E274:E275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A226:A227"/>
    <mergeCell ref="B226:B227"/>
    <mergeCell ref="C226:C227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0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447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3</v>
      </c>
      <c r="J9" s="62">
        <v>3</v>
      </c>
      <c r="K9" s="62">
        <v>3901.75</v>
      </c>
      <c r="L9" s="205">
        <v>2</v>
      </c>
      <c r="M9" s="26">
        <f t="shared" ref="M9:M31" si="0">N9+O9</f>
        <v>3345.04</v>
      </c>
      <c r="N9" s="30">
        <v>3345.04</v>
      </c>
      <c r="O9" s="28"/>
      <c r="P9" s="29">
        <v>14</v>
      </c>
      <c r="Q9" s="30">
        <v>40163.040000000001</v>
      </c>
      <c r="R9" s="205">
        <v>13</v>
      </c>
      <c r="S9" s="26">
        <f t="shared" ref="S9:S31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10</v>
      </c>
      <c r="I11" s="203">
        <v>9</v>
      </c>
      <c r="J11" s="203">
        <v>12</v>
      </c>
      <c r="K11" s="65">
        <v>26603.58</v>
      </c>
      <c r="L11" s="224">
        <v>7</v>
      </c>
      <c r="M11" s="50">
        <f t="shared" si="0"/>
        <v>13908.85</v>
      </c>
      <c r="N11" s="65">
        <v>13908.85</v>
      </c>
      <c r="O11" s="52"/>
      <c r="P11" s="53">
        <v>12</v>
      </c>
      <c r="Q11" s="30">
        <v>79204.2</v>
      </c>
      <c r="R11" s="205">
        <v>9</v>
      </c>
      <c r="S11" s="26">
        <f t="shared" si="1"/>
        <v>67281.350000000006</v>
      </c>
      <c r="T11" s="30">
        <v>67281.350000000006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130">
        <v>1</v>
      </c>
      <c r="J12" s="130">
        <v>1</v>
      </c>
      <c r="K12" s="114">
        <v>1152.5999999999999</v>
      </c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12</v>
      </c>
      <c r="I13" s="62">
        <v>10</v>
      </c>
      <c r="J13" s="62">
        <v>16</v>
      </c>
      <c r="K13" s="30">
        <v>40078.93</v>
      </c>
      <c r="L13" s="205">
        <v>16</v>
      </c>
      <c r="M13" s="26">
        <f t="shared" si="0"/>
        <v>40078.93</v>
      </c>
      <c r="N13" s="30">
        <v>40078.93</v>
      </c>
      <c r="O13" s="299"/>
      <c r="P13" s="64">
        <v>18</v>
      </c>
      <c r="Q13" s="65">
        <v>80536.960000000006</v>
      </c>
      <c r="R13" s="224">
        <v>18</v>
      </c>
      <c r="S13" s="50">
        <f t="shared" si="1"/>
        <v>80536.960000000006</v>
      </c>
      <c r="T13" s="65">
        <v>80536.960000000006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3</v>
      </c>
      <c r="I14" s="37">
        <v>1</v>
      </c>
      <c r="J14" s="37">
        <v>1</v>
      </c>
      <c r="K14" s="68">
        <v>1344.7</v>
      </c>
      <c r="L14" s="40"/>
      <c r="M14" s="39">
        <f t="shared" si="0"/>
        <v>0</v>
      </c>
      <c r="N14" s="39"/>
      <c r="O14" s="41"/>
      <c r="P14" s="67">
        <v>4</v>
      </c>
      <c r="Q14" s="68">
        <v>24204.6</v>
      </c>
      <c r="R14" s="285">
        <v>3</v>
      </c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90">
        <v>1</v>
      </c>
      <c r="M16" s="211">
        <f t="shared" si="0"/>
        <v>576.29999999999995</v>
      </c>
      <c r="N16" s="211">
        <f>576.3</f>
        <v>576.29999999999995</v>
      </c>
      <c r="O16" s="212"/>
      <c r="P16" s="262">
        <v>5</v>
      </c>
      <c r="Q16" s="209">
        <v>9605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10</v>
      </c>
      <c r="I17" s="62">
        <v>4</v>
      </c>
      <c r="J17" s="62">
        <v>4</v>
      </c>
      <c r="K17" s="30">
        <v>4141.68</v>
      </c>
      <c r="L17" s="205">
        <v>4</v>
      </c>
      <c r="M17" s="26">
        <f t="shared" si="0"/>
        <v>4141.68</v>
      </c>
      <c r="N17" s="30">
        <v>4141.68</v>
      </c>
      <c r="O17" s="264"/>
      <c r="P17" s="53">
        <v>11</v>
      </c>
      <c r="Q17" s="30">
        <v>26586.84</v>
      </c>
      <c r="R17" s="205">
        <v>11</v>
      </c>
      <c r="S17" s="26">
        <f t="shared" si="1"/>
        <v>26586.84</v>
      </c>
      <c r="T17" s="30">
        <v>26586.84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4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8</v>
      </c>
      <c r="I19" s="266">
        <v>6</v>
      </c>
      <c r="J19" s="266">
        <v>9</v>
      </c>
      <c r="K19" s="79">
        <v>16872.189999999999</v>
      </c>
      <c r="L19" s="268">
        <v>8</v>
      </c>
      <c r="M19" s="81">
        <f t="shared" si="0"/>
        <v>13014.04</v>
      </c>
      <c r="N19" s="79">
        <v>13014.04</v>
      </c>
      <c r="O19" s="269"/>
      <c r="P19" s="267">
        <v>10</v>
      </c>
      <c r="Q19" s="79">
        <v>22605.93</v>
      </c>
      <c r="R19" s="268">
        <v>10</v>
      </c>
      <c r="S19" s="81">
        <f t="shared" si="1"/>
        <v>22605.93</v>
      </c>
      <c r="T19" s="79">
        <v>22605.93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285">
        <v>2</v>
      </c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9</v>
      </c>
      <c r="J21" s="203">
        <v>16</v>
      </c>
      <c r="K21" s="65">
        <v>23101.61</v>
      </c>
      <c r="L21" s="224">
        <v>16</v>
      </c>
      <c r="M21" s="50">
        <f t="shared" si="0"/>
        <v>23101.61</v>
      </c>
      <c r="N21" s="65">
        <v>23101.61</v>
      </c>
      <c r="O21" s="225"/>
      <c r="P21" s="53">
        <v>14</v>
      </c>
      <c r="Q21" s="30">
        <v>22822.54</v>
      </c>
      <c r="R21" s="205">
        <v>14</v>
      </c>
      <c r="S21" s="26">
        <f t="shared" si="1"/>
        <v>22822.54</v>
      </c>
      <c r="T21" s="30">
        <v>22822.54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4262.51</v>
      </c>
      <c r="L23" s="205">
        <v>6</v>
      </c>
      <c r="M23" s="26">
        <f t="shared" si="0"/>
        <v>4262.51</v>
      </c>
      <c r="N23" s="30">
        <v>4262.51</v>
      </c>
      <c r="O23" s="225"/>
      <c r="P23" s="53">
        <v>7</v>
      </c>
      <c r="Q23" s="30">
        <v>8390.39</v>
      </c>
      <c r="R23" s="205">
        <v>5</v>
      </c>
      <c r="S23" s="26">
        <f t="shared" si="1"/>
        <v>8390.39</v>
      </c>
      <c r="T23" s="30">
        <v>8390.39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16</v>
      </c>
      <c r="K25" s="65">
        <v>28621.200000000001</v>
      </c>
      <c r="L25" s="224">
        <v>16</v>
      </c>
      <c r="M25" s="50">
        <f t="shared" si="0"/>
        <v>28621.200000000001</v>
      </c>
      <c r="N25" s="65">
        <v>28621.200000000001</v>
      </c>
      <c r="O25" s="225"/>
      <c r="P25" s="53">
        <v>14</v>
      </c>
      <c r="Q25" s="30">
        <v>24633.09</v>
      </c>
      <c r="R25" s="205">
        <v>13</v>
      </c>
      <c r="S25" s="26">
        <f t="shared" si="1"/>
        <v>23258.73</v>
      </c>
      <c r="T25" s="30">
        <v>23258.73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33">
        <v>1</v>
      </c>
      <c r="I26" s="57"/>
      <c r="J26" s="57"/>
      <c r="K26" s="43"/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4</v>
      </c>
      <c r="S26" s="39">
        <f t="shared" si="1"/>
        <v>14036.900000000001</v>
      </c>
      <c r="T26" s="68">
        <f>4302+3533.6+960.5+5240.8</f>
        <v>14036.900000000001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4</v>
      </c>
      <c r="Q28" s="114">
        <v>10949.7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7</v>
      </c>
      <c r="I31" s="203">
        <v>4</v>
      </c>
      <c r="J31" s="203">
        <v>4</v>
      </c>
      <c r="K31" s="65">
        <v>6108.54</v>
      </c>
      <c r="L31" s="224">
        <v>4</v>
      </c>
      <c r="M31" s="50">
        <f t="shared" si="0"/>
        <v>6108.54</v>
      </c>
      <c r="N31" s="65">
        <v>6108.54</v>
      </c>
      <c r="O31" s="225"/>
      <c r="P31" s="108">
        <v>9</v>
      </c>
      <c r="Q31" s="65">
        <v>26163.18</v>
      </c>
      <c r="R31" s="224">
        <v>9</v>
      </c>
      <c r="S31" s="50">
        <f t="shared" si="1"/>
        <v>26163.18</v>
      </c>
      <c r="T31" s="65">
        <v>26163.18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4</v>
      </c>
      <c r="M32" s="114">
        <v>11526</v>
      </c>
      <c r="N32" s="114">
        <v>11526</v>
      </c>
      <c r="O32" s="222"/>
      <c r="P32" s="113">
        <v>6</v>
      </c>
      <c r="Q32" s="114">
        <v>16232.45</v>
      </c>
      <c r="R32" s="270">
        <v>5</v>
      </c>
      <c r="S32" s="114">
        <v>13543.05</v>
      </c>
      <c r="T32" s="114">
        <v>13543.05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21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5</v>
      </c>
      <c r="J35" s="203">
        <v>5</v>
      </c>
      <c r="K35" s="65">
        <v>5443.67</v>
      </c>
      <c r="L35" s="224">
        <v>5</v>
      </c>
      <c r="M35" s="50">
        <f t="shared" si="2"/>
        <v>5443.67</v>
      </c>
      <c r="N35" s="65">
        <v>5443.67</v>
      </c>
      <c r="O35" s="31"/>
      <c r="P35" s="64">
        <v>4</v>
      </c>
      <c r="Q35" s="65">
        <v>14213.44</v>
      </c>
      <c r="R35" s="317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5</v>
      </c>
      <c r="I36" s="208">
        <v>3</v>
      </c>
      <c r="J36" s="208">
        <v>3</v>
      </c>
      <c r="K36" s="209">
        <v>4802.5</v>
      </c>
      <c r="L36" s="290">
        <v>2</v>
      </c>
      <c r="M36" s="211">
        <f t="shared" si="2"/>
        <v>1728.8999999999999</v>
      </c>
      <c r="N36" s="209">
        <f>1152.6+576.3</f>
        <v>1728.8999999999999</v>
      </c>
      <c r="O36" s="212"/>
      <c r="P36" s="304">
        <v>2</v>
      </c>
      <c r="Q36" s="209">
        <v>9182.3799999999992</v>
      </c>
      <c r="R36" s="325">
        <v>3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2</v>
      </c>
      <c r="I41" s="62">
        <v>1</v>
      </c>
      <c r="J41" s="62">
        <v>1</v>
      </c>
      <c r="K41" s="30">
        <v>1901.79</v>
      </c>
      <c r="L41" s="27"/>
      <c r="M41" s="26">
        <f t="shared" si="2"/>
        <v>0</v>
      </c>
      <c r="N41" s="26"/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10</v>
      </c>
      <c r="I43" s="266">
        <v>9</v>
      </c>
      <c r="J43" s="266">
        <v>9</v>
      </c>
      <c r="K43" s="79">
        <v>10392.620000000001</v>
      </c>
      <c r="L43" s="268">
        <v>9</v>
      </c>
      <c r="M43" s="81">
        <f t="shared" si="2"/>
        <v>10392.620000000001</v>
      </c>
      <c r="N43" s="79">
        <v>10392.620000000001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10</v>
      </c>
      <c r="I45" s="62">
        <v>7</v>
      </c>
      <c r="J45" s="62">
        <v>8</v>
      </c>
      <c r="K45" s="30">
        <v>8567.49</v>
      </c>
      <c r="L45" s="205">
        <v>8</v>
      </c>
      <c r="M45" s="26">
        <f t="shared" si="2"/>
        <v>8567.49</v>
      </c>
      <c r="N45" s="30">
        <v>8567.49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6</v>
      </c>
      <c r="I46" s="208">
        <v>1</v>
      </c>
      <c r="J46" s="208">
        <v>1</v>
      </c>
      <c r="K46" s="209">
        <v>4728</v>
      </c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4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7</v>
      </c>
      <c r="Q53" s="65">
        <v>15242.58</v>
      </c>
      <c r="R53" s="224">
        <v>7</v>
      </c>
      <c r="S53" s="50">
        <f t="shared" si="3"/>
        <v>15242.58</v>
      </c>
      <c r="T53" s="65">
        <v>15242.58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11</v>
      </c>
      <c r="S54" s="39">
        <f t="shared" si="3"/>
        <v>23705.43</v>
      </c>
      <c r="T54" s="68">
        <f>2209.2+576.3+13639.1+1921+1921+3438.83</f>
        <v>23705.43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4</v>
      </c>
      <c r="I55" s="203">
        <v>3</v>
      </c>
      <c r="J55" s="203">
        <v>4</v>
      </c>
      <c r="K55" s="65">
        <v>5583.17</v>
      </c>
      <c r="L55" s="224">
        <v>3</v>
      </c>
      <c r="M55" s="50">
        <f t="shared" si="2"/>
        <v>3609.92</v>
      </c>
      <c r="N55" s="65">
        <v>3609.92</v>
      </c>
      <c r="O55" s="31"/>
      <c r="P55" s="53">
        <v>3</v>
      </c>
      <c r="Q55" s="30">
        <v>9783.23</v>
      </c>
      <c r="R55" s="205">
        <v>3</v>
      </c>
      <c r="S55" s="26">
        <f t="shared" si="3"/>
        <v>9783.23</v>
      </c>
      <c r="T55" s="30">
        <v>9783.23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9</v>
      </c>
      <c r="I57" s="62">
        <v>6</v>
      </c>
      <c r="J57" s="62">
        <v>7</v>
      </c>
      <c r="K57" s="30">
        <v>14217.9</v>
      </c>
      <c r="L57" s="205">
        <v>7</v>
      </c>
      <c r="M57" s="26">
        <f t="shared" si="2"/>
        <v>14217.9</v>
      </c>
      <c r="N57" s="30">
        <v>14217.9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2</v>
      </c>
      <c r="J58" s="37">
        <v>2</v>
      </c>
      <c r="K58" s="68">
        <v>2497.3000000000002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285">
        <v>1</v>
      </c>
      <c r="S58" s="39">
        <f t="shared" si="3"/>
        <v>144.08000000000001</v>
      </c>
      <c r="T58" s="39">
        <f>144.08</f>
        <v>144.08000000000001</v>
      </c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14</v>
      </c>
      <c r="K59" s="65">
        <v>21010.75</v>
      </c>
      <c r="L59" s="224">
        <v>14</v>
      </c>
      <c r="M59" s="50">
        <f t="shared" si="2"/>
        <v>20189.29</v>
      </c>
      <c r="N59" s="65">
        <v>20189.29</v>
      </c>
      <c r="O59" s="225"/>
      <c r="P59" s="53">
        <v>34</v>
      </c>
      <c r="Q59" s="30">
        <v>80148.39</v>
      </c>
      <c r="R59" s="205">
        <v>34</v>
      </c>
      <c r="S59" s="26">
        <f t="shared" si="3"/>
        <v>84115.22</v>
      </c>
      <c r="T59" s="30">
        <v>84115.22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7</v>
      </c>
      <c r="I61" s="62">
        <v>3</v>
      </c>
      <c r="J61" s="62">
        <v>3</v>
      </c>
      <c r="K61" s="30">
        <v>5443.83</v>
      </c>
      <c r="L61" s="205">
        <v>3</v>
      </c>
      <c r="M61" s="26">
        <f t="shared" si="2"/>
        <v>5443.83</v>
      </c>
      <c r="N61" s="30">
        <v>5443.83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5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5</v>
      </c>
      <c r="I63" s="62">
        <v>1</v>
      </c>
      <c r="J63" s="62">
        <v>1</v>
      </c>
      <c r="K63" s="30">
        <v>2531.11</v>
      </c>
      <c r="L63" s="205">
        <v>1</v>
      </c>
      <c r="M63" s="26">
        <f t="shared" si="2"/>
        <v>2531.11</v>
      </c>
      <c r="N63" s="30">
        <v>2531.11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5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5</v>
      </c>
      <c r="I65" s="266">
        <v>3</v>
      </c>
      <c r="J65" s="266">
        <v>3</v>
      </c>
      <c r="K65" s="79">
        <v>10543.17</v>
      </c>
      <c r="L65" s="268">
        <v>3</v>
      </c>
      <c r="M65" s="81">
        <f t="shared" si="2"/>
        <v>10543.17</v>
      </c>
      <c r="N65" s="79">
        <v>10543.17</v>
      </c>
      <c r="O65" s="219"/>
      <c r="P65" s="267">
        <v>3</v>
      </c>
      <c r="Q65" s="79">
        <v>4835.93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4</v>
      </c>
      <c r="I66" s="130">
        <v>3</v>
      </c>
      <c r="J66" s="130">
        <v>3</v>
      </c>
      <c r="K66" s="114">
        <v>5196.28</v>
      </c>
      <c r="L66" s="316">
        <v>3</v>
      </c>
      <c r="M66" s="129">
        <f t="shared" si="2"/>
        <v>5196.2800000000007</v>
      </c>
      <c r="N66" s="43">
        <f>1344.7+1738.48+2113.1</f>
        <v>5196.2800000000007</v>
      </c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15</v>
      </c>
      <c r="S69" s="50">
        <f t="shared" si="3"/>
        <v>73353.95</v>
      </c>
      <c r="T69" s="65">
        <v>73353.95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5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270">
        <v>1</v>
      </c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8</v>
      </c>
      <c r="J71" s="62">
        <v>9</v>
      </c>
      <c r="K71" s="30">
        <v>21654.32</v>
      </c>
      <c r="L71" s="205">
        <v>9</v>
      </c>
      <c r="M71" s="26">
        <f t="shared" si="2"/>
        <v>21654.32</v>
      </c>
      <c r="N71" s="30">
        <v>21654.32</v>
      </c>
      <c r="O71" s="225"/>
      <c r="P71" s="29">
        <v>5</v>
      </c>
      <c r="Q71" s="30">
        <v>10539.19</v>
      </c>
      <c r="R71" s="205">
        <v>4</v>
      </c>
      <c r="S71" s="26">
        <f t="shared" si="3"/>
        <v>2984.28</v>
      </c>
      <c r="T71" s="30">
        <v>2984.28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4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7</v>
      </c>
      <c r="I75" s="62">
        <v>4</v>
      </c>
      <c r="J75" s="62">
        <v>7</v>
      </c>
      <c r="K75" s="30">
        <v>13908.09</v>
      </c>
      <c r="L75" s="205">
        <v>7</v>
      </c>
      <c r="M75" s="26">
        <f t="shared" si="2"/>
        <v>13908.09</v>
      </c>
      <c r="N75" s="30">
        <v>13908.09</v>
      </c>
      <c r="O75" s="31"/>
      <c r="P75" s="53">
        <v>2</v>
      </c>
      <c r="Q75" s="30">
        <v>4729.9799999999996</v>
      </c>
      <c r="R75" s="205">
        <v>2</v>
      </c>
      <c r="S75" s="26">
        <f t="shared" si="3"/>
        <v>4729.9799999999996</v>
      </c>
      <c r="T75" s="30">
        <v>4729.9799999999996</v>
      </c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1</v>
      </c>
      <c r="J76" s="37">
        <v>1</v>
      </c>
      <c r="K76" s="68">
        <v>576.29999999999995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6</v>
      </c>
      <c r="J77" s="203">
        <v>9</v>
      </c>
      <c r="K77" s="114">
        <v>12064.84</v>
      </c>
      <c r="L77" s="224">
        <v>9</v>
      </c>
      <c r="M77" s="50">
        <f t="shared" ref="M77:M93" si="4">N77+O77</f>
        <v>12064.84</v>
      </c>
      <c r="N77" s="65">
        <v>12064.84</v>
      </c>
      <c r="O77" s="225"/>
      <c r="P77" s="108">
        <v>10</v>
      </c>
      <c r="Q77" s="65">
        <v>40632.5</v>
      </c>
      <c r="R77" s="224">
        <v>10</v>
      </c>
      <c r="S77" s="50">
        <f t="shared" si="3"/>
        <v>40632.5</v>
      </c>
      <c r="T77" s="65">
        <v>40632.5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30</v>
      </c>
      <c r="I79" s="62">
        <v>24</v>
      </c>
      <c r="J79" s="62">
        <v>37</v>
      </c>
      <c r="K79" s="30">
        <v>75742.87</v>
      </c>
      <c r="L79" s="205">
        <v>38</v>
      </c>
      <c r="M79" s="26">
        <f t="shared" si="4"/>
        <v>75742.87</v>
      </c>
      <c r="N79" s="30">
        <v>75742.87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6</v>
      </c>
      <c r="I81" s="62">
        <v>3</v>
      </c>
      <c r="J81" s="62">
        <v>3</v>
      </c>
      <c r="K81" s="30">
        <v>4115.55</v>
      </c>
      <c r="L81" s="205">
        <v>3</v>
      </c>
      <c r="M81" s="26">
        <f t="shared" si="4"/>
        <v>4115.55</v>
      </c>
      <c r="N81" s="30">
        <v>4115.55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>
        <v>1</v>
      </c>
      <c r="J82" s="208">
        <v>1</v>
      </c>
      <c r="K82" s="209">
        <v>2305.1999999999998</v>
      </c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13</v>
      </c>
      <c r="K85" s="79">
        <v>22197.56</v>
      </c>
      <c r="L85" s="268">
        <v>13</v>
      </c>
      <c r="M85" s="81">
        <f t="shared" si="4"/>
        <v>22197.56</v>
      </c>
      <c r="N85" s="79">
        <v>22197.56</v>
      </c>
      <c r="O85" s="269"/>
      <c r="P85" s="267">
        <v>10</v>
      </c>
      <c r="Q85" s="79">
        <v>23116.35</v>
      </c>
      <c r="R85" s="268">
        <v>9</v>
      </c>
      <c r="S85" s="81">
        <f t="shared" si="3"/>
        <v>22011.75</v>
      </c>
      <c r="T85" s="79">
        <v>22011.75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2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151">
        <v>1</v>
      </c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8</v>
      </c>
      <c r="S91" s="26">
        <f t="shared" si="3"/>
        <v>23413.73</v>
      </c>
      <c r="T91" s="30">
        <v>23413.73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10</v>
      </c>
      <c r="J93" s="62">
        <v>11</v>
      </c>
      <c r="K93" s="30">
        <v>18341.61</v>
      </c>
      <c r="L93" s="205">
        <v>11</v>
      </c>
      <c r="M93" s="26">
        <f t="shared" si="4"/>
        <v>18341.61</v>
      </c>
      <c r="N93" s="30">
        <v>18341.61</v>
      </c>
      <c r="O93" s="31"/>
      <c r="P93" s="53">
        <v>10</v>
      </c>
      <c r="Q93" s="30">
        <v>37445.699999999997</v>
      </c>
      <c r="R93" s="205">
        <v>9</v>
      </c>
      <c r="S93" s="26">
        <f t="shared" si="3"/>
        <v>32936.699999999997</v>
      </c>
      <c r="T93" s="30">
        <v>32936.699999999997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7</v>
      </c>
      <c r="I94" s="37">
        <v>4</v>
      </c>
      <c r="J94" s="37">
        <v>4</v>
      </c>
      <c r="K94" s="68">
        <v>4725.66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5</v>
      </c>
      <c r="I95" s="203">
        <v>2</v>
      </c>
      <c r="J95" s="203">
        <v>2</v>
      </c>
      <c r="K95" s="65">
        <v>2539.56</v>
      </c>
      <c r="L95" s="224">
        <v>1</v>
      </c>
      <c r="M95" s="50">
        <f t="shared" ref="M95:M118" si="5">N95+O95</f>
        <v>697.32</v>
      </c>
      <c r="N95" s="65">
        <v>697.32</v>
      </c>
      <c r="O95" s="31"/>
      <c r="P95" s="108">
        <v>8</v>
      </c>
      <c r="Q95" s="65">
        <v>93924.24</v>
      </c>
      <c r="R95" s="224">
        <v>8</v>
      </c>
      <c r="S95" s="50">
        <f t="shared" ref="S95:S101" si="6">T95+U95</f>
        <v>93924.24</v>
      </c>
      <c r="T95" s="65">
        <v>93924.24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1</v>
      </c>
      <c r="I96" s="130">
        <v>1</v>
      </c>
      <c r="J96" s="130">
        <v>1</v>
      </c>
      <c r="K96" s="114">
        <v>1344.7</v>
      </c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2</v>
      </c>
      <c r="I97" s="62">
        <v>2</v>
      </c>
      <c r="J97" s="62">
        <v>2</v>
      </c>
      <c r="K97" s="30">
        <v>6064.6</v>
      </c>
      <c r="L97" s="205">
        <v>2</v>
      </c>
      <c r="M97" s="26">
        <f t="shared" si="5"/>
        <v>6064.6</v>
      </c>
      <c r="N97" s="30">
        <v>6064.6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2</v>
      </c>
      <c r="I98" s="130">
        <v>1</v>
      </c>
      <c r="J98" s="130">
        <v>1</v>
      </c>
      <c r="K98" s="114">
        <v>552.29999999999995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2</v>
      </c>
      <c r="I99" s="62">
        <v>2</v>
      </c>
      <c r="J99" s="62">
        <v>3</v>
      </c>
      <c r="K99" s="30">
        <v>4738.63</v>
      </c>
      <c r="L99" s="205">
        <v>3</v>
      </c>
      <c r="M99" s="26">
        <f t="shared" si="5"/>
        <v>4738.63</v>
      </c>
      <c r="N99" s="30">
        <v>4738.63</v>
      </c>
      <c r="O99" s="225"/>
      <c r="P99" s="53">
        <v>3</v>
      </c>
      <c r="Q99" s="30">
        <v>15479.57</v>
      </c>
      <c r="R99" s="205">
        <v>3</v>
      </c>
      <c r="S99" s="26">
        <f t="shared" si="6"/>
        <v>15479.57</v>
      </c>
      <c r="T99" s="30">
        <v>15479.57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6</v>
      </c>
      <c r="I101" s="62">
        <v>4</v>
      </c>
      <c r="J101" s="62">
        <v>4</v>
      </c>
      <c r="K101" s="30">
        <v>10036.370000000001</v>
      </c>
      <c r="L101" s="205">
        <v>2</v>
      </c>
      <c r="M101" s="26">
        <f t="shared" si="5"/>
        <v>6578.57</v>
      </c>
      <c r="N101" s="30">
        <v>6578.57</v>
      </c>
      <c r="O101" s="31"/>
      <c r="P101" s="53">
        <v>20</v>
      </c>
      <c r="Q101" s="30">
        <v>47266.68</v>
      </c>
      <c r="R101" s="205">
        <v>20</v>
      </c>
      <c r="S101" s="26">
        <f t="shared" si="6"/>
        <v>47266.68</v>
      </c>
      <c r="T101" s="30">
        <v>47266.68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4</v>
      </c>
      <c r="J102" s="130">
        <v>4</v>
      </c>
      <c r="K102" s="114">
        <v>4994.6000000000004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7</v>
      </c>
      <c r="Q102" s="114">
        <v>19417.740000000002</v>
      </c>
      <c r="R102" s="270">
        <v>7</v>
      </c>
      <c r="S102" s="114">
        <v>19417.740000000002</v>
      </c>
      <c r="T102" s="114">
        <v>19417.740000000002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6</v>
      </c>
      <c r="I103" s="62">
        <v>5</v>
      </c>
      <c r="J103" s="62">
        <v>5</v>
      </c>
      <c r="K103" s="30">
        <v>3208.34</v>
      </c>
      <c r="L103" s="205">
        <v>5</v>
      </c>
      <c r="M103" s="26">
        <f t="shared" si="5"/>
        <v>3208.34</v>
      </c>
      <c r="N103" s="30">
        <v>3208.34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7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5</v>
      </c>
      <c r="I104" s="208">
        <v>4</v>
      </c>
      <c r="J104" s="208">
        <v>4</v>
      </c>
      <c r="K104" s="209">
        <v>5955.1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270">
        <v>1</v>
      </c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10</v>
      </c>
      <c r="I105" s="62">
        <v>6</v>
      </c>
      <c r="J105" s="62">
        <v>8</v>
      </c>
      <c r="K105" s="30">
        <v>17278.02</v>
      </c>
      <c r="L105" s="205">
        <v>8</v>
      </c>
      <c r="M105" s="26">
        <f t="shared" si="5"/>
        <v>17278.02</v>
      </c>
      <c r="N105" s="30">
        <v>17278.02</v>
      </c>
      <c r="O105" s="241"/>
      <c r="P105" s="214">
        <v>12</v>
      </c>
      <c r="Q105" s="30">
        <v>50650.69</v>
      </c>
      <c r="R105" s="205">
        <v>12</v>
      </c>
      <c r="S105" s="26">
        <f t="shared" si="7"/>
        <v>50650.69</v>
      </c>
      <c r="T105" s="30">
        <v>50650.69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6</v>
      </c>
      <c r="I106" s="286">
        <v>3</v>
      </c>
      <c r="J106" s="286">
        <v>3</v>
      </c>
      <c r="K106" s="287">
        <v>6915.6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285">
        <v>3</v>
      </c>
      <c r="S106" s="39">
        <f t="shared" si="7"/>
        <v>8740.5499999999993</v>
      </c>
      <c r="T106" s="68">
        <f>1056.55+3457.8+4226.2</f>
        <v>8740.5499999999993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5</v>
      </c>
      <c r="Q107" s="65">
        <v>33607.81</v>
      </c>
      <c r="R107" s="224">
        <v>4</v>
      </c>
      <c r="S107" s="50">
        <f t="shared" si="7"/>
        <v>17684.7</v>
      </c>
      <c r="T107" s="65">
        <v>17684.7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285">
        <v>1</v>
      </c>
      <c r="M108" s="39">
        <f t="shared" si="5"/>
        <v>864.15</v>
      </c>
      <c r="N108" s="39">
        <f>864.15</f>
        <v>864.15</v>
      </c>
      <c r="O108" s="41"/>
      <c r="P108" s="115">
        <v>1</v>
      </c>
      <c r="Q108" s="68">
        <v>1152.5999999999999</v>
      </c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6</v>
      </c>
      <c r="M109" s="50">
        <f t="shared" si="5"/>
        <v>10235.59</v>
      </c>
      <c r="N109" s="65">
        <v>10235.59</v>
      </c>
      <c r="O109" s="225"/>
      <c r="P109" s="108">
        <v>9</v>
      </c>
      <c r="Q109" s="65">
        <v>19656.830000000002</v>
      </c>
      <c r="R109" s="224">
        <v>9</v>
      </c>
      <c r="S109" s="50">
        <f t="shared" si="7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4</v>
      </c>
      <c r="M110" s="50">
        <f t="shared" si="5"/>
        <v>4428.0999999999995</v>
      </c>
      <c r="N110" s="43">
        <f>1290.6+1152.6+1290.6+694.3</f>
        <v>4428.0999999999995</v>
      </c>
      <c r="O110" s="41"/>
      <c r="P110" s="113">
        <v>3</v>
      </c>
      <c r="Q110" s="114">
        <v>14347.1</v>
      </c>
      <c r="R110" s="270">
        <v>3</v>
      </c>
      <c r="S110" s="43">
        <f t="shared" si="7"/>
        <v>12810.6</v>
      </c>
      <c r="T110" s="114">
        <f>4358.2+3649.9+4802.5</f>
        <v>12810.6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3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5"/>
        <v>3538.71</v>
      </c>
      <c r="N111" s="30">
        <v>3538.71</v>
      </c>
      <c r="O111" s="225"/>
      <c r="P111" s="53">
        <v>6</v>
      </c>
      <c r="Q111" s="30">
        <v>12782.06</v>
      </c>
      <c r="R111" s="205">
        <v>6</v>
      </c>
      <c r="S111" s="26">
        <f t="shared" si="7"/>
        <v>12782.06</v>
      </c>
      <c r="T111" s="30">
        <v>12782.06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4</v>
      </c>
      <c r="I112" s="37">
        <v>3</v>
      </c>
      <c r="J112" s="37">
        <v>3</v>
      </c>
      <c r="K112" s="68">
        <v>5628.8</v>
      </c>
      <c r="L112" s="285">
        <v>2</v>
      </c>
      <c r="M112" s="39">
        <f t="shared" si="5"/>
        <v>4934.5</v>
      </c>
      <c r="N112" s="39">
        <f>1580.8+3353.7</f>
        <v>4934.5</v>
      </c>
      <c r="O112" s="41"/>
      <c r="P112" s="115">
        <v>2</v>
      </c>
      <c r="Q112" s="68">
        <v>3490.8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17</v>
      </c>
      <c r="I113" s="203">
        <v>7</v>
      </c>
      <c r="J113" s="203">
        <v>7</v>
      </c>
      <c r="K113" s="65">
        <v>16886.599999999999</v>
      </c>
      <c r="L113" s="224">
        <v>7</v>
      </c>
      <c r="M113" s="50">
        <f t="shared" si="5"/>
        <v>16886.599999999999</v>
      </c>
      <c r="N113" s="65">
        <v>16886.599999999999</v>
      </c>
      <c r="O113" s="225"/>
      <c r="P113" s="108">
        <v>18</v>
      </c>
      <c r="Q113" s="65">
        <v>49334.39</v>
      </c>
      <c r="R113" s="224">
        <v>14</v>
      </c>
      <c r="S113" s="50">
        <f t="shared" si="7"/>
        <v>44291.41</v>
      </c>
      <c r="T113" s="65">
        <v>44291.41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7</v>
      </c>
      <c r="I115" s="62">
        <v>5</v>
      </c>
      <c r="J115" s="62">
        <v>5</v>
      </c>
      <c r="K115" s="30">
        <v>4306.6099999999997</v>
      </c>
      <c r="L115" s="205">
        <v>5</v>
      </c>
      <c r="M115" s="26">
        <f t="shared" si="5"/>
        <v>4306.6099999999997</v>
      </c>
      <c r="N115" s="30">
        <v>4306.6099999999997</v>
      </c>
      <c r="O115" s="31"/>
      <c r="P115" s="53">
        <v>9</v>
      </c>
      <c r="Q115" s="30">
        <v>63620.18</v>
      </c>
      <c r="R115" s="205">
        <v>9</v>
      </c>
      <c r="S115" s="26">
        <f t="shared" si="7"/>
        <v>63620.18</v>
      </c>
      <c r="T115" s="30">
        <v>63620.18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4</v>
      </c>
      <c r="I116" s="57"/>
      <c r="J116" s="57"/>
      <c r="K116" s="43"/>
      <c r="L116" s="270">
        <v>1</v>
      </c>
      <c r="M116" s="43">
        <f t="shared" si="5"/>
        <v>576.29999999999995</v>
      </c>
      <c r="N116" s="43">
        <f>576.3</f>
        <v>576.29999999999995</v>
      </c>
      <c r="O116" s="41"/>
      <c r="P116" s="113">
        <v>2</v>
      </c>
      <c r="Q116" s="114">
        <v>2881.5</v>
      </c>
      <c r="R116" s="270">
        <v>2</v>
      </c>
      <c r="S116" s="43">
        <f t="shared" si="7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10</v>
      </c>
      <c r="I117" s="62">
        <v>9</v>
      </c>
      <c r="J117" s="62">
        <v>9</v>
      </c>
      <c r="K117" s="30">
        <v>8773.83</v>
      </c>
      <c r="L117" s="205">
        <v>9</v>
      </c>
      <c r="M117" s="26">
        <f t="shared" si="5"/>
        <v>8773.83</v>
      </c>
      <c r="N117" s="30">
        <v>8773.83</v>
      </c>
      <c r="O117" s="31"/>
      <c r="P117" s="53">
        <v>7</v>
      </c>
      <c r="Q117" s="30">
        <v>28154.06</v>
      </c>
      <c r="R117" s="205">
        <v>7</v>
      </c>
      <c r="S117" s="26">
        <f t="shared" si="7"/>
        <v>28154.06</v>
      </c>
      <c r="T117" s="30">
        <v>28154.06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285">
        <v>1</v>
      </c>
      <c r="M119" s="68">
        <v>2881.5</v>
      </c>
      <c r="N119" s="68">
        <v>2881.5</v>
      </c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4356.83</v>
      </c>
      <c r="L120" s="224">
        <v>1</v>
      </c>
      <c r="M120" s="50">
        <f t="shared" ref="M120:M149" si="8">N120+O120</f>
        <v>1267.8599999999999</v>
      </c>
      <c r="N120" s="65">
        <v>1267.8599999999999</v>
      </c>
      <c r="O120" s="31"/>
      <c r="P120" s="108">
        <v>6</v>
      </c>
      <c r="Q120" s="65">
        <v>22014.58</v>
      </c>
      <c r="R120" s="224">
        <v>3</v>
      </c>
      <c r="S120" s="50">
        <f t="shared" si="7"/>
        <v>9678.9</v>
      </c>
      <c r="T120" s="65">
        <v>9678.9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8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6</v>
      </c>
      <c r="I122" s="62">
        <v>4</v>
      </c>
      <c r="J122" s="62">
        <v>5</v>
      </c>
      <c r="K122" s="30">
        <v>5109.87</v>
      </c>
      <c r="L122" s="205">
        <v>5</v>
      </c>
      <c r="M122" s="26">
        <f t="shared" si="8"/>
        <v>5109.87</v>
      </c>
      <c r="N122" s="30">
        <v>5109.87</v>
      </c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8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12</v>
      </c>
      <c r="I124" s="62">
        <v>10</v>
      </c>
      <c r="J124" s="62">
        <v>16</v>
      </c>
      <c r="K124" s="30">
        <v>34743.61</v>
      </c>
      <c r="L124" s="205">
        <v>16</v>
      </c>
      <c r="M124" s="26">
        <f t="shared" si="8"/>
        <v>34743.61</v>
      </c>
      <c r="N124" s="30">
        <v>34743.61</v>
      </c>
      <c r="O124" s="225"/>
      <c r="P124" s="53">
        <v>10</v>
      </c>
      <c r="Q124" s="30">
        <v>25611.57</v>
      </c>
      <c r="R124" s="205">
        <v>10</v>
      </c>
      <c r="S124" s="26">
        <f t="shared" si="7"/>
        <v>25611.57</v>
      </c>
      <c r="T124" s="30">
        <v>25611.57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3</v>
      </c>
      <c r="I125" s="130">
        <v>2</v>
      </c>
      <c r="J125" s="130">
        <v>2</v>
      </c>
      <c r="K125" s="114">
        <v>2497.3000000000002</v>
      </c>
      <c r="L125" s="270">
        <v>2</v>
      </c>
      <c r="M125" s="43">
        <f t="shared" si="8"/>
        <v>2497.3000000000002</v>
      </c>
      <c r="N125" s="43">
        <f>1152.6+1344.7</f>
        <v>2497.3000000000002</v>
      </c>
      <c r="O125" s="45"/>
      <c r="P125" s="113">
        <v>2</v>
      </c>
      <c r="Q125" s="114">
        <v>5186.7</v>
      </c>
      <c r="R125" s="270">
        <v>2</v>
      </c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8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8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6</v>
      </c>
      <c r="I128" s="62">
        <v>3</v>
      </c>
      <c r="J128" s="62">
        <v>4</v>
      </c>
      <c r="K128" s="30">
        <v>5641.85</v>
      </c>
      <c r="L128" s="205">
        <v>4</v>
      </c>
      <c r="M128" s="26">
        <f t="shared" si="8"/>
        <v>5641.85</v>
      </c>
      <c r="N128" s="30">
        <v>5641.85</v>
      </c>
      <c r="O128" s="243"/>
      <c r="P128" s="64">
        <v>4</v>
      </c>
      <c r="Q128" s="65">
        <v>10597.93</v>
      </c>
      <c r="R128" s="224">
        <v>4</v>
      </c>
      <c r="S128" s="50">
        <f t="shared" si="7"/>
        <v>10597.93</v>
      </c>
      <c r="T128" s="65">
        <v>10597.93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8"/>
        <v>0</v>
      </c>
      <c r="N129" s="39"/>
      <c r="O129" s="41"/>
      <c r="P129" s="67">
        <v>1</v>
      </c>
      <c r="Q129" s="68">
        <v>2305.1999999999998</v>
      </c>
      <c r="R129" s="285">
        <v>1</v>
      </c>
      <c r="S129" s="39">
        <f t="shared" si="7"/>
        <v>2305.1999999999998</v>
      </c>
      <c r="T129" s="39">
        <f>2305.2</f>
        <v>2305.1999999999998</v>
      </c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14</v>
      </c>
      <c r="I130" s="203">
        <v>9</v>
      </c>
      <c r="J130" s="203">
        <v>11</v>
      </c>
      <c r="K130" s="65">
        <v>26414.7</v>
      </c>
      <c r="L130" s="224">
        <v>10</v>
      </c>
      <c r="M130" s="50">
        <f t="shared" si="8"/>
        <v>25838.400000000001</v>
      </c>
      <c r="N130" s="65">
        <v>25838.400000000001</v>
      </c>
      <c r="O130" s="225"/>
      <c r="P130" s="108">
        <v>28</v>
      </c>
      <c r="Q130" s="65">
        <v>105938.63</v>
      </c>
      <c r="R130" s="224">
        <v>23</v>
      </c>
      <c r="S130" s="50">
        <f t="shared" si="7"/>
        <v>79211.47</v>
      </c>
      <c r="T130" s="65">
        <v>79211.47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8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11</v>
      </c>
      <c r="I132" s="62">
        <v>4</v>
      </c>
      <c r="J132" s="62">
        <v>5</v>
      </c>
      <c r="K132" s="30">
        <v>8715.1</v>
      </c>
      <c r="L132" s="205">
        <v>4</v>
      </c>
      <c r="M132" s="26">
        <f t="shared" si="8"/>
        <v>5444.02</v>
      </c>
      <c r="N132" s="30">
        <v>5444.02</v>
      </c>
      <c r="O132" s="31"/>
      <c r="P132" s="53">
        <v>14</v>
      </c>
      <c r="Q132" s="30">
        <v>53062.44</v>
      </c>
      <c r="R132" s="205">
        <v>13</v>
      </c>
      <c r="S132" s="26">
        <f t="shared" si="7"/>
        <v>52477.24</v>
      </c>
      <c r="T132" s="30">
        <v>52477.24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8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13</v>
      </c>
      <c r="I134" s="62">
        <v>6</v>
      </c>
      <c r="J134" s="62">
        <v>6</v>
      </c>
      <c r="K134" s="30">
        <v>10057.43</v>
      </c>
      <c r="L134" s="205">
        <v>4</v>
      </c>
      <c r="M134" s="26">
        <f t="shared" si="8"/>
        <v>4302.6000000000004</v>
      </c>
      <c r="N134" s="30">
        <v>4302.6000000000004</v>
      </c>
      <c r="O134" s="31"/>
      <c r="P134" s="53">
        <v>24</v>
      </c>
      <c r="Q134" s="30">
        <v>39369.230000000003</v>
      </c>
      <c r="R134" s="205">
        <v>24</v>
      </c>
      <c r="S134" s="26">
        <f t="shared" si="7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5</v>
      </c>
      <c r="I135" s="208">
        <v>2</v>
      </c>
      <c r="J135" s="208">
        <v>2</v>
      </c>
      <c r="K135" s="209">
        <v>2401.25</v>
      </c>
      <c r="L135" s="290">
        <v>2</v>
      </c>
      <c r="M135" s="211">
        <f t="shared" si="8"/>
        <v>2401.25</v>
      </c>
      <c r="N135" s="209">
        <v>2401.25</v>
      </c>
      <c r="O135" s="263"/>
      <c r="P135" s="262">
        <v>3</v>
      </c>
      <c r="Q135" s="209">
        <v>7299.8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8"/>
        <v>0</v>
      </c>
      <c r="N136" s="26"/>
      <c r="O136" s="28"/>
      <c r="P136" s="214"/>
      <c r="Q136" s="30"/>
      <c r="R136" s="205"/>
      <c r="S136" s="26">
        <f t="shared" ref="S136:S149" si="9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4</v>
      </c>
      <c r="I137" s="37"/>
      <c r="J137" s="37"/>
      <c r="K137" s="68"/>
      <c r="L137" s="40"/>
      <c r="M137" s="39">
        <f t="shared" si="8"/>
        <v>0</v>
      </c>
      <c r="N137" s="39"/>
      <c r="O137" s="41"/>
      <c r="P137" s="217"/>
      <c r="Q137" s="68"/>
      <c r="R137" s="285"/>
      <c r="S137" s="39">
        <f t="shared" si="9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19</v>
      </c>
      <c r="I138" s="266">
        <v>16</v>
      </c>
      <c r="J138" s="266">
        <v>21</v>
      </c>
      <c r="K138" s="79">
        <v>34306.980000000003</v>
      </c>
      <c r="L138" s="268">
        <v>21</v>
      </c>
      <c r="M138" s="81">
        <f t="shared" si="8"/>
        <v>34306.980000000003</v>
      </c>
      <c r="N138" s="79">
        <v>34306.980000000003</v>
      </c>
      <c r="O138" s="269"/>
      <c r="P138" s="267">
        <v>16</v>
      </c>
      <c r="Q138" s="79">
        <v>76490.14</v>
      </c>
      <c r="R138" s="268">
        <v>16</v>
      </c>
      <c r="S138" s="81">
        <f t="shared" si="9"/>
        <v>76490.14</v>
      </c>
      <c r="T138" s="79">
        <v>76490.14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8"/>
        <v>0</v>
      </c>
      <c r="N139" s="39"/>
      <c r="O139" s="41"/>
      <c r="P139" s="59"/>
      <c r="Q139" s="39"/>
      <c r="R139" s="40"/>
      <c r="S139" s="39">
        <f t="shared" si="9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12</v>
      </c>
      <c r="I140" s="203">
        <v>6</v>
      </c>
      <c r="J140" s="203">
        <v>9</v>
      </c>
      <c r="K140" s="65">
        <v>19753.45</v>
      </c>
      <c r="L140" s="224">
        <v>7</v>
      </c>
      <c r="M140" s="50">
        <f t="shared" si="8"/>
        <v>17205.05</v>
      </c>
      <c r="N140" s="65">
        <v>17205.05</v>
      </c>
      <c r="O140" s="225"/>
      <c r="P140" s="108">
        <v>51</v>
      </c>
      <c r="Q140" s="65">
        <v>310342.43</v>
      </c>
      <c r="R140" s="224">
        <v>49</v>
      </c>
      <c r="S140" s="50">
        <f t="shared" si="9"/>
        <v>304360.03999999998</v>
      </c>
      <c r="T140" s="65">
        <v>304360.03999999998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8"/>
        <v>0</v>
      </c>
      <c r="N141" s="129"/>
      <c r="O141" s="45"/>
      <c r="P141" s="156"/>
      <c r="Q141" s="129"/>
      <c r="R141" s="128"/>
      <c r="S141" s="129">
        <f t="shared" si="9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8"/>
        <v>0</v>
      </c>
      <c r="N142" s="43"/>
      <c r="O142" s="41"/>
      <c r="P142" s="113">
        <v>2</v>
      </c>
      <c r="Q142" s="114">
        <v>6912.6</v>
      </c>
      <c r="R142" s="270">
        <v>3</v>
      </c>
      <c r="S142" s="43">
        <f t="shared" si="9"/>
        <v>9220.7999999999993</v>
      </c>
      <c r="T142" s="114">
        <f>2305.2+4226.2+2689.4</f>
        <v>9220.7999999999993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8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9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6</v>
      </c>
      <c r="I144" s="37">
        <v>2</v>
      </c>
      <c r="J144" s="37">
        <v>2</v>
      </c>
      <c r="K144" s="68">
        <v>2305.1999999999998</v>
      </c>
      <c r="L144" s="40"/>
      <c r="M144" s="39">
        <f t="shared" si="8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285">
        <v>2</v>
      </c>
      <c r="S144" s="39">
        <f t="shared" si="9"/>
        <v>2400.9499999999998</v>
      </c>
      <c r="T144" s="39">
        <f>1056.55+1344.4</f>
        <v>2400.9499999999998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8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8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9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285">
        <v>4</v>
      </c>
      <c r="M146" s="39">
        <f t="shared" si="8"/>
        <v>5220.5999999999995</v>
      </c>
      <c r="N146" s="39">
        <f>1578.8+1152.6+1152.6+1336.6</f>
        <v>5220.5999999999995</v>
      </c>
      <c r="O146" s="41"/>
      <c r="P146" s="115">
        <v>2</v>
      </c>
      <c r="Q146" s="68">
        <v>15088</v>
      </c>
      <c r="R146" s="285">
        <v>2</v>
      </c>
      <c r="S146" s="39">
        <f t="shared" si="9"/>
        <v>15088</v>
      </c>
      <c r="T146" s="39">
        <f>4034.1+11053.9</f>
        <v>15088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8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9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8"/>
        <v>0</v>
      </c>
      <c r="N148" s="43"/>
      <c r="O148" s="41"/>
      <c r="P148" s="103"/>
      <c r="Q148" s="43"/>
      <c r="R148" s="44"/>
      <c r="S148" s="43">
        <f t="shared" si="9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6</v>
      </c>
      <c r="I149" s="62">
        <v>2</v>
      </c>
      <c r="J149" s="62">
        <v>2</v>
      </c>
      <c r="K149" s="30">
        <v>2935.73</v>
      </c>
      <c r="L149" s="205">
        <v>1</v>
      </c>
      <c r="M149" s="26">
        <f t="shared" si="8"/>
        <v>1854.88</v>
      </c>
      <c r="N149" s="30">
        <v>1854.88</v>
      </c>
      <c r="O149" s="31"/>
      <c r="P149" s="53">
        <v>4</v>
      </c>
      <c r="Q149" s="30">
        <v>22885.21</v>
      </c>
      <c r="R149" s="205">
        <v>3</v>
      </c>
      <c r="S149" s="26">
        <f t="shared" si="9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114">
        <v>1728.9</v>
      </c>
      <c r="N150" s="114">
        <v>1728.9</v>
      </c>
      <c r="O150" s="234"/>
      <c r="P150" s="113">
        <v>3</v>
      </c>
      <c r="Q150" s="114">
        <v>7539.8</v>
      </c>
      <c r="R150" s="270">
        <v>3</v>
      </c>
      <c r="S150" s="114">
        <v>7539.8</v>
      </c>
      <c r="T150" s="114">
        <v>7539.8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10</v>
      </c>
      <c r="I151" s="62">
        <v>8</v>
      </c>
      <c r="J151" s="62">
        <v>10</v>
      </c>
      <c r="K151" s="30">
        <v>13129.56</v>
      </c>
      <c r="L151" s="205">
        <v>10</v>
      </c>
      <c r="M151" s="26">
        <f t="shared" ref="M151:M225" si="10">N151+O151</f>
        <v>13129.56</v>
      </c>
      <c r="N151" s="30">
        <v>13129.56</v>
      </c>
      <c r="O151" s="225"/>
      <c r="P151" s="53">
        <v>12</v>
      </c>
      <c r="Q151" s="30">
        <v>41109.72</v>
      </c>
      <c r="R151" s="205">
        <v>11</v>
      </c>
      <c r="S151" s="26">
        <f t="shared" ref="S151:S183" si="11">T151+U151</f>
        <v>39894.660000000003</v>
      </c>
      <c r="T151" s="30">
        <v>39894.660000000003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8</v>
      </c>
      <c r="I152" s="271">
        <v>4</v>
      </c>
      <c r="J152" s="271">
        <v>4</v>
      </c>
      <c r="K152" s="239">
        <v>9412.9</v>
      </c>
      <c r="L152" s="316">
        <v>3</v>
      </c>
      <c r="M152" s="129">
        <f t="shared" si="10"/>
        <v>4610.3999999999996</v>
      </c>
      <c r="N152" s="129">
        <f>1728.9+2305.2+576.3</f>
        <v>4610.3999999999996</v>
      </c>
      <c r="O152" s="45"/>
      <c r="P152" s="238">
        <v>7</v>
      </c>
      <c r="Q152" s="239">
        <v>11775.73</v>
      </c>
      <c r="R152" s="316">
        <v>6</v>
      </c>
      <c r="S152" s="129">
        <f t="shared" si="11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10"/>
        <v>0</v>
      </c>
      <c r="N153" s="43"/>
      <c r="O153" s="41"/>
      <c r="P153" s="103"/>
      <c r="Q153" s="43"/>
      <c r="R153" s="44"/>
      <c r="S153" s="43">
        <f t="shared" si="11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 t="s">
        <v>39</v>
      </c>
      <c r="D154" s="374" t="s">
        <v>448</v>
      </c>
      <c r="E154" s="381" t="s">
        <v>23</v>
      </c>
      <c r="F154" s="232" t="s">
        <v>449</v>
      </c>
      <c r="G154" s="23" t="s">
        <v>24</v>
      </c>
      <c r="H154" s="61">
        <v>9</v>
      </c>
      <c r="I154" s="62">
        <v>6</v>
      </c>
      <c r="J154" s="62">
        <v>6</v>
      </c>
      <c r="K154" s="30">
        <v>16306.8</v>
      </c>
      <c r="L154" s="205">
        <v>6</v>
      </c>
      <c r="M154" s="26">
        <f t="shared" si="10"/>
        <v>16306.8</v>
      </c>
      <c r="N154" s="30">
        <v>16306.8</v>
      </c>
      <c r="O154" s="31"/>
      <c r="P154" s="53">
        <v>1</v>
      </c>
      <c r="Q154" s="30">
        <v>1415.78</v>
      </c>
      <c r="R154" s="205">
        <v>1</v>
      </c>
      <c r="S154" s="26">
        <f t="shared" si="11"/>
        <v>1415.78</v>
      </c>
      <c r="T154" s="30">
        <v>1415.78</v>
      </c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10"/>
        <v>0</v>
      </c>
      <c r="N155" s="39"/>
      <c r="O155" s="41"/>
      <c r="P155" s="59"/>
      <c r="Q155" s="39"/>
      <c r="R155" s="40"/>
      <c r="S155" s="39">
        <f t="shared" si="11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10</v>
      </c>
      <c r="I156" s="203">
        <v>6</v>
      </c>
      <c r="J156" s="203">
        <v>6</v>
      </c>
      <c r="K156" s="65">
        <v>8949.17</v>
      </c>
      <c r="L156" s="224">
        <v>3</v>
      </c>
      <c r="M156" s="50">
        <f t="shared" si="10"/>
        <v>6564.06</v>
      </c>
      <c r="N156" s="65">
        <v>6564.06</v>
      </c>
      <c r="O156" s="225"/>
      <c r="P156" s="108">
        <v>5</v>
      </c>
      <c r="Q156" s="65">
        <v>27150.720000000001</v>
      </c>
      <c r="R156" s="224">
        <v>5</v>
      </c>
      <c r="S156" s="50">
        <f t="shared" si="11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9</v>
      </c>
      <c r="I157" s="246">
        <v>2</v>
      </c>
      <c r="J157" s="246">
        <v>2</v>
      </c>
      <c r="K157" s="158">
        <v>4226.2</v>
      </c>
      <c r="L157" s="317">
        <v>2</v>
      </c>
      <c r="M157" s="142">
        <f t="shared" si="10"/>
        <v>4226.2</v>
      </c>
      <c r="N157" s="142">
        <f>1921+2305.2</f>
        <v>4226.2</v>
      </c>
      <c r="O157" s="45"/>
      <c r="P157" s="157">
        <v>4</v>
      </c>
      <c r="Q157" s="158">
        <v>8625.2900000000009</v>
      </c>
      <c r="R157" s="224">
        <v>5</v>
      </c>
      <c r="S157" s="50">
        <f t="shared" si="11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10"/>
        <v>0</v>
      </c>
      <c r="N158" s="43"/>
      <c r="O158" s="41"/>
      <c r="P158" s="103"/>
      <c r="Q158" s="43"/>
      <c r="R158" s="44"/>
      <c r="S158" s="43">
        <f t="shared" si="1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11</v>
      </c>
      <c r="I159" s="62">
        <v>5</v>
      </c>
      <c r="J159" s="62">
        <v>5</v>
      </c>
      <c r="K159" s="30">
        <v>8972.02</v>
      </c>
      <c r="L159" s="205">
        <v>5</v>
      </c>
      <c r="M159" s="26">
        <f t="shared" si="10"/>
        <v>8972.02</v>
      </c>
      <c r="N159" s="30">
        <v>8972.02</v>
      </c>
      <c r="O159" s="31"/>
      <c r="P159" s="53">
        <v>1</v>
      </c>
      <c r="Q159" s="30">
        <v>576.29999999999995</v>
      </c>
      <c r="R159" s="205">
        <v>1</v>
      </c>
      <c r="S159" s="26">
        <f t="shared" si="11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7</v>
      </c>
      <c r="I160" s="37">
        <v>3</v>
      </c>
      <c r="J160" s="37">
        <v>3</v>
      </c>
      <c r="K160" s="68">
        <v>3637.8</v>
      </c>
      <c r="L160" s="285">
        <v>1</v>
      </c>
      <c r="M160" s="39">
        <f t="shared" si="10"/>
        <v>576.29999999999995</v>
      </c>
      <c r="N160" s="39">
        <f>576.3</f>
        <v>576.29999999999995</v>
      </c>
      <c r="O160" s="41"/>
      <c r="P160" s="115">
        <v>2</v>
      </c>
      <c r="Q160" s="68">
        <v>3265.7</v>
      </c>
      <c r="R160" s="285">
        <v>2</v>
      </c>
      <c r="S160" s="39">
        <f t="shared" si="11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6</v>
      </c>
      <c r="I161" s="203">
        <v>5</v>
      </c>
      <c r="J161" s="203">
        <v>6</v>
      </c>
      <c r="K161" s="65">
        <v>13186.17</v>
      </c>
      <c r="L161" s="224">
        <v>6</v>
      </c>
      <c r="M161" s="50">
        <f t="shared" si="10"/>
        <v>13186.17</v>
      </c>
      <c r="N161" s="65">
        <v>13186.17</v>
      </c>
      <c r="O161" s="31"/>
      <c r="P161" s="108">
        <v>8</v>
      </c>
      <c r="Q161" s="65">
        <v>16335.71</v>
      </c>
      <c r="R161" s="224">
        <v>8</v>
      </c>
      <c r="S161" s="50">
        <f t="shared" si="11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3</v>
      </c>
      <c r="J162" s="130">
        <v>3</v>
      </c>
      <c r="K162" s="114">
        <v>5993.52</v>
      </c>
      <c r="L162" s="270">
        <v>4</v>
      </c>
      <c r="M162" s="43">
        <f t="shared" si="10"/>
        <v>7146.12</v>
      </c>
      <c r="N162" s="43">
        <f>3880.42+1344.7+1921</f>
        <v>7146.12</v>
      </c>
      <c r="O162" s="41"/>
      <c r="P162" s="113">
        <v>5</v>
      </c>
      <c r="Q162" s="114">
        <v>11814.15</v>
      </c>
      <c r="R162" s="270">
        <v>4</v>
      </c>
      <c r="S162" s="43">
        <f t="shared" si="11"/>
        <v>9893.15</v>
      </c>
      <c r="T162" s="114">
        <f>4802.5+2401.25+2689.4</f>
        <v>9893.15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13798.74</v>
      </c>
      <c r="L163" s="205">
        <v>6</v>
      </c>
      <c r="M163" s="26">
        <f t="shared" si="10"/>
        <v>13798.74</v>
      </c>
      <c r="N163" s="30">
        <v>13798.74</v>
      </c>
      <c r="O163" s="225"/>
      <c r="P163" s="53">
        <v>13</v>
      </c>
      <c r="Q163" s="30">
        <v>42590.99</v>
      </c>
      <c r="R163" s="205">
        <v>13</v>
      </c>
      <c r="S163" s="26">
        <f t="shared" si="11"/>
        <v>42590.99</v>
      </c>
      <c r="T163" s="30">
        <v>42590.99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6</v>
      </c>
      <c r="I164" s="130">
        <v>1</v>
      </c>
      <c r="J164" s="130">
        <v>1</v>
      </c>
      <c r="K164" s="114">
        <v>1728.9</v>
      </c>
      <c r="L164" s="270">
        <v>1</v>
      </c>
      <c r="M164" s="43">
        <f t="shared" si="10"/>
        <v>1728.9</v>
      </c>
      <c r="N164" s="43">
        <f>1728.9</f>
        <v>1728.9</v>
      </c>
      <c r="O164" s="45"/>
      <c r="P164" s="113">
        <v>3</v>
      </c>
      <c r="Q164" s="114">
        <v>6281.3</v>
      </c>
      <c r="R164" s="44"/>
      <c r="S164" s="43">
        <f t="shared" si="11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8</v>
      </c>
      <c r="I165" s="62">
        <v>4</v>
      </c>
      <c r="J165" s="62">
        <v>4</v>
      </c>
      <c r="K165" s="30">
        <v>8539.0300000000007</v>
      </c>
      <c r="L165" s="205">
        <v>3</v>
      </c>
      <c r="M165" s="26">
        <f t="shared" si="10"/>
        <v>6561.17</v>
      </c>
      <c r="N165" s="30">
        <v>6561.17</v>
      </c>
      <c r="O165" s="159"/>
      <c r="P165" s="53">
        <v>3</v>
      </c>
      <c r="Q165" s="30">
        <v>20168.78</v>
      </c>
      <c r="R165" s="205">
        <v>3</v>
      </c>
      <c r="S165" s="26">
        <f t="shared" si="11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10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90">
        <v>5</v>
      </c>
      <c r="S166" s="211">
        <f t="shared" si="11"/>
        <v>13447</v>
      </c>
      <c r="T166" s="211">
        <f>4034.1+3073.6+5071.44+1267.86</f>
        <v>13447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3</v>
      </c>
      <c r="I167" s="62">
        <v>2</v>
      </c>
      <c r="J167" s="62">
        <v>4</v>
      </c>
      <c r="K167" s="30">
        <v>11800.29</v>
      </c>
      <c r="L167" s="205">
        <v>3</v>
      </c>
      <c r="M167" s="26">
        <f t="shared" si="10"/>
        <v>10114.040000000001</v>
      </c>
      <c r="N167" s="30">
        <v>10114.040000000001</v>
      </c>
      <c r="O167" s="28"/>
      <c r="P167" s="214"/>
      <c r="Q167" s="30"/>
      <c r="R167" s="205"/>
      <c r="S167" s="26">
        <f t="shared" si="11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10"/>
        <v>0</v>
      </c>
      <c r="N168" s="39"/>
      <c r="O168" s="41"/>
      <c r="P168" s="217"/>
      <c r="Q168" s="68"/>
      <c r="R168" s="285"/>
      <c r="S168" s="39">
        <f t="shared" si="11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7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10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11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10"/>
        <v>0</v>
      </c>
      <c r="N170" s="43"/>
      <c r="O170" s="45"/>
      <c r="P170" s="103"/>
      <c r="Q170" s="43"/>
      <c r="R170" s="44"/>
      <c r="S170" s="43">
        <f t="shared" si="11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4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10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11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10"/>
        <v>0</v>
      </c>
      <c r="N172" s="211"/>
      <c r="O172" s="212"/>
      <c r="P172" s="273"/>
      <c r="Q172" s="211"/>
      <c r="R172" s="210"/>
      <c r="S172" s="211">
        <f t="shared" si="11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>
        <v>3</v>
      </c>
      <c r="I173" s="62">
        <v>1</v>
      </c>
      <c r="J173" s="62">
        <v>1</v>
      </c>
      <c r="K173" s="30">
        <v>1285.1500000000001</v>
      </c>
      <c r="L173" s="205">
        <v>1</v>
      </c>
      <c r="M173" s="26">
        <f t="shared" si="10"/>
        <v>1285.1500000000001</v>
      </c>
      <c r="N173" s="30">
        <v>1285.1500000000001</v>
      </c>
      <c r="O173" s="28"/>
      <c r="P173" s="214"/>
      <c r="Q173" s="30"/>
      <c r="R173" s="205"/>
      <c r="S173" s="26">
        <f t="shared" si="11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10"/>
        <v>0</v>
      </c>
      <c r="N174" s="39"/>
      <c r="O174" s="41"/>
      <c r="P174" s="217"/>
      <c r="Q174" s="68"/>
      <c r="R174" s="285"/>
      <c r="S174" s="39">
        <f t="shared" si="11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3</v>
      </c>
      <c r="J175" s="266">
        <v>3</v>
      </c>
      <c r="K175" s="79">
        <v>3204.24</v>
      </c>
      <c r="L175" s="268">
        <v>2</v>
      </c>
      <c r="M175" s="81">
        <f t="shared" si="10"/>
        <v>2253.34</v>
      </c>
      <c r="N175" s="79">
        <v>2253.34</v>
      </c>
      <c r="O175" s="219"/>
      <c r="P175" s="267">
        <v>15</v>
      </c>
      <c r="Q175" s="79">
        <v>43575.18</v>
      </c>
      <c r="R175" s="268">
        <v>14</v>
      </c>
      <c r="S175" s="81">
        <f t="shared" si="11"/>
        <v>42391.839999999997</v>
      </c>
      <c r="T175" s="79">
        <v>42391.839999999997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2</v>
      </c>
      <c r="J176" s="130">
        <v>2</v>
      </c>
      <c r="K176" s="114">
        <v>4418.3</v>
      </c>
      <c r="L176" s="316">
        <v>1</v>
      </c>
      <c r="M176" s="50">
        <f t="shared" si="10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3</v>
      </c>
      <c r="S176" s="43">
        <f t="shared" si="11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8</v>
      </c>
      <c r="I177" s="62">
        <v>4</v>
      </c>
      <c r="J177" s="62">
        <v>4</v>
      </c>
      <c r="K177" s="30">
        <v>18078.060000000001</v>
      </c>
      <c r="L177" s="205">
        <v>3</v>
      </c>
      <c r="M177" s="26">
        <f t="shared" si="10"/>
        <v>5755.32</v>
      </c>
      <c r="N177" s="30">
        <v>5755.32</v>
      </c>
      <c r="O177" s="225"/>
      <c r="P177" s="53">
        <v>10</v>
      </c>
      <c r="Q177" s="30">
        <v>32403.07</v>
      </c>
      <c r="R177" s="205">
        <v>9</v>
      </c>
      <c r="S177" s="26">
        <f t="shared" si="11"/>
        <v>29348.55</v>
      </c>
      <c r="T177" s="30">
        <v>29348.55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10"/>
        <v>0</v>
      </c>
      <c r="N178" s="43"/>
      <c r="O178" s="41"/>
      <c r="P178" s="115">
        <v>5</v>
      </c>
      <c r="Q178" s="68">
        <v>19344.47</v>
      </c>
      <c r="R178" s="285">
        <v>5</v>
      </c>
      <c r="S178" s="39">
        <f t="shared" si="11"/>
        <v>19344.469999999998</v>
      </c>
      <c r="T178" s="68">
        <f>576.3+15944.3+1479.17+1344.7</f>
        <v>19344.469999999998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15</v>
      </c>
      <c r="I179" s="62">
        <v>13</v>
      </c>
      <c r="J179" s="204">
        <v>15</v>
      </c>
      <c r="K179" s="30">
        <v>28405.96</v>
      </c>
      <c r="L179" s="205">
        <v>15</v>
      </c>
      <c r="M179" s="26">
        <f t="shared" si="10"/>
        <v>28405.96</v>
      </c>
      <c r="N179" s="30">
        <v>28405.96</v>
      </c>
      <c r="O179" s="225"/>
      <c r="P179" s="108">
        <v>21</v>
      </c>
      <c r="Q179" s="65">
        <v>60276.03</v>
      </c>
      <c r="R179" s="224">
        <v>20</v>
      </c>
      <c r="S179" s="50">
        <f t="shared" si="11"/>
        <v>58682.48</v>
      </c>
      <c r="T179" s="65">
        <v>58682.48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61"/>
      <c r="J180" s="261"/>
      <c r="K180" s="211"/>
      <c r="L180" s="210"/>
      <c r="M180" s="211">
        <f t="shared" si="10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11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25"/>
      <c r="J181" s="25"/>
      <c r="K181" s="162"/>
      <c r="L181" s="163"/>
      <c r="M181" s="162">
        <f t="shared" si="10"/>
        <v>0</v>
      </c>
      <c r="N181" s="162"/>
      <c r="O181" s="28"/>
      <c r="P181" s="275"/>
      <c r="Q181" s="26"/>
      <c r="R181" s="27"/>
      <c r="S181" s="26">
        <f t="shared" si="11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10"/>
        <v>0</v>
      </c>
      <c r="N182" s="164"/>
      <c r="O182" s="41"/>
      <c r="P182" s="276"/>
      <c r="Q182" s="39"/>
      <c r="R182" s="40"/>
      <c r="S182" s="39">
        <f t="shared" si="11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10"/>
        <v>0</v>
      </c>
      <c r="N183" s="293"/>
      <c r="O183" s="82"/>
      <c r="P183" s="295"/>
      <c r="Q183" s="81"/>
      <c r="R183" s="80"/>
      <c r="S183" s="81">
        <f t="shared" si="11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10"/>
        <v>0</v>
      </c>
      <c r="N184" s="164"/>
      <c r="O184" s="41"/>
      <c r="P184" s="67">
        <v>4</v>
      </c>
      <c r="Q184" s="68">
        <v>19199.810000000001</v>
      </c>
      <c r="R184" s="285">
        <v>4</v>
      </c>
      <c r="S184" s="68">
        <v>19199.810000000001</v>
      </c>
      <c r="T184" s="68">
        <v>19199.810000000001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13</v>
      </c>
      <c r="I185" s="203">
        <v>11</v>
      </c>
      <c r="J185" s="203">
        <v>14</v>
      </c>
      <c r="K185" s="242">
        <v>33075.64</v>
      </c>
      <c r="L185" s="320">
        <v>14</v>
      </c>
      <c r="M185" s="166">
        <f t="shared" si="10"/>
        <v>33075.64</v>
      </c>
      <c r="N185" s="242">
        <v>33075.64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2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270">
        <v>1</v>
      </c>
      <c r="M186" s="43">
        <f t="shared" si="10"/>
        <v>1152.5999999999999</v>
      </c>
      <c r="N186" s="43">
        <f>1152.6</f>
        <v>1152.5999999999999</v>
      </c>
      <c r="O186" s="41"/>
      <c r="P186" s="113">
        <v>2</v>
      </c>
      <c r="Q186" s="114">
        <v>16904.8</v>
      </c>
      <c r="R186" s="270">
        <v>2</v>
      </c>
      <c r="S186" s="43">
        <f t="shared" si="12"/>
        <v>13639.1</v>
      </c>
      <c r="T186" s="114">
        <f>1921+11718.1</f>
        <v>13639.1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5</v>
      </c>
      <c r="I187" s="62">
        <v>4</v>
      </c>
      <c r="J187" s="62">
        <v>4</v>
      </c>
      <c r="K187" s="30">
        <v>5891.75</v>
      </c>
      <c r="L187" s="205">
        <v>4</v>
      </c>
      <c r="M187" s="26">
        <f t="shared" si="10"/>
        <v>5891.75</v>
      </c>
      <c r="N187" s="30">
        <v>5891.75</v>
      </c>
      <c r="O187" s="31"/>
      <c r="P187" s="53">
        <v>7</v>
      </c>
      <c r="Q187" s="30">
        <v>16748.509999999998</v>
      </c>
      <c r="R187" s="205">
        <v>7</v>
      </c>
      <c r="S187" s="26">
        <f t="shared" si="12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10"/>
        <v>0</v>
      </c>
      <c r="N188" s="39"/>
      <c r="O188" s="41"/>
      <c r="P188" s="59"/>
      <c r="Q188" s="39"/>
      <c r="R188" s="40"/>
      <c r="S188" s="39">
        <f t="shared" si="12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10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2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10"/>
        <v>0</v>
      </c>
      <c r="N190" s="43"/>
      <c r="O190" s="41"/>
      <c r="P190" s="113">
        <v>1</v>
      </c>
      <c r="Q190" s="114">
        <v>0</v>
      </c>
      <c r="R190" s="44"/>
      <c r="S190" s="43">
        <f t="shared" si="12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10"/>
        <v>0</v>
      </c>
      <c r="N191" s="26"/>
      <c r="O191" s="31"/>
      <c r="P191" s="120"/>
      <c r="Q191" s="26"/>
      <c r="R191" s="27"/>
      <c r="S191" s="26">
        <f t="shared" si="12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10"/>
        <v>0</v>
      </c>
      <c r="N192" s="39"/>
      <c r="O192" s="41"/>
      <c r="P192" s="69"/>
      <c r="Q192" s="39"/>
      <c r="R192" s="40"/>
      <c r="S192" s="39">
        <f t="shared" si="12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8</v>
      </c>
      <c r="M193" s="50">
        <f t="shared" si="10"/>
        <v>11987.81</v>
      </c>
      <c r="N193" s="65">
        <v>11987.81</v>
      </c>
      <c r="O193" s="225"/>
      <c r="P193" s="108">
        <v>8</v>
      </c>
      <c r="Q193" s="65">
        <v>20431.349999999999</v>
      </c>
      <c r="R193" s="224">
        <v>8</v>
      </c>
      <c r="S193" s="50">
        <f t="shared" si="12"/>
        <v>20431.349999999999</v>
      </c>
      <c r="T193" s="65">
        <v>20431.349999999999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1</v>
      </c>
      <c r="J194" s="37">
        <v>1</v>
      </c>
      <c r="K194" s="68">
        <v>1921</v>
      </c>
      <c r="L194" s="285">
        <v>1</v>
      </c>
      <c r="M194" s="39">
        <f t="shared" si="10"/>
        <v>1921</v>
      </c>
      <c r="N194" s="39">
        <f>1921</f>
        <v>1921</v>
      </c>
      <c r="O194" s="41"/>
      <c r="P194" s="59"/>
      <c r="Q194" s="39"/>
      <c r="R194" s="40"/>
      <c r="S194" s="39">
        <f t="shared" si="12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16</v>
      </c>
      <c r="I195" s="203">
        <v>16</v>
      </c>
      <c r="J195" s="203">
        <v>22</v>
      </c>
      <c r="K195" s="65">
        <v>41296.04</v>
      </c>
      <c r="L195" s="224">
        <v>22</v>
      </c>
      <c r="M195" s="50">
        <f t="shared" si="10"/>
        <v>41296.04</v>
      </c>
      <c r="N195" s="65">
        <v>41296.04</v>
      </c>
      <c r="O195" s="225"/>
      <c r="P195" s="108">
        <v>25</v>
      </c>
      <c r="Q195" s="65">
        <v>39876.11</v>
      </c>
      <c r="R195" s="224">
        <v>24</v>
      </c>
      <c r="S195" s="50">
        <f t="shared" si="12"/>
        <v>38742.26</v>
      </c>
      <c r="T195" s="65">
        <v>38742.26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5</v>
      </c>
      <c r="I196" s="130">
        <v>2</v>
      </c>
      <c r="J196" s="130">
        <v>2</v>
      </c>
      <c r="K196" s="114">
        <v>2401.25</v>
      </c>
      <c r="L196" s="316">
        <v>2</v>
      </c>
      <c r="M196" s="50">
        <f t="shared" si="10"/>
        <v>2401.25</v>
      </c>
      <c r="N196" s="43">
        <f>1056.55+1344.7</f>
        <v>2401.25</v>
      </c>
      <c r="O196" s="41"/>
      <c r="P196" s="113">
        <v>3</v>
      </c>
      <c r="Q196" s="114">
        <v>5551.69</v>
      </c>
      <c r="R196" s="270">
        <v>3</v>
      </c>
      <c r="S196" s="43">
        <f t="shared" si="12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7" t="s">
        <v>22</v>
      </c>
      <c r="D197" s="374"/>
      <c r="E197" s="374" t="s">
        <v>450</v>
      </c>
      <c r="F197" s="204" t="s">
        <v>451</v>
      </c>
      <c r="G197" s="23" t="s">
        <v>24</v>
      </c>
      <c r="H197" s="24">
        <v>7</v>
      </c>
      <c r="I197" s="25"/>
      <c r="J197" s="25"/>
      <c r="K197" s="26"/>
      <c r="L197" s="27"/>
      <c r="M197" s="26">
        <f t="shared" si="10"/>
        <v>0</v>
      </c>
      <c r="N197" s="26"/>
      <c r="O197" s="31"/>
      <c r="P197" s="53">
        <v>3</v>
      </c>
      <c r="Q197" s="30">
        <v>14217.44</v>
      </c>
      <c r="R197" s="205">
        <v>3</v>
      </c>
      <c r="S197" s="26">
        <f t="shared" si="12"/>
        <v>14217.44</v>
      </c>
      <c r="T197" s="30">
        <v>14217.44</v>
      </c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10"/>
        <v>0</v>
      </c>
      <c r="N198" s="39"/>
      <c r="O198" s="41"/>
      <c r="P198" s="59"/>
      <c r="Q198" s="39"/>
      <c r="R198" s="40"/>
      <c r="S198" s="39">
        <f t="shared" si="12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10"/>
        <v>0</v>
      </c>
      <c r="N199" s="50"/>
      <c r="O199" s="31"/>
      <c r="P199" s="123"/>
      <c r="Q199" s="50"/>
      <c r="R199" s="51"/>
      <c r="S199" s="50">
        <f t="shared" si="12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10"/>
        <v>0</v>
      </c>
      <c r="N200" s="50"/>
      <c r="O200" s="45"/>
      <c r="P200" s="123"/>
      <c r="Q200" s="50"/>
      <c r="R200" s="51"/>
      <c r="S200" s="50">
        <f t="shared" si="12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10"/>
        <v>0</v>
      </c>
      <c r="N201" s="43"/>
      <c r="O201" s="41"/>
      <c r="P201" s="113">
        <v>1</v>
      </c>
      <c r="Q201" s="114">
        <v>4602.5</v>
      </c>
      <c r="R201" s="270">
        <v>1</v>
      </c>
      <c r="S201" s="43">
        <f t="shared" si="12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10"/>
        <v>0</v>
      </c>
      <c r="N202" s="26"/>
      <c r="O202" s="31"/>
      <c r="P202" s="99"/>
      <c r="Q202" s="26"/>
      <c r="R202" s="27"/>
      <c r="S202" s="26">
        <f t="shared" si="12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10"/>
        <v>0</v>
      </c>
      <c r="N203" s="43"/>
      <c r="O203" s="41"/>
      <c r="P203" s="113">
        <v>4</v>
      </c>
      <c r="Q203" s="114">
        <v>7395.85</v>
      </c>
      <c r="R203" s="270">
        <v>5</v>
      </c>
      <c r="S203" s="43">
        <f t="shared" si="12"/>
        <v>8452.4000000000015</v>
      </c>
      <c r="T203" s="114">
        <f>4034.1+1921+2497.3</f>
        <v>8452.4000000000015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10"/>
        <v>0</v>
      </c>
      <c r="N204" s="26"/>
      <c r="O204" s="31"/>
      <c r="P204" s="99"/>
      <c r="Q204" s="26"/>
      <c r="R204" s="27"/>
      <c r="S204" s="26">
        <f t="shared" si="12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1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166</v>
      </c>
      <c r="C206" s="381" t="s">
        <v>22</v>
      </c>
      <c r="D206" s="381"/>
      <c r="E206" s="381" t="s">
        <v>27</v>
      </c>
      <c r="F206" s="223" t="s">
        <v>420</v>
      </c>
      <c r="G206" s="47" t="s">
        <v>24</v>
      </c>
      <c r="H206" s="151">
        <v>1</v>
      </c>
      <c r="I206" s="49"/>
      <c r="J206" s="49"/>
      <c r="K206" s="50"/>
      <c r="L206" s="51"/>
      <c r="M206" s="50">
        <f t="shared" si="10"/>
        <v>0</v>
      </c>
      <c r="N206" s="50"/>
      <c r="O206" s="31"/>
      <c r="P206" s="108">
        <v>3</v>
      </c>
      <c r="Q206" s="65">
        <v>12689.15</v>
      </c>
      <c r="R206" s="224">
        <v>3</v>
      </c>
      <c r="S206" s="50">
        <f t="shared" ref="S206:S220" si="13">T206+U206</f>
        <v>12689.15</v>
      </c>
      <c r="T206" s="65">
        <v>12689.15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6"/>
      <c r="G207" s="227" t="s">
        <v>28</v>
      </c>
      <c r="H207" s="118"/>
      <c r="I207" s="57"/>
      <c r="J207" s="57"/>
      <c r="K207" s="43"/>
      <c r="L207" s="44"/>
      <c r="M207" s="43">
        <f t="shared" si="10"/>
        <v>0</v>
      </c>
      <c r="N207" s="43"/>
      <c r="O207" s="45"/>
      <c r="P207" s="273"/>
      <c r="Q207" s="211"/>
      <c r="R207" s="210"/>
      <c r="S207" s="211">
        <f t="shared" si="13"/>
        <v>0</v>
      </c>
      <c r="T207" s="211"/>
      <c r="U207" s="21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167</v>
      </c>
      <c r="C208" s="374" t="s">
        <v>46</v>
      </c>
      <c r="D208" s="374" t="s">
        <v>168</v>
      </c>
      <c r="E208" s="374" t="s">
        <v>27</v>
      </c>
      <c r="F208" s="204" t="s">
        <v>421</v>
      </c>
      <c r="G208" s="176" t="s">
        <v>24</v>
      </c>
      <c r="H208" s="248">
        <v>4</v>
      </c>
      <c r="I208" s="62">
        <v>3</v>
      </c>
      <c r="J208" s="62">
        <v>3</v>
      </c>
      <c r="K208" s="30">
        <v>2022.81</v>
      </c>
      <c r="L208" s="205">
        <v>3</v>
      </c>
      <c r="M208" s="26">
        <f t="shared" si="10"/>
        <v>2022.81</v>
      </c>
      <c r="N208" s="30">
        <v>2022.81</v>
      </c>
      <c r="O208" s="308"/>
      <c r="P208" s="99"/>
      <c r="Q208" s="26"/>
      <c r="R208" s="27"/>
      <c r="S208" s="26">
        <f t="shared" si="13"/>
        <v>0</v>
      </c>
      <c r="T208" s="26"/>
      <c r="U208" s="28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0" t="s">
        <v>247</v>
      </c>
      <c r="G209" s="229" t="s">
        <v>28</v>
      </c>
      <c r="H209" s="258">
        <v>5</v>
      </c>
      <c r="I209" s="37">
        <v>3</v>
      </c>
      <c r="J209" s="37">
        <v>3</v>
      </c>
      <c r="K209" s="68">
        <v>7684</v>
      </c>
      <c r="L209" s="285">
        <v>1</v>
      </c>
      <c r="M209" s="39">
        <f t="shared" si="10"/>
        <v>9086.33</v>
      </c>
      <c r="N209" s="39">
        <f>1985.09+7101.24</f>
        <v>9086.33</v>
      </c>
      <c r="O209" s="309"/>
      <c r="P209" s="310">
        <v>5</v>
      </c>
      <c r="Q209" s="245">
        <v>21572.83</v>
      </c>
      <c r="R209" s="285">
        <v>5</v>
      </c>
      <c r="S209" s="39">
        <f t="shared" si="13"/>
        <v>12486.5</v>
      </c>
      <c r="T209" s="68">
        <f>4034.1+1152.6+2881.5+2497.3+1921</f>
        <v>12486.5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169</v>
      </c>
      <c r="C210" s="377" t="s">
        <v>39</v>
      </c>
      <c r="D210" s="377"/>
      <c r="E210" s="377" t="s">
        <v>27</v>
      </c>
      <c r="F210" s="72"/>
      <c r="G210" s="291" t="s">
        <v>24</v>
      </c>
      <c r="H210" s="98"/>
      <c r="I210" s="49"/>
      <c r="J210" s="49"/>
      <c r="K210" s="50"/>
      <c r="L210" s="51"/>
      <c r="M210" s="50">
        <f t="shared" si="10"/>
        <v>0</v>
      </c>
      <c r="N210" s="50"/>
      <c r="O210" s="31"/>
      <c r="P210" s="277"/>
      <c r="Q210" s="81"/>
      <c r="R210" s="80"/>
      <c r="S210" s="81">
        <f t="shared" si="13"/>
        <v>0</v>
      </c>
      <c r="T210" s="81"/>
      <c r="U210" s="219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336</v>
      </c>
      <c r="G211" s="229" t="s">
        <v>28</v>
      </c>
      <c r="H211" s="153">
        <v>3</v>
      </c>
      <c r="I211" s="57"/>
      <c r="J211" s="57"/>
      <c r="K211" s="43"/>
      <c r="L211" s="44"/>
      <c r="M211" s="43">
        <f t="shared" si="10"/>
        <v>0</v>
      </c>
      <c r="N211" s="43"/>
      <c r="O211" s="41"/>
      <c r="P211" s="113">
        <v>1</v>
      </c>
      <c r="Q211" s="114">
        <v>3842</v>
      </c>
      <c r="R211" s="316">
        <v>1</v>
      </c>
      <c r="S211" s="50">
        <f t="shared" si="13"/>
        <v>3842</v>
      </c>
      <c r="T211" s="43">
        <f>3842</f>
        <v>3842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2"/>
      <c r="B212" s="374" t="s">
        <v>170</v>
      </c>
      <c r="C212" s="374" t="s">
        <v>22</v>
      </c>
      <c r="D212" s="374"/>
      <c r="E212" s="374" t="s">
        <v>160</v>
      </c>
      <c r="F212" s="232" t="s">
        <v>248</v>
      </c>
      <c r="G212" s="23" t="s">
        <v>24</v>
      </c>
      <c r="H212" s="48">
        <v>12</v>
      </c>
      <c r="I212" s="62">
        <v>10</v>
      </c>
      <c r="J212" s="62">
        <v>16</v>
      </c>
      <c r="K212" s="30">
        <v>36448.26</v>
      </c>
      <c r="L212" s="205">
        <v>16</v>
      </c>
      <c r="M212" s="26">
        <f t="shared" si="10"/>
        <v>36448.26</v>
      </c>
      <c r="N212" s="30">
        <v>36448.26</v>
      </c>
      <c r="O212" s="225"/>
      <c r="P212" s="53">
        <v>20</v>
      </c>
      <c r="Q212" s="30">
        <v>64727.57</v>
      </c>
      <c r="R212" s="205">
        <v>20</v>
      </c>
      <c r="S212" s="26">
        <f t="shared" si="13"/>
        <v>64727.57</v>
      </c>
      <c r="T212" s="30">
        <v>64727.57</v>
      </c>
      <c r="U212" s="225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105"/>
      <c r="G213" s="35" t="s">
        <v>28</v>
      </c>
      <c r="H213" s="116"/>
      <c r="I213" s="38"/>
      <c r="J213" s="38"/>
      <c r="K213" s="39"/>
      <c r="L213" s="40"/>
      <c r="M213" s="39">
        <f t="shared" si="10"/>
        <v>0</v>
      </c>
      <c r="N213" s="39"/>
      <c r="O213" s="41"/>
      <c r="P213" s="59"/>
      <c r="Q213" s="39"/>
      <c r="R213" s="40"/>
      <c r="S213" s="39">
        <f t="shared" si="13"/>
        <v>0</v>
      </c>
      <c r="T213" s="39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171</v>
      </c>
      <c r="C214" s="374" t="s">
        <v>39</v>
      </c>
      <c r="D214" s="374" t="s">
        <v>374</v>
      </c>
      <c r="E214" s="374" t="s">
        <v>27</v>
      </c>
      <c r="F214" s="223" t="s">
        <v>375</v>
      </c>
      <c r="G214" s="176" t="s">
        <v>24</v>
      </c>
      <c r="H214" s="48">
        <v>4</v>
      </c>
      <c r="I214" s="203">
        <v>2</v>
      </c>
      <c r="J214" s="203">
        <v>2</v>
      </c>
      <c r="K214" s="65">
        <v>3169.65</v>
      </c>
      <c r="L214" s="224">
        <v>2</v>
      </c>
      <c r="M214" s="50">
        <f t="shared" si="10"/>
        <v>3169.65</v>
      </c>
      <c r="N214" s="65">
        <v>3169.65</v>
      </c>
      <c r="O214" s="31"/>
      <c r="P214" s="108">
        <v>6</v>
      </c>
      <c r="Q214" s="65">
        <v>16741.060000000001</v>
      </c>
      <c r="R214" s="224">
        <v>6</v>
      </c>
      <c r="S214" s="50">
        <f t="shared" si="13"/>
        <v>16741.060000000001</v>
      </c>
      <c r="T214" s="65">
        <v>16741.060000000001</v>
      </c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337</v>
      </c>
      <c r="G215" s="229" t="s">
        <v>28</v>
      </c>
      <c r="H215" s="133">
        <v>3</v>
      </c>
      <c r="I215" s="130">
        <v>1</v>
      </c>
      <c r="J215" s="130">
        <v>1</v>
      </c>
      <c r="K215" s="114">
        <v>3457.8</v>
      </c>
      <c r="L215" s="128"/>
      <c r="M215" s="50">
        <f t="shared" si="10"/>
        <v>0</v>
      </c>
      <c r="N215" s="43"/>
      <c r="O215" s="41"/>
      <c r="P215" s="113">
        <v>2</v>
      </c>
      <c r="Q215" s="114">
        <v>7299.8</v>
      </c>
      <c r="R215" s="270">
        <v>2</v>
      </c>
      <c r="S215" s="43">
        <f t="shared" si="13"/>
        <v>7299.7999999999993</v>
      </c>
      <c r="T215" s="43">
        <f>3073.6+4226.2</f>
        <v>7299.7999999999993</v>
      </c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172</v>
      </c>
      <c r="C216" s="374" t="s">
        <v>39</v>
      </c>
      <c r="D216" s="374" t="s">
        <v>303</v>
      </c>
      <c r="E216" s="374" t="s">
        <v>121</v>
      </c>
      <c r="F216" s="204" t="s">
        <v>304</v>
      </c>
      <c r="G216" s="176" t="s">
        <v>24</v>
      </c>
      <c r="H216" s="48">
        <v>18</v>
      </c>
      <c r="I216" s="62">
        <v>9</v>
      </c>
      <c r="J216" s="62">
        <v>10</v>
      </c>
      <c r="K216" s="30">
        <v>7339.68</v>
      </c>
      <c r="L216" s="205">
        <v>10</v>
      </c>
      <c r="M216" s="26">
        <f t="shared" si="10"/>
        <v>7339.68</v>
      </c>
      <c r="N216" s="30">
        <v>7339.68</v>
      </c>
      <c r="O216" s="225"/>
      <c r="P216" s="53">
        <v>28</v>
      </c>
      <c r="Q216" s="30">
        <v>74352.649999999994</v>
      </c>
      <c r="R216" s="205">
        <v>26</v>
      </c>
      <c r="S216" s="26">
        <f t="shared" si="13"/>
        <v>73507.41</v>
      </c>
      <c r="T216" s="30">
        <v>73507.41</v>
      </c>
      <c r="U216" s="30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34"/>
      <c r="G217" s="229" t="s">
        <v>25</v>
      </c>
      <c r="H217" s="102"/>
      <c r="I217" s="57"/>
      <c r="J217" s="57"/>
      <c r="K217" s="43"/>
      <c r="L217" s="44"/>
      <c r="M217" s="43">
        <f t="shared" si="10"/>
        <v>0</v>
      </c>
      <c r="N217" s="43"/>
      <c r="O217" s="41"/>
      <c r="P217" s="113">
        <v>1</v>
      </c>
      <c r="Q217" s="114">
        <v>1728.9</v>
      </c>
      <c r="R217" s="270">
        <v>1</v>
      </c>
      <c r="S217" s="43">
        <f t="shared" si="13"/>
        <v>1728.9</v>
      </c>
      <c r="T217" s="114">
        <v>1728.9</v>
      </c>
      <c r="U217" s="23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173</v>
      </c>
      <c r="C218" s="374" t="s">
        <v>39</v>
      </c>
      <c r="D218" s="374" t="s">
        <v>338</v>
      </c>
      <c r="E218" s="374" t="s">
        <v>121</v>
      </c>
      <c r="F218" s="232" t="s">
        <v>376</v>
      </c>
      <c r="G218" s="23" t="s">
        <v>24</v>
      </c>
      <c r="H218" s="61">
        <v>28</v>
      </c>
      <c r="I218" s="25"/>
      <c r="J218" s="25"/>
      <c r="K218" s="26"/>
      <c r="L218" s="27"/>
      <c r="M218" s="26">
        <f t="shared" si="10"/>
        <v>0</v>
      </c>
      <c r="N218" s="26"/>
      <c r="O218" s="31"/>
      <c r="P218" s="53">
        <v>6</v>
      </c>
      <c r="Q218" s="30">
        <v>5292.88</v>
      </c>
      <c r="R218" s="205">
        <v>5</v>
      </c>
      <c r="S218" s="26">
        <f t="shared" si="13"/>
        <v>4887.8599999999997</v>
      </c>
      <c r="T218" s="30">
        <v>4887.8599999999997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339</v>
      </c>
      <c r="G219" s="35" t="s">
        <v>25</v>
      </c>
      <c r="H219" s="117">
        <v>8</v>
      </c>
      <c r="I219" s="37">
        <v>1</v>
      </c>
      <c r="J219" s="37">
        <v>1</v>
      </c>
      <c r="K219" s="68">
        <v>1152.5999999999999</v>
      </c>
      <c r="L219" s="285">
        <v>1</v>
      </c>
      <c r="M219" s="39">
        <f t="shared" si="10"/>
        <v>1152.5999999999999</v>
      </c>
      <c r="N219" s="68">
        <v>1152.5999999999999</v>
      </c>
      <c r="O219" s="234"/>
      <c r="P219" s="115">
        <v>2</v>
      </c>
      <c r="Q219" s="68">
        <v>4942.5</v>
      </c>
      <c r="R219" s="285">
        <v>2</v>
      </c>
      <c r="S219" s="39">
        <f t="shared" si="13"/>
        <v>4942.5</v>
      </c>
      <c r="T219" s="68">
        <v>4942.5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174</v>
      </c>
      <c r="C220" s="374" t="s">
        <v>39</v>
      </c>
      <c r="D220" s="374" t="s">
        <v>175</v>
      </c>
      <c r="E220" s="374" t="s">
        <v>176</v>
      </c>
      <c r="F220" s="204" t="s">
        <v>377</v>
      </c>
      <c r="G220" s="176" t="s">
        <v>24</v>
      </c>
      <c r="H220" s="48">
        <v>12</v>
      </c>
      <c r="I220" s="203">
        <v>10</v>
      </c>
      <c r="J220" s="203">
        <v>11</v>
      </c>
      <c r="K220" s="65">
        <v>20832.330000000002</v>
      </c>
      <c r="L220" s="224">
        <v>9</v>
      </c>
      <c r="M220" s="50">
        <f t="shared" si="10"/>
        <v>16434.740000000002</v>
      </c>
      <c r="N220" s="65">
        <v>16434.740000000002</v>
      </c>
      <c r="O220" s="225"/>
      <c r="P220" s="108">
        <v>18</v>
      </c>
      <c r="Q220" s="65">
        <v>56598.95</v>
      </c>
      <c r="R220" s="224">
        <v>18</v>
      </c>
      <c r="S220" s="50">
        <f t="shared" si="13"/>
        <v>56598.95</v>
      </c>
      <c r="T220" s="65">
        <v>56598.95</v>
      </c>
      <c r="U220" s="225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340</v>
      </c>
      <c r="G221" s="229" t="s">
        <v>25</v>
      </c>
      <c r="H221" s="153">
        <v>2</v>
      </c>
      <c r="I221" s="57"/>
      <c r="J221" s="57"/>
      <c r="K221" s="43"/>
      <c r="L221" s="44"/>
      <c r="M221" s="43">
        <f t="shared" si="10"/>
        <v>0</v>
      </c>
      <c r="N221" s="43"/>
      <c r="O221" s="41"/>
      <c r="P221" s="113">
        <v>9</v>
      </c>
      <c r="Q221" s="114">
        <v>44675.6</v>
      </c>
      <c r="R221" s="270">
        <v>6</v>
      </c>
      <c r="S221" s="114">
        <v>32210.18</v>
      </c>
      <c r="T221" s="114">
        <v>32210.18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177</v>
      </c>
      <c r="C222" s="377" t="s">
        <v>39</v>
      </c>
      <c r="D222" s="374" t="s">
        <v>226</v>
      </c>
      <c r="E222" s="374" t="s">
        <v>27</v>
      </c>
      <c r="F222" s="204" t="s">
        <v>227</v>
      </c>
      <c r="G222" s="23" t="s">
        <v>24</v>
      </c>
      <c r="H222" s="48">
        <v>4</v>
      </c>
      <c r="I222" s="62">
        <v>3</v>
      </c>
      <c r="J222" s="62">
        <v>3</v>
      </c>
      <c r="K222" s="30">
        <v>1969.94</v>
      </c>
      <c r="L222" s="205">
        <v>3</v>
      </c>
      <c r="M222" s="26">
        <f t="shared" si="10"/>
        <v>1969.94</v>
      </c>
      <c r="N222" s="30">
        <v>1969.94</v>
      </c>
      <c r="O222" s="225"/>
      <c r="P222" s="53">
        <v>15</v>
      </c>
      <c r="Q222" s="30">
        <v>47736.39</v>
      </c>
      <c r="R222" s="205">
        <v>15</v>
      </c>
      <c r="S222" s="26">
        <f t="shared" ref="S222:S225" si="14">T222+U222</f>
        <v>47736.39</v>
      </c>
      <c r="T222" s="30">
        <v>47736.39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80"/>
      <c r="D223" s="375"/>
      <c r="E223" s="375"/>
      <c r="F223" s="126"/>
      <c r="G223" s="55" t="s">
        <v>28</v>
      </c>
      <c r="H223" s="118"/>
      <c r="I223" s="57"/>
      <c r="J223" s="57"/>
      <c r="K223" s="43"/>
      <c r="L223" s="44"/>
      <c r="M223" s="43">
        <f t="shared" si="10"/>
        <v>0</v>
      </c>
      <c r="N223" s="43"/>
      <c r="O223" s="41"/>
      <c r="P223" s="103"/>
      <c r="Q223" s="43"/>
      <c r="R223" s="44"/>
      <c r="S223" s="43">
        <f t="shared" si="14"/>
        <v>0</v>
      </c>
      <c r="T223" s="43"/>
      <c r="U223" s="4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178</v>
      </c>
      <c r="C224" s="374" t="s">
        <v>22</v>
      </c>
      <c r="D224" s="374"/>
      <c r="E224" s="374" t="s">
        <v>27</v>
      </c>
      <c r="F224" s="223" t="s">
        <v>452</v>
      </c>
      <c r="G224" s="176" t="s">
        <v>24</v>
      </c>
      <c r="H224" s="61">
        <v>2</v>
      </c>
      <c r="I224" s="62">
        <v>2</v>
      </c>
      <c r="J224" s="62">
        <v>2</v>
      </c>
      <c r="K224" s="30">
        <v>2387.8000000000002</v>
      </c>
      <c r="L224" s="205">
        <v>2</v>
      </c>
      <c r="M224" s="26">
        <f t="shared" si="10"/>
        <v>2387.8000000000002</v>
      </c>
      <c r="N224" s="30">
        <v>2387.8000000000002</v>
      </c>
      <c r="O224" s="31"/>
      <c r="P224" s="29">
        <v>1</v>
      </c>
      <c r="Q224" s="30">
        <v>2466.56</v>
      </c>
      <c r="R224" s="205">
        <v>1</v>
      </c>
      <c r="S224" s="26">
        <f t="shared" si="14"/>
        <v>2466.56</v>
      </c>
      <c r="T224" s="30">
        <v>2466.56</v>
      </c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321"/>
      <c r="G225" s="252" t="s">
        <v>28</v>
      </c>
      <c r="H225" s="322"/>
      <c r="I225" s="139"/>
      <c r="J225" s="139"/>
      <c r="K225" s="142"/>
      <c r="L225" s="143"/>
      <c r="M225" s="142">
        <f t="shared" si="10"/>
        <v>0</v>
      </c>
      <c r="N225" s="142"/>
      <c r="O225" s="323"/>
      <c r="P225" s="324"/>
      <c r="Q225" s="142"/>
      <c r="R225" s="143"/>
      <c r="S225" s="142">
        <f t="shared" si="14"/>
        <v>0</v>
      </c>
      <c r="T225" s="142"/>
      <c r="U225" s="323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445</v>
      </c>
      <c r="C226" s="374"/>
      <c r="D226" s="374"/>
      <c r="E226" s="374"/>
      <c r="F226" s="72"/>
      <c r="G226" s="176" t="s">
        <v>24</v>
      </c>
      <c r="H226" s="265"/>
      <c r="I226" s="266"/>
      <c r="J226" s="96"/>
      <c r="K226" s="81"/>
      <c r="L226" s="80"/>
      <c r="M226" s="81"/>
      <c r="N226" s="81"/>
      <c r="O226" s="82"/>
      <c r="P226" s="295"/>
      <c r="Q226" s="81"/>
      <c r="R226" s="80"/>
      <c r="S226" s="81"/>
      <c r="T226" s="81"/>
      <c r="U226" s="8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6"/>
      <c r="G227" s="252" t="s">
        <v>28</v>
      </c>
      <c r="H227" s="302">
        <v>1</v>
      </c>
      <c r="I227" s="261"/>
      <c r="J227" s="261"/>
      <c r="K227" s="211"/>
      <c r="L227" s="210"/>
      <c r="M227" s="211"/>
      <c r="N227" s="211"/>
      <c r="O227" s="212"/>
      <c r="P227" s="284"/>
      <c r="Q227" s="211"/>
      <c r="R227" s="210"/>
      <c r="S227" s="211"/>
      <c r="T227" s="211"/>
      <c r="U227" s="21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179</v>
      </c>
      <c r="C228" s="374"/>
      <c r="D228" s="374"/>
      <c r="E228" s="374" t="s">
        <v>27</v>
      </c>
      <c r="F228" s="22"/>
      <c r="G228" s="176" t="s">
        <v>24</v>
      </c>
      <c r="H228" s="61">
        <v>2</v>
      </c>
      <c r="I228" s="25"/>
      <c r="J228" s="25"/>
      <c r="K228" s="26"/>
      <c r="L228" s="27"/>
      <c r="M228" s="26">
        <f t="shared" ref="M228:M281" si="15">N228+O228</f>
        <v>0</v>
      </c>
      <c r="N228" s="26"/>
      <c r="O228" s="28"/>
      <c r="P228" s="120"/>
      <c r="Q228" s="26"/>
      <c r="R228" s="27"/>
      <c r="S228" s="26">
        <f t="shared" ref="S228:S246" si="16">T228+U228</f>
        <v>0</v>
      </c>
      <c r="T228" s="26"/>
      <c r="U228" s="28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105"/>
      <c r="G229" s="229" t="s">
        <v>28</v>
      </c>
      <c r="H229" s="298"/>
      <c r="I229" s="261"/>
      <c r="J229" s="261"/>
      <c r="K229" s="211"/>
      <c r="L229" s="210"/>
      <c r="M229" s="211">
        <f t="shared" si="15"/>
        <v>0</v>
      </c>
      <c r="N229" s="211"/>
      <c r="O229" s="212"/>
      <c r="P229" s="284"/>
      <c r="Q229" s="211"/>
      <c r="R229" s="210"/>
      <c r="S229" s="211">
        <f t="shared" si="16"/>
        <v>0</v>
      </c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378</v>
      </c>
      <c r="C230" s="374" t="s">
        <v>46</v>
      </c>
      <c r="D230" s="374" t="s">
        <v>422</v>
      </c>
      <c r="E230" s="374" t="s">
        <v>27</v>
      </c>
      <c r="F230" s="232" t="s">
        <v>423</v>
      </c>
      <c r="G230" s="213" t="s">
        <v>24</v>
      </c>
      <c r="H230" s="61">
        <v>11</v>
      </c>
      <c r="I230" s="62">
        <v>4</v>
      </c>
      <c r="J230" s="62">
        <v>5</v>
      </c>
      <c r="K230" s="30">
        <v>5425.58</v>
      </c>
      <c r="L230" s="205">
        <v>5</v>
      </c>
      <c r="M230" s="26">
        <f t="shared" si="15"/>
        <v>5425.58</v>
      </c>
      <c r="N230" s="30">
        <v>5425.58</v>
      </c>
      <c r="O230" s="28"/>
      <c r="P230" s="214"/>
      <c r="Q230" s="30"/>
      <c r="R230" s="205"/>
      <c r="S230" s="26">
        <f t="shared" si="16"/>
        <v>0</v>
      </c>
      <c r="T230" s="30"/>
      <c r="U230" s="24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/>
      <c r="G231" s="215" t="s">
        <v>28</v>
      </c>
      <c r="H231" s="117">
        <v>5</v>
      </c>
      <c r="I231" s="37">
        <v>1</v>
      </c>
      <c r="J231" s="37">
        <v>1</v>
      </c>
      <c r="K231" s="68">
        <v>1152.5999999999999</v>
      </c>
      <c r="L231" s="40"/>
      <c r="M231" s="39">
        <f t="shared" si="15"/>
        <v>0</v>
      </c>
      <c r="N231" s="39"/>
      <c r="O231" s="41"/>
      <c r="P231" s="217"/>
      <c r="Q231" s="68"/>
      <c r="R231" s="285"/>
      <c r="S231" s="39">
        <f t="shared" si="16"/>
        <v>0</v>
      </c>
      <c r="T231" s="68"/>
      <c r="U231" s="23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6"/>
      <c r="B232" s="377" t="s">
        <v>180</v>
      </c>
      <c r="C232" s="377" t="s">
        <v>46</v>
      </c>
      <c r="D232" s="377" t="s">
        <v>181</v>
      </c>
      <c r="E232" s="377" t="s">
        <v>27</v>
      </c>
      <c r="F232" s="232" t="s">
        <v>228</v>
      </c>
      <c r="G232" s="95" t="s">
        <v>24</v>
      </c>
      <c r="H232" s="265">
        <v>12</v>
      </c>
      <c r="I232" s="266">
        <v>7</v>
      </c>
      <c r="J232" s="266">
        <v>8</v>
      </c>
      <c r="K232" s="79">
        <v>5763.01</v>
      </c>
      <c r="L232" s="268">
        <v>8</v>
      </c>
      <c r="M232" s="81">
        <f t="shared" si="15"/>
        <v>5763.01</v>
      </c>
      <c r="N232" s="79">
        <v>5763.01</v>
      </c>
      <c r="O232" s="219"/>
      <c r="P232" s="267">
        <v>14</v>
      </c>
      <c r="Q232" s="79">
        <v>65943.149999999994</v>
      </c>
      <c r="R232" s="268">
        <v>14</v>
      </c>
      <c r="S232" s="26">
        <f t="shared" si="16"/>
        <v>65943.149999999994</v>
      </c>
      <c r="T232" s="79">
        <v>65943.149999999994</v>
      </c>
      <c r="U232" s="269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9"/>
      <c r="B233" s="380"/>
      <c r="C233" s="380"/>
      <c r="D233" s="380"/>
      <c r="E233" s="380"/>
      <c r="F233" s="54"/>
      <c r="G233" s="55" t="s">
        <v>28</v>
      </c>
      <c r="H233" s="116"/>
      <c r="I233" s="57"/>
      <c r="J233" s="57"/>
      <c r="K233" s="43"/>
      <c r="L233" s="128"/>
      <c r="M233" s="50">
        <f t="shared" si="15"/>
        <v>0</v>
      </c>
      <c r="N233" s="43"/>
      <c r="O233" s="41"/>
      <c r="P233" s="113">
        <v>3</v>
      </c>
      <c r="Q233" s="114">
        <v>15175.95</v>
      </c>
      <c r="R233" s="270">
        <v>2</v>
      </c>
      <c r="S233" s="43">
        <f t="shared" si="16"/>
        <v>2209.1999999999998</v>
      </c>
      <c r="T233" s="114">
        <v>2209.1999999999998</v>
      </c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6.5" customHeight="1">
      <c r="A234" s="372"/>
      <c r="B234" s="374" t="s">
        <v>182</v>
      </c>
      <c r="C234" s="374" t="s">
        <v>46</v>
      </c>
      <c r="D234" s="374" t="s">
        <v>181</v>
      </c>
      <c r="E234" s="374" t="s">
        <v>27</v>
      </c>
      <c r="F234" s="204" t="s">
        <v>379</v>
      </c>
      <c r="G234" s="23" t="s">
        <v>24</v>
      </c>
      <c r="H234" s="48">
        <v>16</v>
      </c>
      <c r="I234" s="62">
        <v>16</v>
      </c>
      <c r="J234" s="62">
        <v>18</v>
      </c>
      <c r="K234" s="30">
        <v>24999.53</v>
      </c>
      <c r="L234" s="205">
        <v>18</v>
      </c>
      <c r="M234" s="26">
        <f t="shared" si="15"/>
        <v>24999.53</v>
      </c>
      <c r="N234" s="30">
        <v>24999.53</v>
      </c>
      <c r="O234" s="31"/>
      <c r="P234" s="53">
        <v>11</v>
      </c>
      <c r="Q234" s="30">
        <v>66117.05</v>
      </c>
      <c r="R234" s="205">
        <v>10</v>
      </c>
      <c r="S234" s="26">
        <f t="shared" si="16"/>
        <v>58580.480000000003</v>
      </c>
      <c r="T234" s="30">
        <v>58580.480000000003</v>
      </c>
      <c r="U234" s="100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6.5" customHeight="1">
      <c r="A235" s="373"/>
      <c r="B235" s="375"/>
      <c r="C235" s="375"/>
      <c r="D235" s="375"/>
      <c r="E235" s="375"/>
      <c r="F235" s="34"/>
      <c r="G235" s="35" t="s">
        <v>28</v>
      </c>
      <c r="H235" s="116"/>
      <c r="I235" s="38"/>
      <c r="J235" s="38"/>
      <c r="K235" s="39"/>
      <c r="L235" s="40"/>
      <c r="M235" s="39">
        <f t="shared" si="15"/>
        <v>0</v>
      </c>
      <c r="N235" s="39"/>
      <c r="O235" s="41"/>
      <c r="P235" s="115">
        <v>2</v>
      </c>
      <c r="Q235" s="68">
        <v>4418.3</v>
      </c>
      <c r="R235" s="285">
        <v>1</v>
      </c>
      <c r="S235" s="39">
        <f t="shared" si="16"/>
        <v>3073.6</v>
      </c>
      <c r="T235" s="39">
        <f>3073.6</f>
        <v>3073.6</v>
      </c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82"/>
      <c r="B236" s="381" t="s">
        <v>183</v>
      </c>
      <c r="C236" s="381" t="s">
        <v>22</v>
      </c>
      <c r="D236" s="381"/>
      <c r="E236" s="381" t="s">
        <v>99</v>
      </c>
      <c r="F236" s="223" t="s">
        <v>380</v>
      </c>
      <c r="G236" s="23" t="s">
        <v>24</v>
      </c>
      <c r="H236" s="48">
        <v>6</v>
      </c>
      <c r="I236" s="203">
        <v>2</v>
      </c>
      <c r="J236" s="203">
        <v>2</v>
      </c>
      <c r="K236" s="65">
        <v>2320.1799999999998</v>
      </c>
      <c r="L236" s="224">
        <v>2</v>
      </c>
      <c r="M236" s="50">
        <f t="shared" si="15"/>
        <v>2320.1799999999998</v>
      </c>
      <c r="N236" s="65">
        <v>2320.1799999999998</v>
      </c>
      <c r="O236" s="31"/>
      <c r="P236" s="108">
        <v>11</v>
      </c>
      <c r="Q236" s="65">
        <v>20748.419999999998</v>
      </c>
      <c r="R236" s="224">
        <v>11</v>
      </c>
      <c r="S236" s="50">
        <f t="shared" si="16"/>
        <v>20748.419999999998</v>
      </c>
      <c r="T236" s="65">
        <v>20748.419999999998</v>
      </c>
      <c r="U236" s="225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9"/>
      <c r="B237" s="380"/>
      <c r="C237" s="380"/>
      <c r="D237" s="380"/>
      <c r="E237" s="380"/>
      <c r="F237" s="233" t="s">
        <v>252</v>
      </c>
      <c r="G237" s="227" t="s">
        <v>28</v>
      </c>
      <c r="H237" s="292">
        <v>6</v>
      </c>
      <c r="I237" s="208">
        <v>1</v>
      </c>
      <c r="J237" s="208">
        <v>1</v>
      </c>
      <c r="K237" s="209">
        <v>3073.6</v>
      </c>
      <c r="L237" s="210"/>
      <c r="M237" s="211">
        <f t="shared" si="15"/>
        <v>0</v>
      </c>
      <c r="N237" s="211"/>
      <c r="O237" s="212"/>
      <c r="P237" s="262">
        <v>2</v>
      </c>
      <c r="Q237" s="209">
        <v>5378.8</v>
      </c>
      <c r="R237" s="290">
        <v>1</v>
      </c>
      <c r="S237" s="211">
        <f t="shared" si="16"/>
        <v>4034.1</v>
      </c>
      <c r="T237" s="211">
        <f>4034.1</f>
        <v>4034.1</v>
      </c>
      <c r="U237" s="21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72"/>
      <c r="B238" s="374" t="s">
        <v>425</v>
      </c>
      <c r="C238" s="374" t="s">
        <v>22</v>
      </c>
      <c r="D238" s="374"/>
      <c r="E238" s="374" t="s">
        <v>131</v>
      </c>
      <c r="F238" s="204" t="s">
        <v>426</v>
      </c>
      <c r="G238" s="176" t="s">
        <v>24</v>
      </c>
      <c r="H238" s="61">
        <v>2</v>
      </c>
      <c r="I238" s="62">
        <v>1</v>
      </c>
      <c r="J238" s="62">
        <v>1</v>
      </c>
      <c r="K238" s="30">
        <v>2161.6999999999998</v>
      </c>
      <c r="L238" s="205">
        <v>1</v>
      </c>
      <c r="M238" s="26">
        <f t="shared" si="15"/>
        <v>2161.6999999999998</v>
      </c>
      <c r="N238" s="30">
        <v>2161.6999999999998</v>
      </c>
      <c r="O238" s="28"/>
      <c r="P238" s="275"/>
      <c r="Q238" s="26"/>
      <c r="R238" s="27"/>
      <c r="S238" s="26">
        <f t="shared" si="16"/>
        <v>0</v>
      </c>
      <c r="T238" s="26"/>
      <c r="U238" s="28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3"/>
      <c r="B239" s="375"/>
      <c r="C239" s="375"/>
      <c r="D239" s="375"/>
      <c r="E239" s="375"/>
      <c r="F239" s="34"/>
      <c r="G239" s="229" t="s">
        <v>25</v>
      </c>
      <c r="H239" s="106"/>
      <c r="I239" s="38"/>
      <c r="J239" s="38"/>
      <c r="K239" s="39"/>
      <c r="L239" s="40"/>
      <c r="M239" s="39">
        <f t="shared" si="15"/>
        <v>0</v>
      </c>
      <c r="N239" s="39"/>
      <c r="O239" s="41"/>
      <c r="P239" s="276"/>
      <c r="Q239" s="39"/>
      <c r="R239" s="40"/>
      <c r="S239" s="39">
        <f t="shared" si="16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6"/>
      <c r="B240" s="377" t="s">
        <v>184</v>
      </c>
      <c r="C240" s="377" t="s">
        <v>22</v>
      </c>
      <c r="D240" s="377"/>
      <c r="E240" s="377" t="s">
        <v>27</v>
      </c>
      <c r="F240" s="223" t="s">
        <v>453</v>
      </c>
      <c r="G240" s="95" t="s">
        <v>24</v>
      </c>
      <c r="H240" s="265">
        <v>1</v>
      </c>
      <c r="I240" s="266">
        <v>1</v>
      </c>
      <c r="J240" s="266">
        <v>1</v>
      </c>
      <c r="K240" s="79">
        <v>950.9</v>
      </c>
      <c r="L240" s="268">
        <v>1</v>
      </c>
      <c r="M240" s="81">
        <f t="shared" si="15"/>
        <v>950.9</v>
      </c>
      <c r="N240" s="79">
        <v>950.9</v>
      </c>
      <c r="O240" s="219"/>
      <c r="P240" s="277"/>
      <c r="Q240" s="81"/>
      <c r="R240" s="80"/>
      <c r="S240" s="81">
        <f t="shared" si="16"/>
        <v>0</v>
      </c>
      <c r="T240" s="81"/>
      <c r="U240" s="219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9"/>
      <c r="B241" s="380"/>
      <c r="C241" s="380"/>
      <c r="D241" s="380"/>
      <c r="E241" s="380"/>
      <c r="F241" s="233" t="s">
        <v>253</v>
      </c>
      <c r="G241" s="227" t="s">
        <v>28</v>
      </c>
      <c r="H241" s="153">
        <v>4</v>
      </c>
      <c r="I241" s="130">
        <v>2</v>
      </c>
      <c r="J241" s="130">
        <v>2</v>
      </c>
      <c r="K241" s="114">
        <v>4701.96</v>
      </c>
      <c r="L241" s="270">
        <v>2</v>
      </c>
      <c r="M241" s="43">
        <f t="shared" si="15"/>
        <v>5301.96</v>
      </c>
      <c r="N241" s="43">
        <f>1921+3380.96</f>
        <v>5301.96</v>
      </c>
      <c r="O241" s="41"/>
      <c r="P241" s="113">
        <v>5</v>
      </c>
      <c r="Q241" s="114">
        <v>10565.5</v>
      </c>
      <c r="R241" s="270">
        <v>3</v>
      </c>
      <c r="S241" s="43">
        <f t="shared" si="16"/>
        <v>7684</v>
      </c>
      <c r="T241" s="114">
        <f>2958.34+3457.8+1267.86</f>
        <v>7684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2"/>
      <c r="B242" s="374" t="s">
        <v>185</v>
      </c>
      <c r="C242" s="374" t="s">
        <v>22</v>
      </c>
      <c r="D242" s="374"/>
      <c r="E242" s="374" t="s">
        <v>27</v>
      </c>
      <c r="F242" s="204" t="s">
        <v>341</v>
      </c>
      <c r="G242" s="176" t="s">
        <v>24</v>
      </c>
      <c r="H242" s="98"/>
      <c r="I242" s="25"/>
      <c r="J242" s="25"/>
      <c r="K242" s="26"/>
      <c r="L242" s="27"/>
      <c r="M242" s="26">
        <f t="shared" si="15"/>
        <v>0</v>
      </c>
      <c r="N242" s="26"/>
      <c r="O242" s="31"/>
      <c r="P242" s="53">
        <v>2</v>
      </c>
      <c r="Q242" s="30">
        <v>2633.4</v>
      </c>
      <c r="R242" s="205">
        <v>2</v>
      </c>
      <c r="S242" s="26">
        <f t="shared" si="16"/>
        <v>2633.4</v>
      </c>
      <c r="T242" s="30">
        <v>2633.4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0" t="s">
        <v>342</v>
      </c>
      <c r="G243" s="229" t="s">
        <v>28</v>
      </c>
      <c r="H243" s="133">
        <v>3</v>
      </c>
      <c r="I243" s="57"/>
      <c r="J243" s="57"/>
      <c r="K243" s="43"/>
      <c r="L243" s="44"/>
      <c r="M243" s="43">
        <f t="shared" si="15"/>
        <v>0</v>
      </c>
      <c r="N243" s="43"/>
      <c r="O243" s="41"/>
      <c r="P243" s="113">
        <v>1</v>
      </c>
      <c r="Q243" s="114">
        <v>2994.47</v>
      </c>
      <c r="R243" s="270">
        <v>1</v>
      </c>
      <c r="S243" s="43">
        <f t="shared" si="16"/>
        <v>2994.47</v>
      </c>
      <c r="T243" s="43">
        <f>2994.47</f>
        <v>2994.47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186</v>
      </c>
      <c r="C244" s="374" t="s">
        <v>22</v>
      </c>
      <c r="D244" s="374"/>
      <c r="E244" s="374" t="s">
        <v>99</v>
      </c>
      <c r="F244" s="232" t="s">
        <v>315</v>
      </c>
      <c r="G244" s="23" t="s">
        <v>24</v>
      </c>
      <c r="H244" s="48">
        <v>7</v>
      </c>
      <c r="I244" s="62">
        <v>4</v>
      </c>
      <c r="J244" s="62">
        <v>6</v>
      </c>
      <c r="K244" s="30">
        <v>15409.25</v>
      </c>
      <c r="L244" s="205">
        <v>5</v>
      </c>
      <c r="M244" s="26">
        <f t="shared" si="15"/>
        <v>12320.28</v>
      </c>
      <c r="N244" s="30">
        <v>12320.28</v>
      </c>
      <c r="O244" s="31"/>
      <c r="P244" s="53">
        <v>12</v>
      </c>
      <c r="Q244" s="30">
        <v>25258.31</v>
      </c>
      <c r="R244" s="205">
        <v>12</v>
      </c>
      <c r="S244" s="26">
        <f t="shared" si="16"/>
        <v>25258.31</v>
      </c>
      <c r="T244" s="30">
        <v>25258.31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254</v>
      </c>
      <c r="G245" s="35" t="s">
        <v>28</v>
      </c>
      <c r="H245" s="153">
        <v>8</v>
      </c>
      <c r="I245" s="38"/>
      <c r="J245" s="38"/>
      <c r="K245" s="39"/>
      <c r="L245" s="40"/>
      <c r="M245" s="39">
        <f t="shared" si="15"/>
        <v>0</v>
      </c>
      <c r="N245" s="39"/>
      <c r="O245" s="41"/>
      <c r="P245" s="59"/>
      <c r="Q245" s="39"/>
      <c r="R245" s="40"/>
      <c r="S245" s="39">
        <f t="shared" si="16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187</v>
      </c>
      <c r="C246" s="381" t="s">
        <v>22</v>
      </c>
      <c r="D246" s="381"/>
      <c r="E246" s="381" t="s">
        <v>131</v>
      </c>
      <c r="F246" s="223" t="s">
        <v>343</v>
      </c>
      <c r="G246" s="23" t="s">
        <v>24</v>
      </c>
      <c r="H246" s="48">
        <v>13</v>
      </c>
      <c r="I246" s="203">
        <v>11</v>
      </c>
      <c r="J246" s="203">
        <v>16</v>
      </c>
      <c r="K246" s="65">
        <v>32555.18</v>
      </c>
      <c r="L246" s="224">
        <v>13</v>
      </c>
      <c r="M246" s="50">
        <f t="shared" si="15"/>
        <v>25793.23</v>
      </c>
      <c r="N246" s="65">
        <v>25793.23</v>
      </c>
      <c r="O246" s="225"/>
      <c r="P246" s="108">
        <v>18</v>
      </c>
      <c r="Q246" s="65">
        <v>50634.13</v>
      </c>
      <c r="R246" s="224">
        <v>18</v>
      </c>
      <c r="S246" s="50">
        <f t="shared" si="16"/>
        <v>50634.13</v>
      </c>
      <c r="T246" s="65">
        <v>50634.13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9"/>
      <c r="B247" s="380"/>
      <c r="C247" s="380"/>
      <c r="D247" s="380"/>
      <c r="E247" s="380"/>
      <c r="F247" s="247"/>
      <c r="G247" s="227" t="s">
        <v>25</v>
      </c>
      <c r="H247" s="153">
        <v>1</v>
      </c>
      <c r="I247" s="130">
        <v>1</v>
      </c>
      <c r="J247" s="130">
        <v>1</v>
      </c>
      <c r="K247" s="114">
        <v>1728.9</v>
      </c>
      <c r="L247" s="44"/>
      <c r="M247" s="43">
        <f t="shared" si="15"/>
        <v>0</v>
      </c>
      <c r="N247" s="43"/>
      <c r="O247" s="41"/>
      <c r="P247" s="113">
        <v>3</v>
      </c>
      <c r="Q247" s="114">
        <v>23282.52</v>
      </c>
      <c r="R247" s="270">
        <v>3</v>
      </c>
      <c r="S247" s="114">
        <v>23282.52</v>
      </c>
      <c r="T247" s="114">
        <v>23282.52</v>
      </c>
      <c r="U247" s="23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429</v>
      </c>
      <c r="C248" s="374" t="s">
        <v>22</v>
      </c>
      <c r="D248" s="374"/>
      <c r="E248" s="374" t="s">
        <v>27</v>
      </c>
      <c r="F248" s="204" t="s">
        <v>446</v>
      </c>
      <c r="G248" s="176" t="s">
        <v>24</v>
      </c>
      <c r="H248" s="151"/>
      <c r="I248" s="25"/>
      <c r="J248" s="25"/>
      <c r="K248" s="26"/>
      <c r="L248" s="27"/>
      <c r="M248" s="26">
        <f t="shared" si="15"/>
        <v>0</v>
      </c>
      <c r="N248" s="30"/>
      <c r="O248" s="31"/>
      <c r="P248" s="53">
        <v>1</v>
      </c>
      <c r="Q248" s="30">
        <v>36784.050000000003</v>
      </c>
      <c r="R248" s="205">
        <v>1</v>
      </c>
      <c r="S248" s="26">
        <f t="shared" ref="S248:S274" si="17">T248+U248</f>
        <v>36784.050000000003</v>
      </c>
      <c r="T248" s="30">
        <v>36784.050000000003</v>
      </c>
      <c r="U248" s="3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/>
      <c r="G249" s="229" t="s">
        <v>28</v>
      </c>
      <c r="H249" s="56"/>
      <c r="I249" s="57"/>
      <c r="J249" s="57"/>
      <c r="K249" s="43"/>
      <c r="L249" s="44"/>
      <c r="M249" s="43">
        <f t="shared" si="15"/>
        <v>0</v>
      </c>
      <c r="N249" s="43"/>
      <c r="O249" s="45"/>
      <c r="P249" s="113"/>
      <c r="Q249" s="114"/>
      <c r="R249" s="44"/>
      <c r="S249" s="43">
        <f t="shared" si="17"/>
        <v>0</v>
      </c>
      <c r="T249" s="114"/>
      <c r="U249" s="22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188</v>
      </c>
      <c r="C250" s="374" t="s">
        <v>39</v>
      </c>
      <c r="D250" s="374"/>
      <c r="E250" s="374" t="s">
        <v>27</v>
      </c>
      <c r="F250" s="22"/>
      <c r="G250" s="176" t="s">
        <v>24</v>
      </c>
      <c r="H250" s="151">
        <v>2</v>
      </c>
      <c r="I250" s="25"/>
      <c r="J250" s="25"/>
      <c r="K250" s="26"/>
      <c r="L250" s="27"/>
      <c r="M250" s="26">
        <f t="shared" si="15"/>
        <v>0</v>
      </c>
      <c r="N250" s="26"/>
      <c r="O250" s="31"/>
      <c r="P250" s="53">
        <v>1</v>
      </c>
      <c r="Q250" s="30">
        <v>2000</v>
      </c>
      <c r="R250" s="27"/>
      <c r="S250" s="26">
        <f t="shared" si="17"/>
        <v>0</v>
      </c>
      <c r="T250" s="26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20.25" customHeight="1">
      <c r="A251" s="373"/>
      <c r="B251" s="375"/>
      <c r="C251" s="375"/>
      <c r="D251" s="375"/>
      <c r="E251" s="375"/>
      <c r="F251" s="220" t="s">
        <v>344</v>
      </c>
      <c r="G251" s="229" t="s">
        <v>28</v>
      </c>
      <c r="H251" s="56">
        <v>3</v>
      </c>
      <c r="I251" s="130">
        <v>1</v>
      </c>
      <c r="J251" s="130">
        <v>1</v>
      </c>
      <c r="K251" s="114">
        <v>1052.5999999999999</v>
      </c>
      <c r="L251" s="44"/>
      <c r="M251" s="43">
        <f t="shared" si="15"/>
        <v>0</v>
      </c>
      <c r="N251" s="43"/>
      <c r="O251" s="222">
        <v>0</v>
      </c>
      <c r="P251" s="113">
        <v>13</v>
      </c>
      <c r="Q251" s="114">
        <v>15160.1</v>
      </c>
      <c r="R251" s="44"/>
      <c r="S251" s="43">
        <f t="shared" si="17"/>
        <v>4050.2</v>
      </c>
      <c r="T251" s="114">
        <v>4050.2</v>
      </c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189</v>
      </c>
      <c r="C252" s="374" t="s">
        <v>39</v>
      </c>
      <c r="D252" s="374" t="s">
        <v>427</v>
      </c>
      <c r="E252" s="374" t="s">
        <v>27</v>
      </c>
      <c r="F252" s="232" t="s">
        <v>428</v>
      </c>
      <c r="G252" s="23" t="s">
        <v>24</v>
      </c>
      <c r="H252" s="24">
        <v>14</v>
      </c>
      <c r="I252" s="62">
        <v>12</v>
      </c>
      <c r="J252" s="62">
        <v>16</v>
      </c>
      <c r="K252" s="30">
        <v>30360.41</v>
      </c>
      <c r="L252" s="205">
        <v>15</v>
      </c>
      <c r="M252" s="26">
        <f t="shared" si="15"/>
        <v>28760.58</v>
      </c>
      <c r="N252" s="30">
        <v>28760.58</v>
      </c>
      <c r="O252" s="241"/>
      <c r="P252" s="29">
        <v>2</v>
      </c>
      <c r="Q252" s="30">
        <v>1870.81</v>
      </c>
      <c r="R252" s="205">
        <v>2</v>
      </c>
      <c r="S252" s="26">
        <f t="shared" si="17"/>
        <v>1870.81</v>
      </c>
      <c r="T252" s="30">
        <v>1870.81</v>
      </c>
      <c r="U252" s="2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256</v>
      </c>
      <c r="G253" s="35" t="s">
        <v>28</v>
      </c>
      <c r="H253" s="66">
        <v>3</v>
      </c>
      <c r="I253" s="37">
        <v>1</v>
      </c>
      <c r="J253" s="37">
        <v>1</v>
      </c>
      <c r="K253" s="68">
        <v>1921</v>
      </c>
      <c r="L253" s="40"/>
      <c r="M253" s="39">
        <f t="shared" si="15"/>
        <v>0</v>
      </c>
      <c r="N253" s="39"/>
      <c r="O253" s="41"/>
      <c r="P253" s="69"/>
      <c r="Q253" s="39"/>
      <c r="R253" s="40"/>
      <c r="S253" s="39">
        <f t="shared" si="17"/>
        <v>0</v>
      </c>
      <c r="T253" s="39"/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82"/>
      <c r="B254" s="381" t="s">
        <v>190</v>
      </c>
      <c r="C254" s="381" t="s">
        <v>39</v>
      </c>
      <c r="D254" s="381" t="s">
        <v>191</v>
      </c>
      <c r="E254" s="381" t="s">
        <v>27</v>
      </c>
      <c r="F254" s="46"/>
      <c r="G254" s="47" t="s">
        <v>24</v>
      </c>
      <c r="H254" s="98"/>
      <c r="I254" s="49"/>
      <c r="J254" s="49"/>
      <c r="K254" s="50"/>
      <c r="L254" s="51"/>
      <c r="M254" s="50">
        <f t="shared" si="15"/>
        <v>0</v>
      </c>
      <c r="N254" s="50"/>
      <c r="O254" s="31"/>
      <c r="P254" s="123"/>
      <c r="Q254" s="50"/>
      <c r="R254" s="51"/>
      <c r="S254" s="50">
        <f t="shared" si="17"/>
        <v>0</v>
      </c>
      <c r="T254" s="50"/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345</v>
      </c>
      <c r="G255" s="35" t="s">
        <v>28</v>
      </c>
      <c r="H255" s="112">
        <v>2</v>
      </c>
      <c r="I255" s="57"/>
      <c r="J255" s="57"/>
      <c r="K255" s="43"/>
      <c r="L255" s="44"/>
      <c r="M255" s="43">
        <f t="shared" si="15"/>
        <v>0</v>
      </c>
      <c r="N255" s="43"/>
      <c r="O255" s="45"/>
      <c r="P255" s="115">
        <v>4</v>
      </c>
      <c r="Q255" s="68">
        <v>5106.7</v>
      </c>
      <c r="R255" s="285">
        <v>5</v>
      </c>
      <c r="S255" s="39">
        <f t="shared" si="17"/>
        <v>6739.58</v>
      </c>
      <c r="T255" s="68">
        <f>3818+2921.58</f>
        <v>6739.58</v>
      </c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192</v>
      </c>
      <c r="C256" s="374" t="s">
        <v>22</v>
      </c>
      <c r="D256" s="374"/>
      <c r="E256" s="374" t="s">
        <v>193</v>
      </c>
      <c r="F256" s="204" t="s">
        <v>318</v>
      </c>
      <c r="G256" s="176" t="s">
        <v>24</v>
      </c>
      <c r="H256" s="61">
        <v>9</v>
      </c>
      <c r="I256" s="62">
        <v>8</v>
      </c>
      <c r="J256" s="62">
        <v>9</v>
      </c>
      <c r="K256" s="30">
        <v>9532.68</v>
      </c>
      <c r="L256" s="205">
        <v>9</v>
      </c>
      <c r="M256" s="26">
        <f t="shared" si="15"/>
        <v>9532.68</v>
      </c>
      <c r="N256" s="30">
        <v>9532.68</v>
      </c>
      <c r="O256" s="100"/>
      <c r="P256" s="64">
        <v>20</v>
      </c>
      <c r="Q256" s="65">
        <v>52299.07</v>
      </c>
      <c r="R256" s="224">
        <v>19</v>
      </c>
      <c r="S256" s="50">
        <f t="shared" si="17"/>
        <v>49928.89</v>
      </c>
      <c r="T256" s="65">
        <v>49928.89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346</v>
      </c>
      <c r="G257" s="229" t="s">
        <v>28</v>
      </c>
      <c r="H257" s="133">
        <v>1</v>
      </c>
      <c r="I257" s="37">
        <v>1</v>
      </c>
      <c r="J257" s="37">
        <v>1</v>
      </c>
      <c r="K257" s="68">
        <v>1728.9</v>
      </c>
      <c r="L257" s="285">
        <v>1</v>
      </c>
      <c r="M257" s="39">
        <f t="shared" si="15"/>
        <v>1728.9</v>
      </c>
      <c r="N257" s="39">
        <f>1728.9</f>
        <v>1728.9</v>
      </c>
      <c r="O257" s="41"/>
      <c r="P257" s="42"/>
      <c r="Q257" s="43"/>
      <c r="R257" s="44"/>
      <c r="S257" s="43">
        <f t="shared" si="17"/>
        <v>0</v>
      </c>
      <c r="T257" s="43"/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194</v>
      </c>
      <c r="C258" s="377" t="s">
        <v>39</v>
      </c>
      <c r="D258" s="377" t="s">
        <v>319</v>
      </c>
      <c r="E258" s="374" t="s">
        <v>160</v>
      </c>
      <c r="F258" s="232" t="s">
        <v>320</v>
      </c>
      <c r="G258" s="23" t="s">
        <v>24</v>
      </c>
      <c r="H258" s="48">
        <v>5</v>
      </c>
      <c r="I258" s="203">
        <v>4</v>
      </c>
      <c r="J258" s="203">
        <v>4</v>
      </c>
      <c r="K258" s="65">
        <v>2968.33</v>
      </c>
      <c r="L258" s="316">
        <v>3</v>
      </c>
      <c r="M258" s="129">
        <f t="shared" si="15"/>
        <v>2090.2399999999998</v>
      </c>
      <c r="N258" s="65">
        <v>2090.2399999999998</v>
      </c>
      <c r="O258" s="225"/>
      <c r="P258" s="29">
        <v>3</v>
      </c>
      <c r="Q258" s="30">
        <v>6107.21</v>
      </c>
      <c r="R258" s="205">
        <v>3</v>
      </c>
      <c r="S258" s="26">
        <f t="shared" si="17"/>
        <v>6107.21</v>
      </c>
      <c r="T258" s="30">
        <v>6107.21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347</v>
      </c>
      <c r="G259" s="35" t="s">
        <v>28</v>
      </c>
      <c r="H259" s="117">
        <v>2</v>
      </c>
      <c r="I259" s="37"/>
      <c r="J259" s="37"/>
      <c r="K259" s="39"/>
      <c r="L259" s="44"/>
      <c r="M259" s="43">
        <f t="shared" si="15"/>
        <v>0</v>
      </c>
      <c r="N259" s="39"/>
      <c r="O259" s="41"/>
      <c r="P259" s="37">
        <v>5</v>
      </c>
      <c r="Q259" s="37">
        <v>12038.63</v>
      </c>
      <c r="R259" s="285">
        <v>4</v>
      </c>
      <c r="S259" s="39">
        <f t="shared" si="17"/>
        <v>8529.17</v>
      </c>
      <c r="T259" s="68">
        <f>576.3+4045.34+3273.6+633.93</f>
        <v>8529.17</v>
      </c>
      <c r="U259" s="2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195</v>
      </c>
      <c r="C260" s="377" t="s">
        <v>39</v>
      </c>
      <c r="D260" s="377" t="s">
        <v>231</v>
      </c>
      <c r="E260" s="381" t="s">
        <v>27</v>
      </c>
      <c r="F260" s="204" t="s">
        <v>232</v>
      </c>
      <c r="G260" s="47" t="s">
        <v>24</v>
      </c>
      <c r="H260" s="61">
        <v>2</v>
      </c>
      <c r="I260" s="25"/>
      <c r="J260" s="25"/>
      <c r="K260" s="26"/>
      <c r="L260" s="205"/>
      <c r="M260" s="26">
        <f t="shared" si="15"/>
        <v>0</v>
      </c>
      <c r="N260" s="26"/>
      <c r="O260" s="31"/>
      <c r="P260" s="64">
        <v>7</v>
      </c>
      <c r="Q260" s="65">
        <v>46859.35</v>
      </c>
      <c r="R260" s="224">
        <v>7</v>
      </c>
      <c r="S260" s="50">
        <f t="shared" si="17"/>
        <v>46859.35</v>
      </c>
      <c r="T260" s="65">
        <v>46859.35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1" t="s">
        <v>260</v>
      </c>
      <c r="G261" s="55" t="s">
        <v>28</v>
      </c>
      <c r="H261" s="178">
        <v>5</v>
      </c>
      <c r="I261" s="130">
        <v>2</v>
      </c>
      <c r="J261" s="130">
        <v>2</v>
      </c>
      <c r="K261" s="114">
        <v>1997.84</v>
      </c>
      <c r="L261" s="270">
        <v>2</v>
      </c>
      <c r="M261" s="43">
        <f t="shared" si="15"/>
        <v>1997.84</v>
      </c>
      <c r="N261" s="43">
        <f>1152.6+845.24</f>
        <v>1997.84</v>
      </c>
      <c r="O261" s="222"/>
      <c r="P261" s="130">
        <v>7</v>
      </c>
      <c r="Q261" s="130">
        <v>24706.45</v>
      </c>
      <c r="R261" s="270">
        <v>10</v>
      </c>
      <c r="S261" s="43">
        <f t="shared" si="17"/>
        <v>34770.1</v>
      </c>
      <c r="T261" s="114">
        <f>4994.6+12678.6+576.3+6915.6+6915.6+576.3+2113.1</f>
        <v>34770.1</v>
      </c>
      <c r="U261" s="222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196</v>
      </c>
      <c r="C262" s="381" t="s">
        <v>22</v>
      </c>
      <c r="D262" s="374"/>
      <c r="E262" s="381" t="s">
        <v>27</v>
      </c>
      <c r="F262" s="22"/>
      <c r="G262" s="23" t="s">
        <v>24</v>
      </c>
      <c r="H262" s="119"/>
      <c r="I262" s="25"/>
      <c r="J262" s="25"/>
      <c r="K262" s="26"/>
      <c r="L262" s="27"/>
      <c r="M262" s="26">
        <f t="shared" si="15"/>
        <v>0</v>
      </c>
      <c r="N262" s="26"/>
      <c r="O262" s="28"/>
      <c r="P262" s="120"/>
      <c r="Q262" s="26"/>
      <c r="R262" s="27"/>
      <c r="S262" s="26">
        <f t="shared" si="17"/>
        <v>0</v>
      </c>
      <c r="T262" s="26"/>
      <c r="U262" s="28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348</v>
      </c>
      <c r="G263" s="35" t="s">
        <v>28</v>
      </c>
      <c r="H263" s="66">
        <v>4</v>
      </c>
      <c r="I263" s="38"/>
      <c r="J263" s="38"/>
      <c r="K263" s="39"/>
      <c r="L263" s="40"/>
      <c r="M263" s="39">
        <f t="shared" si="15"/>
        <v>0</v>
      </c>
      <c r="N263" s="39"/>
      <c r="O263" s="41"/>
      <c r="P263" s="67">
        <v>4</v>
      </c>
      <c r="Q263" s="68">
        <v>11282.42</v>
      </c>
      <c r="R263" s="285">
        <v>3</v>
      </c>
      <c r="S263" s="39">
        <f t="shared" si="17"/>
        <v>9655</v>
      </c>
      <c r="T263" s="39">
        <f>2547.3+4226.2+2881.5</f>
        <v>9655</v>
      </c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82"/>
      <c r="B264" s="381" t="s">
        <v>197</v>
      </c>
      <c r="C264" s="381" t="s">
        <v>39</v>
      </c>
      <c r="D264" s="381" t="s">
        <v>381</v>
      </c>
      <c r="E264" s="381" t="s">
        <v>27</v>
      </c>
      <c r="F264" s="204" t="s">
        <v>382</v>
      </c>
      <c r="G264" s="47" t="s">
        <v>24</v>
      </c>
      <c r="H264" s="98"/>
      <c r="I264" s="49"/>
      <c r="J264" s="49"/>
      <c r="K264" s="50"/>
      <c r="L264" s="51"/>
      <c r="M264" s="50">
        <f t="shared" si="15"/>
        <v>0</v>
      </c>
      <c r="N264" s="50"/>
      <c r="O264" s="31"/>
      <c r="P264" s="108">
        <v>1</v>
      </c>
      <c r="Q264" s="65">
        <v>748.24</v>
      </c>
      <c r="R264" s="224">
        <v>1</v>
      </c>
      <c r="S264" s="50">
        <f t="shared" si="17"/>
        <v>748.24</v>
      </c>
      <c r="T264" s="65">
        <v>748.24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9"/>
      <c r="B265" s="380"/>
      <c r="C265" s="380"/>
      <c r="D265" s="380"/>
      <c r="E265" s="380"/>
      <c r="F265" s="221" t="s">
        <v>349</v>
      </c>
      <c r="G265" s="55" t="s">
        <v>28</v>
      </c>
      <c r="H265" s="153">
        <v>4</v>
      </c>
      <c r="I265" s="130">
        <v>2</v>
      </c>
      <c r="J265" s="130">
        <v>2</v>
      </c>
      <c r="K265" s="114">
        <v>3265.7</v>
      </c>
      <c r="L265" s="270">
        <v>2</v>
      </c>
      <c r="M265" s="43">
        <f t="shared" si="15"/>
        <v>2977.55</v>
      </c>
      <c r="N265" s="43">
        <f>1056.55+1921</f>
        <v>2977.55</v>
      </c>
      <c r="O265" s="41"/>
      <c r="P265" s="103"/>
      <c r="Q265" s="43"/>
      <c r="R265" s="270">
        <v>2</v>
      </c>
      <c r="S265" s="43">
        <f t="shared" si="17"/>
        <v>3765.16</v>
      </c>
      <c r="T265" s="114">
        <f>1440.75+2324.41</f>
        <v>3765.16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2"/>
      <c r="B266" s="374" t="s">
        <v>198</v>
      </c>
      <c r="C266" s="374" t="s">
        <v>22</v>
      </c>
      <c r="D266" s="374"/>
      <c r="E266" s="374" t="s">
        <v>112</v>
      </c>
      <c r="F266" s="204" t="s">
        <v>383</v>
      </c>
      <c r="G266" s="23" t="s">
        <v>24</v>
      </c>
      <c r="H266" s="48">
        <v>8</v>
      </c>
      <c r="I266" s="62">
        <v>5</v>
      </c>
      <c r="J266" s="62">
        <v>5</v>
      </c>
      <c r="K266" s="30">
        <v>5867.69</v>
      </c>
      <c r="L266" s="205">
        <v>4</v>
      </c>
      <c r="M266" s="26">
        <f t="shared" si="15"/>
        <v>2486.73</v>
      </c>
      <c r="N266" s="30">
        <v>2486.73</v>
      </c>
      <c r="O266" s="31"/>
      <c r="P266" s="53">
        <v>12</v>
      </c>
      <c r="Q266" s="30">
        <v>46848.4</v>
      </c>
      <c r="R266" s="205">
        <v>11</v>
      </c>
      <c r="S266" s="26">
        <f t="shared" si="17"/>
        <v>44151.34</v>
      </c>
      <c r="T266" s="30">
        <v>44151.34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0" t="s">
        <v>350</v>
      </c>
      <c r="G267" s="35" t="s">
        <v>28</v>
      </c>
      <c r="H267" s="153">
        <v>1</v>
      </c>
      <c r="I267" s="38"/>
      <c r="J267" s="38"/>
      <c r="K267" s="39"/>
      <c r="L267" s="40"/>
      <c r="M267" s="39">
        <f t="shared" si="15"/>
        <v>0</v>
      </c>
      <c r="N267" s="39"/>
      <c r="O267" s="41"/>
      <c r="P267" s="59"/>
      <c r="Q267" s="39"/>
      <c r="R267" s="40"/>
      <c r="S267" s="39">
        <f t="shared" si="17"/>
        <v>0</v>
      </c>
      <c r="T267" s="39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82"/>
      <c r="B268" s="381" t="s">
        <v>199</v>
      </c>
      <c r="C268" s="381" t="s">
        <v>22</v>
      </c>
      <c r="D268" s="381"/>
      <c r="E268" s="381" t="s">
        <v>131</v>
      </c>
      <c r="F268" s="46"/>
      <c r="G268" s="23" t="s">
        <v>24</v>
      </c>
      <c r="H268" s="98"/>
      <c r="I268" s="49"/>
      <c r="J268" s="49"/>
      <c r="K268" s="50"/>
      <c r="L268" s="51"/>
      <c r="M268" s="50">
        <f t="shared" si="15"/>
        <v>0</v>
      </c>
      <c r="N268" s="50"/>
      <c r="O268" s="31"/>
      <c r="P268" s="123"/>
      <c r="Q268" s="50"/>
      <c r="R268" s="51"/>
      <c r="S268" s="50">
        <f t="shared" si="17"/>
        <v>0</v>
      </c>
      <c r="T268" s="50"/>
      <c r="U268" s="3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9"/>
      <c r="B269" s="380"/>
      <c r="C269" s="380"/>
      <c r="D269" s="380"/>
      <c r="E269" s="380"/>
      <c r="F269" s="126"/>
      <c r="G269" s="55" t="s">
        <v>25</v>
      </c>
      <c r="H269" s="118"/>
      <c r="I269" s="57"/>
      <c r="J269" s="57"/>
      <c r="K269" s="43"/>
      <c r="L269" s="44"/>
      <c r="M269" s="43">
        <f t="shared" si="15"/>
        <v>0</v>
      </c>
      <c r="N269" s="43"/>
      <c r="O269" s="41"/>
      <c r="P269" s="103"/>
      <c r="Q269" s="43"/>
      <c r="R269" s="44"/>
      <c r="S269" s="43">
        <f t="shared" si="17"/>
        <v>0</v>
      </c>
      <c r="T269" s="43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2"/>
      <c r="B270" s="374" t="s">
        <v>200</v>
      </c>
      <c r="C270" s="374" t="s">
        <v>22</v>
      </c>
      <c r="D270" s="374"/>
      <c r="E270" s="374" t="s">
        <v>27</v>
      </c>
      <c r="F270" s="204" t="s">
        <v>384</v>
      </c>
      <c r="G270" s="23" t="s">
        <v>24</v>
      </c>
      <c r="H270" s="61">
        <v>2</v>
      </c>
      <c r="I270" s="62">
        <v>2</v>
      </c>
      <c r="J270" s="62">
        <v>3</v>
      </c>
      <c r="K270" s="30">
        <v>5695.28</v>
      </c>
      <c r="L270" s="205">
        <v>3</v>
      </c>
      <c r="M270" s="26">
        <f t="shared" si="15"/>
        <v>5695.28</v>
      </c>
      <c r="N270" s="30">
        <v>5695.28</v>
      </c>
      <c r="O270" s="31"/>
      <c r="P270" s="29">
        <v>5</v>
      </c>
      <c r="Q270" s="30">
        <v>20287.48</v>
      </c>
      <c r="R270" s="205">
        <v>5</v>
      </c>
      <c r="S270" s="26">
        <f t="shared" si="17"/>
        <v>20287.48</v>
      </c>
      <c r="T270" s="30">
        <v>20287.48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33" t="s">
        <v>351</v>
      </c>
      <c r="G271" s="227" t="s">
        <v>28</v>
      </c>
      <c r="H271" s="207">
        <v>2</v>
      </c>
      <c r="I271" s="208">
        <v>1</v>
      </c>
      <c r="J271" s="208">
        <v>1</v>
      </c>
      <c r="K271" s="209">
        <v>1056.55</v>
      </c>
      <c r="L271" s="210"/>
      <c r="M271" s="211">
        <f t="shared" si="15"/>
        <v>0</v>
      </c>
      <c r="N271" s="211"/>
      <c r="O271" s="212"/>
      <c r="P271" s="284"/>
      <c r="Q271" s="211"/>
      <c r="R271" s="290">
        <v>1</v>
      </c>
      <c r="S271" s="211">
        <f t="shared" si="17"/>
        <v>1921</v>
      </c>
      <c r="T271" s="209">
        <v>1921</v>
      </c>
      <c r="U271" s="212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430</v>
      </c>
      <c r="C272" s="374" t="s">
        <v>39</v>
      </c>
      <c r="D272" s="374" t="s">
        <v>439</v>
      </c>
      <c r="E272" s="374" t="s">
        <v>27</v>
      </c>
      <c r="F272" s="204" t="s">
        <v>440</v>
      </c>
      <c r="G272" s="213" t="s">
        <v>24</v>
      </c>
      <c r="H272" s="61"/>
      <c r="I272" s="62"/>
      <c r="J272" s="62"/>
      <c r="K272" s="30"/>
      <c r="L272" s="27"/>
      <c r="M272" s="26">
        <f t="shared" si="15"/>
        <v>0</v>
      </c>
      <c r="N272" s="26"/>
      <c r="O272" s="241"/>
      <c r="P272" s="214"/>
      <c r="Q272" s="30"/>
      <c r="R272" s="205"/>
      <c r="S272" s="26">
        <f t="shared" si="17"/>
        <v>0</v>
      </c>
      <c r="T272" s="30"/>
      <c r="U272" s="28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/>
      <c r="G273" s="215" t="s">
        <v>28</v>
      </c>
      <c r="H273" s="117"/>
      <c r="I273" s="37"/>
      <c r="J273" s="37"/>
      <c r="K273" s="68"/>
      <c r="L273" s="40"/>
      <c r="M273" s="39">
        <f t="shared" si="15"/>
        <v>0</v>
      </c>
      <c r="N273" s="39"/>
      <c r="O273" s="234"/>
      <c r="P273" s="217"/>
      <c r="Q273" s="68"/>
      <c r="R273" s="285"/>
      <c r="S273" s="39">
        <f t="shared" si="17"/>
        <v>0</v>
      </c>
      <c r="T273" s="68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6"/>
      <c r="B274" s="377" t="s">
        <v>201</v>
      </c>
      <c r="C274" s="377" t="s">
        <v>39</v>
      </c>
      <c r="D274" s="377" t="s">
        <v>385</v>
      </c>
      <c r="E274" s="377" t="s">
        <v>386</v>
      </c>
      <c r="F274" s="232" t="s">
        <v>387</v>
      </c>
      <c r="G274" s="95" t="s">
        <v>24</v>
      </c>
      <c r="H274" s="265">
        <v>13</v>
      </c>
      <c r="I274" s="266">
        <v>12</v>
      </c>
      <c r="J274" s="266">
        <v>17</v>
      </c>
      <c r="K274" s="79">
        <v>22989.200000000001</v>
      </c>
      <c r="L274" s="268">
        <v>17</v>
      </c>
      <c r="M274" s="81">
        <f t="shared" si="15"/>
        <v>22989.200000000001</v>
      </c>
      <c r="N274" s="79">
        <v>22989.200000000001</v>
      </c>
      <c r="O274" s="313"/>
      <c r="P274" s="267">
        <v>2</v>
      </c>
      <c r="Q274" s="79">
        <v>4356.83</v>
      </c>
      <c r="R274" s="268">
        <v>2</v>
      </c>
      <c r="S274" s="81">
        <f t="shared" si="17"/>
        <v>4356.83</v>
      </c>
      <c r="T274" s="79">
        <v>4356.83</v>
      </c>
      <c r="U274" s="8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105"/>
      <c r="G275" s="35" t="s">
        <v>25</v>
      </c>
      <c r="H275" s="117">
        <v>1</v>
      </c>
      <c r="I275" s="38"/>
      <c r="J275" s="38"/>
      <c r="K275" s="39"/>
      <c r="L275" s="40"/>
      <c r="M275" s="39">
        <f t="shared" si="15"/>
        <v>0</v>
      </c>
      <c r="N275" s="39"/>
      <c r="O275" s="58"/>
      <c r="P275" s="115">
        <v>2</v>
      </c>
      <c r="Q275" s="68">
        <v>4418.3</v>
      </c>
      <c r="R275" s="285">
        <v>2</v>
      </c>
      <c r="S275" s="68">
        <v>4418.3</v>
      </c>
      <c r="T275" s="68">
        <v>4418.3</v>
      </c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82"/>
      <c r="B276" s="381" t="s">
        <v>202</v>
      </c>
      <c r="C276" s="381" t="s">
        <v>39</v>
      </c>
      <c r="D276" s="377" t="s">
        <v>441</v>
      </c>
      <c r="E276" s="381" t="s">
        <v>27</v>
      </c>
      <c r="F276" s="204" t="s">
        <v>442</v>
      </c>
      <c r="G276" s="47" t="s">
        <v>24</v>
      </c>
      <c r="H276" s="48">
        <v>2</v>
      </c>
      <c r="I276" s="203">
        <v>2</v>
      </c>
      <c r="J276" s="203">
        <v>2</v>
      </c>
      <c r="K276" s="65">
        <v>2382.04</v>
      </c>
      <c r="L276" s="224">
        <v>2</v>
      </c>
      <c r="M276" s="50">
        <f t="shared" si="15"/>
        <v>2382.04</v>
      </c>
      <c r="N276" s="65">
        <v>2382.04</v>
      </c>
      <c r="O276" s="31"/>
      <c r="P276" s="108">
        <v>2</v>
      </c>
      <c r="Q276" s="65">
        <v>4082.51</v>
      </c>
      <c r="R276" s="224">
        <v>2</v>
      </c>
      <c r="S276" s="50">
        <f t="shared" ref="S276:S280" si="18">T276+U276</f>
        <v>4082.51</v>
      </c>
      <c r="T276" s="65">
        <v>4082.51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21" t="s">
        <v>262</v>
      </c>
      <c r="G277" s="55" t="s">
        <v>28</v>
      </c>
      <c r="H277" s="112">
        <v>2</v>
      </c>
      <c r="I277" s="130">
        <v>1</v>
      </c>
      <c r="J277" s="130">
        <v>1</v>
      </c>
      <c r="K277" s="114">
        <v>1479.17</v>
      </c>
      <c r="L277" s="316">
        <v>1</v>
      </c>
      <c r="M277" s="129">
        <f t="shared" si="15"/>
        <v>1479.17</v>
      </c>
      <c r="N277" s="43">
        <f>1479.17</f>
        <v>1479.17</v>
      </c>
      <c r="O277" s="45"/>
      <c r="P277" s="113">
        <v>3</v>
      </c>
      <c r="Q277" s="114">
        <v>12486.5</v>
      </c>
      <c r="R277" s="316">
        <v>3</v>
      </c>
      <c r="S277" s="129">
        <f t="shared" si="18"/>
        <v>12102.3</v>
      </c>
      <c r="T277" s="114">
        <f>3649.9+1344.7+7107.7</f>
        <v>12102.3</v>
      </c>
      <c r="U277" s="4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203</v>
      </c>
      <c r="C278" s="374"/>
      <c r="D278" s="374"/>
      <c r="E278" s="374" t="s">
        <v>27</v>
      </c>
      <c r="F278" s="60"/>
      <c r="G278" s="23" t="s">
        <v>24</v>
      </c>
      <c r="H278" s="61">
        <v>2</v>
      </c>
      <c r="I278" s="25"/>
      <c r="J278" s="25"/>
      <c r="K278" s="26"/>
      <c r="L278" s="27"/>
      <c r="M278" s="26">
        <f t="shared" si="15"/>
        <v>0</v>
      </c>
      <c r="N278" s="26"/>
      <c r="O278" s="28"/>
      <c r="P278" s="120"/>
      <c r="Q278" s="26"/>
      <c r="R278" s="27"/>
      <c r="S278" s="26">
        <f t="shared" si="18"/>
        <v>0</v>
      </c>
      <c r="T278" s="26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34"/>
      <c r="G279" s="35" t="s">
        <v>28</v>
      </c>
      <c r="H279" s="117"/>
      <c r="I279" s="38"/>
      <c r="J279" s="38"/>
      <c r="K279" s="39"/>
      <c r="L279" s="40"/>
      <c r="M279" s="39">
        <f t="shared" si="15"/>
        <v>0</v>
      </c>
      <c r="N279" s="39"/>
      <c r="O279" s="41"/>
      <c r="P279" s="69"/>
      <c r="Q279" s="39"/>
      <c r="R279" s="40"/>
      <c r="S279" s="39">
        <f t="shared" si="18"/>
        <v>0</v>
      </c>
      <c r="T279" s="39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82"/>
      <c r="B280" s="381" t="s">
        <v>204</v>
      </c>
      <c r="C280" s="381" t="s">
        <v>22</v>
      </c>
      <c r="D280" s="381"/>
      <c r="E280" s="381" t="s">
        <v>23</v>
      </c>
      <c r="F280" s="204" t="s">
        <v>431</v>
      </c>
      <c r="G280" s="47" t="s">
        <v>24</v>
      </c>
      <c r="H280" s="48">
        <v>9</v>
      </c>
      <c r="I280" s="203">
        <v>5</v>
      </c>
      <c r="J280" s="203">
        <v>6</v>
      </c>
      <c r="K280" s="65">
        <v>8254.93</v>
      </c>
      <c r="L280" s="224">
        <v>6</v>
      </c>
      <c r="M280" s="50">
        <f t="shared" si="15"/>
        <v>8254.93</v>
      </c>
      <c r="N280" s="65">
        <v>8254.93</v>
      </c>
      <c r="O280" s="225"/>
      <c r="P280" s="108">
        <v>4</v>
      </c>
      <c r="Q280" s="65">
        <v>3363.11</v>
      </c>
      <c r="R280" s="224">
        <v>4</v>
      </c>
      <c r="S280" s="50">
        <f t="shared" si="18"/>
        <v>3363.11</v>
      </c>
      <c r="T280" s="65">
        <v>3363.11</v>
      </c>
      <c r="U280" s="225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25</v>
      </c>
      <c r="H281" s="111"/>
      <c r="I281" s="38"/>
      <c r="J281" s="38"/>
      <c r="K281" s="39"/>
      <c r="L281" s="40"/>
      <c r="M281" s="39">
        <f t="shared" si="15"/>
        <v>0</v>
      </c>
      <c r="N281" s="39"/>
      <c r="O281" s="41"/>
      <c r="P281" s="115">
        <v>1</v>
      </c>
      <c r="Q281" s="68">
        <v>2305.1999999999998</v>
      </c>
      <c r="R281" s="285">
        <v>1</v>
      </c>
      <c r="S281" s="68">
        <v>2305.1999999999998</v>
      </c>
      <c r="T281" s="68">
        <v>2305.1999999999998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179"/>
      <c r="B282" s="180" t="s">
        <v>205</v>
      </c>
      <c r="C282" s="180"/>
      <c r="D282" s="180"/>
      <c r="E282" s="180"/>
      <c r="F282" s="180"/>
      <c r="G282" s="181"/>
      <c r="H282" s="182">
        <f t="shared" ref="H282:U282" si="19">SUM(H9:H281)</f>
        <v>1156</v>
      </c>
      <c r="I282" s="183">
        <f t="shared" si="19"/>
        <v>639</v>
      </c>
      <c r="J282" s="183">
        <f t="shared" si="19"/>
        <v>772</v>
      </c>
      <c r="K282" s="184">
        <f t="shared" si="19"/>
        <v>1334272.8599999996</v>
      </c>
      <c r="L282" s="185">
        <f t="shared" si="19"/>
        <v>700</v>
      </c>
      <c r="M282" s="184">
        <f t="shared" si="19"/>
        <v>1197615</v>
      </c>
      <c r="N282" s="184">
        <f t="shared" si="19"/>
        <v>1197615</v>
      </c>
      <c r="O282" s="186">
        <f t="shared" si="19"/>
        <v>0</v>
      </c>
      <c r="P282" s="187">
        <f t="shared" si="19"/>
        <v>1166</v>
      </c>
      <c r="Q282" s="188">
        <f t="shared" si="19"/>
        <v>3883247.049999998</v>
      </c>
      <c r="R282" s="185">
        <f t="shared" si="19"/>
        <v>1079</v>
      </c>
      <c r="S282" s="188">
        <f t="shared" si="19"/>
        <v>3697920.7299999981</v>
      </c>
      <c r="T282" s="188">
        <f t="shared" si="19"/>
        <v>3697920.7299999981</v>
      </c>
      <c r="U282" s="189">
        <f t="shared" si="19"/>
        <v>0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I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 t="s">
        <v>206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27.75" customHeight="1">
      <c r="A286" s="4"/>
      <c r="B286" s="4"/>
      <c r="C286" s="4"/>
      <c r="D286" s="4"/>
      <c r="E286" s="4"/>
      <c r="F286" s="394"/>
      <c r="G286" s="395" t="s">
        <v>5</v>
      </c>
      <c r="H286" s="396"/>
      <c r="I286" s="396"/>
      <c r="J286" s="396"/>
      <c r="K286" s="396"/>
      <c r="L286" s="396"/>
      <c r="M286" s="396"/>
      <c r="N286" s="397"/>
      <c r="O286" s="395" t="s">
        <v>6</v>
      </c>
      <c r="P286" s="396"/>
      <c r="Q286" s="396"/>
      <c r="R286" s="396"/>
      <c r="S286" s="396"/>
      <c r="T286" s="397"/>
      <c r="U286" s="393" t="s">
        <v>207</v>
      </c>
      <c r="V286" s="393" t="s">
        <v>208</v>
      </c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386"/>
      <c r="G287" s="190" t="s">
        <v>13</v>
      </c>
      <c r="H287" s="190" t="s">
        <v>14</v>
      </c>
      <c r="I287" s="190" t="s">
        <v>15</v>
      </c>
      <c r="J287" s="190" t="s">
        <v>16</v>
      </c>
      <c r="K287" s="191" t="s">
        <v>17</v>
      </c>
      <c r="L287" s="190" t="s">
        <v>18</v>
      </c>
      <c r="M287" s="190" t="s">
        <v>19</v>
      </c>
      <c r="N287" s="190" t="s">
        <v>20</v>
      </c>
      <c r="O287" s="190" t="s">
        <v>15</v>
      </c>
      <c r="P287" s="190" t="s">
        <v>16</v>
      </c>
      <c r="Q287" s="191" t="s">
        <v>17</v>
      </c>
      <c r="R287" s="190" t="s">
        <v>18</v>
      </c>
      <c r="S287" s="190" t="s">
        <v>19</v>
      </c>
      <c r="T287" s="190" t="s">
        <v>20</v>
      </c>
      <c r="U287" s="392"/>
      <c r="V287" s="392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192" t="s">
        <v>24</v>
      </c>
      <c r="G288" s="193">
        <f t="shared" ref="G288:I288" si="20">SUMIF($G$9:$G$281,$F$288,H9:H281)</f>
        <v>823</v>
      </c>
      <c r="H288" s="193">
        <f t="shared" si="20"/>
        <v>535</v>
      </c>
      <c r="I288" s="193">
        <f t="shared" si="20"/>
        <v>668</v>
      </c>
      <c r="J288" s="194">
        <f t="shared" ref="J288:J290" si="21">SUMIF($G$9:$G$281,F288,$K$9:$K$281)</f>
        <v>1163826.2100000002</v>
      </c>
      <c r="K288" s="195">
        <f t="shared" ref="K288:K290" si="22">SUMIF($G$9:$G$281,F288,$L$9:$L$281)</f>
        <v>631</v>
      </c>
      <c r="L288" s="194">
        <f t="shared" ref="L288:L290" si="23">SUMIF($G$9:$G$281,F288,$M$9:$M$281)</f>
        <v>1079941.6600000004</v>
      </c>
      <c r="M288" s="194">
        <f t="shared" ref="M288:O288" si="24">SUMIF($G$9:$G$281,$F$288,N9:N281)</f>
        <v>1079941.6600000004</v>
      </c>
      <c r="N288" s="194">
        <f t="shared" si="24"/>
        <v>0</v>
      </c>
      <c r="O288" s="193">
        <f t="shared" si="24"/>
        <v>956</v>
      </c>
      <c r="P288" s="194">
        <f t="shared" ref="P288:P290" si="25">SUMIF($G$9:$G$281,F288,$Q$9:$Q$281)</f>
        <v>3265187.8199999975</v>
      </c>
      <c r="Q288" s="195">
        <f t="shared" ref="Q288:Q290" si="26">SUMIF($G$9:$G$281,F288,$R$9:$R$281)</f>
        <v>899</v>
      </c>
      <c r="R288" s="194">
        <f t="shared" ref="R288:R290" si="27">SUMIF($G$9:$G$281,F288,$S$9:$S$281)</f>
        <v>3123133.589999998</v>
      </c>
      <c r="S288" s="194">
        <f t="shared" ref="S288:T288" si="28">SUMIF($G$9:$G$281,$F$288,T9:T281)</f>
        <v>3123133.589999998</v>
      </c>
      <c r="T288" s="194">
        <f t="shared" si="28"/>
        <v>0</v>
      </c>
      <c r="U288" s="194">
        <f t="shared" ref="U288:U290" si="29">S288+M288</f>
        <v>4203075.2499999981</v>
      </c>
      <c r="V288" s="196">
        <f t="shared" ref="V288:V290" si="30">J288-M288+P288-S288</f>
        <v>225938.77999999933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192" t="s">
        <v>28</v>
      </c>
      <c r="G289" s="236">
        <f t="shared" ref="G289:I289" si="31">SUMIF($G$9:$G$281,$F$289,H9:H281)</f>
        <v>275</v>
      </c>
      <c r="H289" s="193">
        <f t="shared" si="31"/>
        <v>81</v>
      </c>
      <c r="I289" s="193">
        <f t="shared" si="31"/>
        <v>81</v>
      </c>
      <c r="J289" s="194">
        <f t="shared" si="21"/>
        <v>134312.64000000001</v>
      </c>
      <c r="K289" s="195">
        <f t="shared" si="22"/>
        <v>52</v>
      </c>
      <c r="L289" s="194">
        <f t="shared" si="23"/>
        <v>89645.950000000012</v>
      </c>
      <c r="M289" s="194">
        <f t="shared" ref="M289:O289" si="32">SUMIF($G$9:$G$281,$F$289,N9:N281)</f>
        <v>89645.950000000012</v>
      </c>
      <c r="N289" s="194">
        <f t="shared" si="32"/>
        <v>0</v>
      </c>
      <c r="O289" s="193">
        <f t="shared" si="32"/>
        <v>160</v>
      </c>
      <c r="P289" s="194">
        <f t="shared" si="25"/>
        <v>447211.1</v>
      </c>
      <c r="Q289" s="195">
        <f t="shared" si="26"/>
        <v>135</v>
      </c>
      <c r="R289" s="194">
        <f t="shared" si="27"/>
        <v>419093.8299999999</v>
      </c>
      <c r="S289" s="194">
        <f t="shared" ref="S289:T289" si="33">SUMIF($G$9:$G$281,$F$289,T9:T281)</f>
        <v>419093.8299999999</v>
      </c>
      <c r="T289" s="194">
        <f t="shared" si="33"/>
        <v>0</v>
      </c>
      <c r="U289" s="194">
        <f t="shared" si="29"/>
        <v>508739.77999999991</v>
      </c>
      <c r="V289" s="196">
        <f t="shared" si="30"/>
        <v>72783.960000000079</v>
      </c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25</v>
      </c>
      <c r="G290" s="193">
        <f t="shared" ref="G290:I290" si="34">SUMIF($G$9:$G$281,$F$290,H9:H281)</f>
        <v>58</v>
      </c>
      <c r="H290" s="193">
        <f t="shared" si="34"/>
        <v>23</v>
      </c>
      <c r="I290" s="193">
        <f t="shared" si="34"/>
        <v>23</v>
      </c>
      <c r="J290" s="194">
        <f t="shared" si="21"/>
        <v>36134.01</v>
      </c>
      <c r="K290" s="195">
        <f t="shared" si="22"/>
        <v>17</v>
      </c>
      <c r="L290" s="194">
        <f t="shared" si="23"/>
        <v>28027.390000000003</v>
      </c>
      <c r="M290" s="194">
        <f t="shared" ref="M290:O290" si="35">SUMIF($G$9:$G$281,$F$290,N9:N281)</f>
        <v>28027.390000000003</v>
      </c>
      <c r="N290" s="194">
        <f t="shared" si="35"/>
        <v>0</v>
      </c>
      <c r="O290" s="193">
        <f t="shared" si="35"/>
        <v>50</v>
      </c>
      <c r="P290" s="194">
        <f t="shared" si="25"/>
        <v>170848.12999999998</v>
      </c>
      <c r="Q290" s="195">
        <f t="shared" si="26"/>
        <v>45</v>
      </c>
      <c r="R290" s="194">
        <f t="shared" si="27"/>
        <v>155693.31</v>
      </c>
      <c r="S290" s="194">
        <f t="shared" ref="S290:T290" si="36">SUMIF($G$9:$G$281,$F$290,T9:T281)</f>
        <v>155693.31</v>
      </c>
      <c r="T290" s="194">
        <f t="shared" si="36"/>
        <v>0</v>
      </c>
      <c r="U290" s="194">
        <f t="shared" si="29"/>
        <v>183720.7</v>
      </c>
      <c r="V290" s="196">
        <f t="shared" si="30"/>
        <v>23261.439999999973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197">
        <f t="shared" ref="G291:V291" si="37">G290+G289+G288</f>
        <v>1156</v>
      </c>
      <c r="H291" s="197">
        <f t="shared" si="37"/>
        <v>639</v>
      </c>
      <c r="I291" s="197">
        <f t="shared" si="37"/>
        <v>772</v>
      </c>
      <c r="J291" s="198">
        <f t="shared" si="37"/>
        <v>1334272.8600000003</v>
      </c>
      <c r="K291" s="199">
        <f t="shared" si="37"/>
        <v>700</v>
      </c>
      <c r="L291" s="198">
        <f t="shared" si="37"/>
        <v>1197615.0000000005</v>
      </c>
      <c r="M291" s="198">
        <f t="shared" si="37"/>
        <v>1197615.0000000005</v>
      </c>
      <c r="N291" s="198">
        <f t="shared" si="37"/>
        <v>0</v>
      </c>
      <c r="O291" s="197">
        <f t="shared" si="37"/>
        <v>1166</v>
      </c>
      <c r="P291" s="198">
        <f t="shared" si="37"/>
        <v>3883247.0499999975</v>
      </c>
      <c r="Q291" s="200">
        <f t="shared" si="37"/>
        <v>1079</v>
      </c>
      <c r="R291" s="198">
        <f t="shared" si="37"/>
        <v>3697920.7299999977</v>
      </c>
      <c r="S291" s="198">
        <f t="shared" si="37"/>
        <v>3697920.7299999977</v>
      </c>
      <c r="T291" s="198">
        <f t="shared" si="37"/>
        <v>0</v>
      </c>
      <c r="U291" s="198">
        <f t="shared" si="37"/>
        <v>4895535.7299999986</v>
      </c>
      <c r="V291" s="198">
        <f t="shared" si="37"/>
        <v>321984.17999999935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K292" s="201"/>
      <c r="L292" s="201"/>
      <c r="R292" s="2"/>
    </row>
    <row r="293" spans="1:32" ht="15.75" customHeight="1">
      <c r="K293" s="201"/>
      <c r="L293" s="201"/>
      <c r="R293" s="2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L444" s="2"/>
      <c r="R444" s="2"/>
    </row>
    <row r="445" spans="11:18" ht="15.75" customHeight="1">
      <c r="L445" s="2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</sheetData>
  <mergeCells count="681">
    <mergeCell ref="B206:B207"/>
    <mergeCell ref="C206:C207"/>
    <mergeCell ref="A208:A209"/>
    <mergeCell ref="B208:B209"/>
    <mergeCell ref="C208:C209"/>
    <mergeCell ref="D208:D209"/>
    <mergeCell ref="E208:E209"/>
    <mergeCell ref="D224:D225"/>
    <mergeCell ref="E224:E225"/>
    <mergeCell ref="B224:B225"/>
    <mergeCell ref="C224:C225"/>
    <mergeCell ref="C189:C190"/>
    <mergeCell ref="D189:D190"/>
    <mergeCell ref="E189:E190"/>
    <mergeCell ref="A191:A192"/>
    <mergeCell ref="A195:A196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A204:A205"/>
    <mergeCell ref="B204:B205"/>
    <mergeCell ref="C204:C205"/>
    <mergeCell ref="D204:D205"/>
    <mergeCell ref="E204:E205"/>
    <mergeCell ref="A206:A207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202:A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B173:B174"/>
    <mergeCell ref="C173:C174"/>
    <mergeCell ref="A175:A176"/>
    <mergeCell ref="B175:B176"/>
    <mergeCell ref="C175:C176"/>
    <mergeCell ref="B177:B178"/>
    <mergeCell ref="C177:C178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G286:N286"/>
    <mergeCell ref="O286:T286"/>
    <mergeCell ref="U286:U287"/>
    <mergeCell ref="V286:V287"/>
    <mergeCell ref="D173:D174"/>
    <mergeCell ref="E173:E174"/>
    <mergeCell ref="D175:D176"/>
    <mergeCell ref="E175:E176"/>
    <mergeCell ref="D177:D178"/>
    <mergeCell ref="E177:E178"/>
    <mergeCell ref="D206:D207"/>
    <mergeCell ref="E206:E207"/>
    <mergeCell ref="D226:D227"/>
    <mergeCell ref="E226:E227"/>
    <mergeCell ref="D228:D229"/>
    <mergeCell ref="E228:E229"/>
    <mergeCell ref="B272:B273"/>
    <mergeCell ref="C272:C273"/>
    <mergeCell ref="B276:B277"/>
    <mergeCell ref="C276:C277"/>
    <mergeCell ref="A278:A279"/>
    <mergeCell ref="B278:B279"/>
    <mergeCell ref="C278:C279"/>
    <mergeCell ref="A280:A281"/>
    <mergeCell ref="B280:B281"/>
    <mergeCell ref="C280:C281"/>
    <mergeCell ref="A272:A273"/>
    <mergeCell ref="A274:A275"/>
    <mergeCell ref="B274:B275"/>
    <mergeCell ref="C274:C275"/>
    <mergeCell ref="A276:A277"/>
    <mergeCell ref="D280:D281"/>
    <mergeCell ref="E280:E281"/>
    <mergeCell ref="F286:F287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D268:D269"/>
    <mergeCell ref="E268:E269"/>
    <mergeCell ref="D270:D271"/>
    <mergeCell ref="E270:E271"/>
    <mergeCell ref="D272:D273"/>
    <mergeCell ref="E272:E273"/>
    <mergeCell ref="D276:D277"/>
    <mergeCell ref="E276:E277"/>
    <mergeCell ref="D278:D279"/>
    <mergeCell ref="E278:E279"/>
    <mergeCell ref="D274:D275"/>
    <mergeCell ref="E274:E275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A226:A227"/>
    <mergeCell ref="B226:B227"/>
    <mergeCell ref="C226:C227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2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1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1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10</v>
      </c>
      <c r="I11" s="203">
        <v>10</v>
      </c>
      <c r="J11" s="203">
        <v>13</v>
      </c>
      <c r="K11" s="65">
        <v>27696.39</v>
      </c>
      <c r="L11" s="224">
        <v>7</v>
      </c>
      <c r="M11" s="50">
        <f t="shared" si="0"/>
        <v>13908.85</v>
      </c>
      <c r="N11" s="65">
        <v>13908.85</v>
      </c>
      <c r="O11" s="52"/>
      <c r="P11" s="53">
        <v>12</v>
      </c>
      <c r="Q11" s="30">
        <v>79204.2</v>
      </c>
      <c r="R11" s="205">
        <v>9</v>
      </c>
      <c r="S11" s="26">
        <f t="shared" si="1"/>
        <v>67281.350000000006</v>
      </c>
      <c r="T11" s="30">
        <v>67281.350000000006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130">
        <v>1</v>
      </c>
      <c r="J12" s="130">
        <v>1</v>
      </c>
      <c r="K12" s="114">
        <v>1152.5999999999999</v>
      </c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12</v>
      </c>
      <c r="I13" s="62">
        <v>10</v>
      </c>
      <c r="J13" s="62">
        <v>16</v>
      </c>
      <c r="K13" s="30">
        <v>40078.93</v>
      </c>
      <c r="L13" s="205">
        <v>16</v>
      </c>
      <c r="M13" s="26">
        <f t="shared" si="0"/>
        <v>40078.93</v>
      </c>
      <c r="N13" s="30">
        <v>40078.93</v>
      </c>
      <c r="O13" s="299"/>
      <c r="P13" s="64">
        <v>18</v>
      </c>
      <c r="Q13" s="65">
        <v>80536.960000000006</v>
      </c>
      <c r="R13" s="224">
        <v>18</v>
      </c>
      <c r="S13" s="50">
        <f t="shared" si="1"/>
        <v>80536.960000000006</v>
      </c>
      <c r="T13" s="65">
        <v>80536.960000000006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3</v>
      </c>
      <c r="I14" s="37">
        <v>1</v>
      </c>
      <c r="J14" s="37">
        <v>1</v>
      </c>
      <c r="K14" s="68">
        <v>1344.7</v>
      </c>
      <c r="L14" s="40"/>
      <c r="M14" s="39">
        <f t="shared" si="0"/>
        <v>0</v>
      </c>
      <c r="N14" s="39"/>
      <c r="O14" s="41"/>
      <c r="P14" s="67">
        <v>4</v>
      </c>
      <c r="Q14" s="68">
        <v>24204.6</v>
      </c>
      <c r="R14" s="285">
        <v>3</v>
      </c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90">
        <v>1</v>
      </c>
      <c r="M16" s="211">
        <f t="shared" si="0"/>
        <v>576.29999999999995</v>
      </c>
      <c r="N16" s="211">
        <f>576.3</f>
        <v>576.29999999999995</v>
      </c>
      <c r="O16" s="212"/>
      <c r="P16" s="262">
        <v>5</v>
      </c>
      <c r="Q16" s="209">
        <v>9605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10</v>
      </c>
      <c r="I17" s="62">
        <v>4</v>
      </c>
      <c r="J17" s="62">
        <v>4</v>
      </c>
      <c r="K17" s="30">
        <v>4141.68</v>
      </c>
      <c r="L17" s="205">
        <v>4</v>
      </c>
      <c r="M17" s="26">
        <f t="shared" si="0"/>
        <v>4141.68</v>
      </c>
      <c r="N17" s="30">
        <v>4141.68</v>
      </c>
      <c r="O17" s="264"/>
      <c r="P17" s="53">
        <v>11</v>
      </c>
      <c r="Q17" s="30">
        <v>26586.84</v>
      </c>
      <c r="R17" s="205">
        <v>11</v>
      </c>
      <c r="S17" s="26">
        <f t="shared" si="1"/>
        <v>26586.84</v>
      </c>
      <c r="T17" s="30">
        <v>26586.84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5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8</v>
      </c>
      <c r="I19" s="266">
        <v>6</v>
      </c>
      <c r="J19" s="266">
        <v>9</v>
      </c>
      <c r="K19" s="79">
        <v>16872.189999999999</v>
      </c>
      <c r="L19" s="268">
        <v>8</v>
      </c>
      <c r="M19" s="81">
        <f t="shared" si="0"/>
        <v>13014.04</v>
      </c>
      <c r="N19" s="79">
        <v>13014.04</v>
      </c>
      <c r="O19" s="269"/>
      <c r="P19" s="267">
        <v>10</v>
      </c>
      <c r="Q19" s="79">
        <v>22605.93</v>
      </c>
      <c r="R19" s="268">
        <v>10</v>
      </c>
      <c r="S19" s="81">
        <f t="shared" si="1"/>
        <v>22605.93</v>
      </c>
      <c r="T19" s="79">
        <v>22605.93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285">
        <v>2</v>
      </c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9</v>
      </c>
      <c r="J21" s="203">
        <v>16</v>
      </c>
      <c r="K21" s="65">
        <v>23101.61</v>
      </c>
      <c r="L21" s="224">
        <v>16</v>
      </c>
      <c r="M21" s="50">
        <f t="shared" si="0"/>
        <v>23101.61</v>
      </c>
      <c r="N21" s="65">
        <v>23101.61</v>
      </c>
      <c r="O21" s="225"/>
      <c r="P21" s="53">
        <v>14</v>
      </c>
      <c r="Q21" s="30">
        <v>22822.54</v>
      </c>
      <c r="R21" s="205">
        <v>14</v>
      </c>
      <c r="S21" s="26">
        <f t="shared" si="1"/>
        <v>22822.54</v>
      </c>
      <c r="T21" s="30">
        <v>22822.54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4262.51</v>
      </c>
      <c r="L23" s="205">
        <v>6</v>
      </c>
      <c r="M23" s="26">
        <f t="shared" si="0"/>
        <v>4262.51</v>
      </c>
      <c r="N23" s="30">
        <v>4262.51</v>
      </c>
      <c r="O23" s="225"/>
      <c r="P23" s="53">
        <v>7</v>
      </c>
      <c r="Q23" s="30">
        <v>8390.39</v>
      </c>
      <c r="R23" s="205">
        <v>5</v>
      </c>
      <c r="S23" s="26">
        <f t="shared" si="1"/>
        <v>8390.39</v>
      </c>
      <c r="T23" s="30">
        <v>8390.39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1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16</v>
      </c>
      <c r="K25" s="65">
        <v>28621.200000000001</v>
      </c>
      <c r="L25" s="224">
        <v>16</v>
      </c>
      <c r="M25" s="50">
        <f t="shared" si="0"/>
        <v>28621.200000000001</v>
      </c>
      <c r="N25" s="65">
        <v>28621.200000000001</v>
      </c>
      <c r="O25" s="225"/>
      <c r="P25" s="53">
        <v>14</v>
      </c>
      <c r="Q25" s="30">
        <v>24633.09</v>
      </c>
      <c r="R25" s="205">
        <v>13</v>
      </c>
      <c r="S25" s="26">
        <f t="shared" si="1"/>
        <v>23258.73</v>
      </c>
      <c r="T25" s="30">
        <v>23258.73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33">
        <v>2</v>
      </c>
      <c r="I26" s="57"/>
      <c r="J26" s="57"/>
      <c r="K26" s="43"/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4</v>
      </c>
      <c r="S26" s="39">
        <f t="shared" si="1"/>
        <v>14036.900000000001</v>
      </c>
      <c r="T26" s="68">
        <f>4302+3533.6+960.5+5240.8</f>
        <v>14036.900000000001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4</v>
      </c>
      <c r="Q28" s="114">
        <v>10949.7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7</v>
      </c>
      <c r="I31" s="203">
        <v>4</v>
      </c>
      <c r="J31" s="203">
        <v>4</v>
      </c>
      <c r="K31" s="65">
        <v>6108.54</v>
      </c>
      <c r="L31" s="224">
        <v>4</v>
      </c>
      <c r="M31" s="50">
        <f t="shared" si="0"/>
        <v>6108.54</v>
      </c>
      <c r="N31" s="65">
        <v>6108.54</v>
      </c>
      <c r="O31" s="225"/>
      <c r="P31" s="108">
        <v>9</v>
      </c>
      <c r="Q31" s="65">
        <v>26163.18</v>
      </c>
      <c r="R31" s="224">
        <v>9</v>
      </c>
      <c r="S31" s="50">
        <f t="shared" si="1"/>
        <v>26163.18</v>
      </c>
      <c r="T31" s="65">
        <v>26163.18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4</v>
      </c>
      <c r="M32" s="114">
        <v>11526</v>
      </c>
      <c r="N32" s="114">
        <v>11526</v>
      </c>
      <c r="O32" s="222"/>
      <c r="P32" s="113">
        <v>7</v>
      </c>
      <c r="Q32" s="114">
        <v>27092.02</v>
      </c>
      <c r="R32" s="270">
        <v>5</v>
      </c>
      <c r="S32" s="114">
        <v>13543.05</v>
      </c>
      <c r="T32" s="114">
        <v>13543.05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21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5</v>
      </c>
      <c r="J35" s="203">
        <v>5</v>
      </c>
      <c r="K35" s="65">
        <v>5443.67</v>
      </c>
      <c r="L35" s="224">
        <v>5</v>
      </c>
      <c r="M35" s="50">
        <f t="shared" si="2"/>
        <v>5443.67</v>
      </c>
      <c r="N35" s="65">
        <v>5443.67</v>
      </c>
      <c r="O35" s="31"/>
      <c r="P35" s="64">
        <v>4</v>
      </c>
      <c r="Q35" s="65">
        <v>14213.44</v>
      </c>
      <c r="R35" s="317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5</v>
      </c>
      <c r="I36" s="208">
        <v>3</v>
      </c>
      <c r="J36" s="208">
        <v>3</v>
      </c>
      <c r="K36" s="209">
        <v>4802.5</v>
      </c>
      <c r="L36" s="290">
        <v>2</v>
      </c>
      <c r="M36" s="211">
        <f t="shared" si="2"/>
        <v>1728.8999999999999</v>
      </c>
      <c r="N36" s="209">
        <f>1152.6+576.3</f>
        <v>1728.8999999999999</v>
      </c>
      <c r="O36" s="212"/>
      <c r="P36" s="304">
        <v>2</v>
      </c>
      <c r="Q36" s="209">
        <v>9182.3799999999992</v>
      </c>
      <c r="R36" s="325">
        <v>3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2</v>
      </c>
      <c r="I41" s="62">
        <v>2</v>
      </c>
      <c r="J41" s="62">
        <v>2</v>
      </c>
      <c r="K41" s="30">
        <v>2895.26</v>
      </c>
      <c r="L41" s="205">
        <v>2</v>
      </c>
      <c r="M41" s="26">
        <f t="shared" si="2"/>
        <v>2895.26</v>
      </c>
      <c r="N41" s="30">
        <v>2895.26</v>
      </c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10</v>
      </c>
      <c r="I43" s="266">
        <v>9</v>
      </c>
      <c r="J43" s="266">
        <v>9</v>
      </c>
      <c r="K43" s="79">
        <v>10392.620000000001</v>
      </c>
      <c r="L43" s="268">
        <v>9</v>
      </c>
      <c r="M43" s="81">
        <f t="shared" si="2"/>
        <v>10392.620000000001</v>
      </c>
      <c r="N43" s="79">
        <v>10392.620000000001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14</v>
      </c>
      <c r="I45" s="62">
        <v>7</v>
      </c>
      <c r="J45" s="62">
        <v>8</v>
      </c>
      <c r="K45" s="30">
        <v>8567.49</v>
      </c>
      <c r="L45" s="205">
        <v>8</v>
      </c>
      <c r="M45" s="26">
        <f t="shared" si="2"/>
        <v>8567.49</v>
      </c>
      <c r="N45" s="30">
        <v>8567.49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6</v>
      </c>
      <c r="I46" s="208">
        <v>1</v>
      </c>
      <c r="J46" s="208">
        <v>1</v>
      </c>
      <c r="K46" s="209">
        <v>4728</v>
      </c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4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57"/>
      <c r="J52" s="57"/>
      <c r="K52" s="43"/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7</v>
      </c>
      <c r="Q53" s="65">
        <v>15242.58</v>
      </c>
      <c r="R53" s="224">
        <v>7</v>
      </c>
      <c r="S53" s="50">
        <f t="shared" si="3"/>
        <v>15242.58</v>
      </c>
      <c r="T53" s="65">
        <v>15242.58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8"/>
      <c r="J54" s="38"/>
      <c r="K54" s="39"/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11</v>
      </c>
      <c r="S54" s="39">
        <f t="shared" si="3"/>
        <v>23705.43</v>
      </c>
      <c r="T54" s="68">
        <f>2209.2+576.3+13639.1+1921+1921+3438.83</f>
        <v>23705.43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4</v>
      </c>
      <c r="I55" s="203">
        <v>3</v>
      </c>
      <c r="J55" s="203">
        <v>5</v>
      </c>
      <c r="K55" s="65">
        <v>6927.86</v>
      </c>
      <c r="L55" s="224">
        <v>3</v>
      </c>
      <c r="M55" s="50">
        <f t="shared" si="2"/>
        <v>3609.92</v>
      </c>
      <c r="N55" s="65">
        <v>3609.92</v>
      </c>
      <c r="O55" s="31"/>
      <c r="P55" s="53">
        <v>4</v>
      </c>
      <c r="Q55" s="30">
        <v>12223.84</v>
      </c>
      <c r="R55" s="205">
        <v>3</v>
      </c>
      <c r="S55" s="26">
        <f t="shared" si="3"/>
        <v>9783.23</v>
      </c>
      <c r="T55" s="30">
        <v>9783.23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11</v>
      </c>
      <c r="I57" s="62">
        <v>8</v>
      </c>
      <c r="J57" s="62">
        <v>9</v>
      </c>
      <c r="K57" s="30">
        <v>16490.21</v>
      </c>
      <c r="L57" s="205">
        <v>7</v>
      </c>
      <c r="M57" s="26">
        <f t="shared" si="2"/>
        <v>14217.9</v>
      </c>
      <c r="N57" s="30">
        <v>14217.9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2</v>
      </c>
      <c r="J58" s="37">
        <v>2</v>
      </c>
      <c r="K58" s="68">
        <v>2497.3000000000002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285">
        <v>1</v>
      </c>
      <c r="S58" s="39">
        <f t="shared" si="3"/>
        <v>144.08000000000001</v>
      </c>
      <c r="T58" s="39">
        <f>144.08</f>
        <v>144.08000000000001</v>
      </c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14</v>
      </c>
      <c r="K59" s="65">
        <v>21010.75</v>
      </c>
      <c r="L59" s="224">
        <v>14</v>
      </c>
      <c r="M59" s="50">
        <f t="shared" si="2"/>
        <v>21010.75</v>
      </c>
      <c r="N59" s="65">
        <v>21010.75</v>
      </c>
      <c r="O59" s="225"/>
      <c r="P59" s="53">
        <v>35</v>
      </c>
      <c r="Q59" s="30">
        <v>84174.76</v>
      </c>
      <c r="R59" s="205">
        <v>34</v>
      </c>
      <c r="S59" s="26">
        <f t="shared" si="3"/>
        <v>83293.759999999995</v>
      </c>
      <c r="T59" s="30">
        <v>83293.759999999995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7</v>
      </c>
      <c r="I61" s="62">
        <v>3</v>
      </c>
      <c r="J61" s="62">
        <v>3</v>
      </c>
      <c r="K61" s="30">
        <v>5443.83</v>
      </c>
      <c r="L61" s="205">
        <v>3</v>
      </c>
      <c r="M61" s="26">
        <f t="shared" si="2"/>
        <v>5443.83</v>
      </c>
      <c r="N61" s="30">
        <v>5443.83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5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5</v>
      </c>
      <c r="I63" s="62">
        <v>1</v>
      </c>
      <c r="J63" s="62">
        <v>1</v>
      </c>
      <c r="K63" s="30">
        <v>2531.11</v>
      </c>
      <c r="L63" s="205">
        <v>1</v>
      </c>
      <c r="M63" s="26">
        <f t="shared" si="2"/>
        <v>2531.11</v>
      </c>
      <c r="N63" s="30">
        <v>2531.11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5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5</v>
      </c>
      <c r="I65" s="266">
        <v>3</v>
      </c>
      <c r="J65" s="266">
        <v>3</v>
      </c>
      <c r="K65" s="79">
        <v>10543.17</v>
      </c>
      <c r="L65" s="268">
        <v>3</v>
      </c>
      <c r="M65" s="81">
        <f t="shared" si="2"/>
        <v>10543.17</v>
      </c>
      <c r="N65" s="79">
        <v>10543.17</v>
      </c>
      <c r="O65" s="219"/>
      <c r="P65" s="267">
        <v>3</v>
      </c>
      <c r="Q65" s="79">
        <v>4835.93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4</v>
      </c>
      <c r="I66" s="130">
        <v>3</v>
      </c>
      <c r="J66" s="130">
        <v>3</v>
      </c>
      <c r="K66" s="114">
        <v>5196.28</v>
      </c>
      <c r="L66" s="316">
        <v>3</v>
      </c>
      <c r="M66" s="129">
        <f t="shared" si="2"/>
        <v>5196.2800000000007</v>
      </c>
      <c r="N66" s="43">
        <f>1344.7+1738.48+2113.1</f>
        <v>5196.2800000000007</v>
      </c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15</v>
      </c>
      <c r="S69" s="50">
        <f t="shared" si="3"/>
        <v>73353.95</v>
      </c>
      <c r="T69" s="65">
        <v>73353.95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5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270">
        <v>1</v>
      </c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8</v>
      </c>
      <c r="J71" s="62">
        <v>9</v>
      </c>
      <c r="K71" s="30">
        <v>21654.32</v>
      </c>
      <c r="L71" s="205">
        <v>9</v>
      </c>
      <c r="M71" s="26">
        <f t="shared" si="2"/>
        <v>21654.32</v>
      </c>
      <c r="N71" s="30">
        <v>21654.32</v>
      </c>
      <c r="O71" s="225"/>
      <c r="P71" s="29">
        <v>5</v>
      </c>
      <c r="Q71" s="30">
        <v>10539.19</v>
      </c>
      <c r="R71" s="205">
        <v>5</v>
      </c>
      <c r="S71" s="26">
        <f t="shared" si="3"/>
        <v>10539.19</v>
      </c>
      <c r="T71" s="30">
        <v>10539.19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4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7</v>
      </c>
      <c r="I75" s="62">
        <v>6</v>
      </c>
      <c r="J75" s="62">
        <v>9</v>
      </c>
      <c r="K75" s="30">
        <v>14971.8</v>
      </c>
      <c r="L75" s="205">
        <v>7</v>
      </c>
      <c r="M75" s="26">
        <f t="shared" si="2"/>
        <v>13908.09</v>
      </c>
      <c r="N75" s="30">
        <v>13908.09</v>
      </c>
      <c r="O75" s="31"/>
      <c r="P75" s="53">
        <v>3</v>
      </c>
      <c r="Q75" s="30">
        <v>6608.53</v>
      </c>
      <c r="R75" s="205">
        <v>2</v>
      </c>
      <c r="S75" s="26">
        <f t="shared" si="3"/>
        <v>4729.9799999999996</v>
      </c>
      <c r="T75" s="30">
        <v>4729.9799999999996</v>
      </c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2</v>
      </c>
      <c r="J76" s="37">
        <v>2</v>
      </c>
      <c r="K76" s="68">
        <v>1479.45</v>
      </c>
      <c r="L76" s="285">
        <v>1</v>
      </c>
      <c r="M76" s="68">
        <v>576.29999999999995</v>
      </c>
      <c r="N76" s="68">
        <v>576.29999999999995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6</v>
      </c>
      <c r="J77" s="203">
        <v>9</v>
      </c>
      <c r="K77" s="114">
        <v>12064.84</v>
      </c>
      <c r="L77" s="224">
        <v>9</v>
      </c>
      <c r="M77" s="50">
        <f t="shared" ref="M77:M93" si="4">N77+O77</f>
        <v>12064.84</v>
      </c>
      <c r="N77" s="65">
        <v>12064.84</v>
      </c>
      <c r="O77" s="225"/>
      <c r="P77" s="108">
        <v>10</v>
      </c>
      <c r="Q77" s="65">
        <v>40632.5</v>
      </c>
      <c r="R77" s="224">
        <v>10</v>
      </c>
      <c r="S77" s="50">
        <f t="shared" si="3"/>
        <v>40632.5</v>
      </c>
      <c r="T77" s="65">
        <v>40632.5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30</v>
      </c>
      <c r="I79" s="62">
        <v>25</v>
      </c>
      <c r="J79" s="62">
        <v>38</v>
      </c>
      <c r="K79" s="30">
        <v>75742.87</v>
      </c>
      <c r="L79" s="205">
        <v>38</v>
      </c>
      <c r="M79" s="26">
        <f t="shared" si="4"/>
        <v>75742.87</v>
      </c>
      <c r="N79" s="30">
        <v>75742.87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6</v>
      </c>
      <c r="I81" s="62">
        <v>3</v>
      </c>
      <c r="J81" s="62">
        <v>3</v>
      </c>
      <c r="K81" s="30">
        <v>4115.55</v>
      </c>
      <c r="L81" s="205">
        <v>3</v>
      </c>
      <c r="M81" s="26">
        <f t="shared" si="4"/>
        <v>4115.55</v>
      </c>
      <c r="N81" s="30">
        <v>4115.55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>
        <v>1</v>
      </c>
      <c r="J82" s="208">
        <v>1</v>
      </c>
      <c r="K82" s="209">
        <v>2305.1999999999998</v>
      </c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13</v>
      </c>
      <c r="K85" s="79">
        <v>22197.56</v>
      </c>
      <c r="L85" s="268">
        <v>13</v>
      </c>
      <c r="M85" s="81">
        <f t="shared" si="4"/>
        <v>22197.56</v>
      </c>
      <c r="N85" s="79">
        <v>22197.56</v>
      </c>
      <c r="O85" s="269"/>
      <c r="P85" s="267">
        <v>10</v>
      </c>
      <c r="Q85" s="79">
        <v>23116.35</v>
      </c>
      <c r="R85" s="268">
        <v>9</v>
      </c>
      <c r="S85" s="81">
        <f t="shared" si="3"/>
        <v>22011.75</v>
      </c>
      <c r="T85" s="79">
        <v>22011.75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2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151">
        <v>2</v>
      </c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8</v>
      </c>
      <c r="S91" s="26">
        <f t="shared" si="3"/>
        <v>23413.73</v>
      </c>
      <c r="T91" s="30">
        <v>23413.73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12</v>
      </c>
      <c r="J93" s="62">
        <v>15</v>
      </c>
      <c r="K93" s="30">
        <v>25934.49</v>
      </c>
      <c r="L93" s="205">
        <v>11</v>
      </c>
      <c r="M93" s="26">
        <f t="shared" si="4"/>
        <v>18341.61</v>
      </c>
      <c r="N93" s="30">
        <v>18341.61</v>
      </c>
      <c r="O93" s="31"/>
      <c r="P93" s="53">
        <v>10</v>
      </c>
      <c r="Q93" s="30">
        <v>37445.699999999997</v>
      </c>
      <c r="R93" s="205">
        <v>9</v>
      </c>
      <c r="S93" s="26">
        <f t="shared" si="3"/>
        <v>32936.699999999997</v>
      </c>
      <c r="T93" s="30">
        <v>32936.699999999997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7</v>
      </c>
      <c r="I94" s="37">
        <v>4</v>
      </c>
      <c r="J94" s="37">
        <v>4</v>
      </c>
      <c r="K94" s="68">
        <v>4725.66</v>
      </c>
      <c r="L94" s="285">
        <v>2</v>
      </c>
      <c r="M94" s="68">
        <v>2958.34</v>
      </c>
      <c r="N94" s="68">
        <v>2958.34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5</v>
      </c>
      <c r="I95" s="203">
        <v>2</v>
      </c>
      <c r="J95" s="203">
        <v>2</v>
      </c>
      <c r="K95" s="65">
        <v>2539.56</v>
      </c>
      <c r="L95" s="224">
        <v>1</v>
      </c>
      <c r="M95" s="50">
        <f t="shared" ref="M95:M118" si="5">N95+O95</f>
        <v>697.32</v>
      </c>
      <c r="N95" s="65">
        <v>697.32</v>
      </c>
      <c r="O95" s="31"/>
      <c r="P95" s="108">
        <v>8</v>
      </c>
      <c r="Q95" s="65">
        <v>93924.24</v>
      </c>
      <c r="R95" s="224">
        <v>8</v>
      </c>
      <c r="S95" s="50">
        <f t="shared" ref="S95:S101" si="6">T95+U95</f>
        <v>93924.24</v>
      </c>
      <c r="T95" s="65">
        <v>93924.24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2</v>
      </c>
      <c r="I96" s="130">
        <v>1</v>
      </c>
      <c r="J96" s="130">
        <v>1</v>
      </c>
      <c r="K96" s="114">
        <v>1344.7</v>
      </c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3</v>
      </c>
      <c r="I97" s="62">
        <v>2</v>
      </c>
      <c r="J97" s="62">
        <v>2</v>
      </c>
      <c r="K97" s="30">
        <v>6064.6</v>
      </c>
      <c r="L97" s="205">
        <v>2</v>
      </c>
      <c r="M97" s="26">
        <f t="shared" si="5"/>
        <v>6064.6</v>
      </c>
      <c r="N97" s="30">
        <v>6064.6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2</v>
      </c>
      <c r="I98" s="130">
        <v>1</v>
      </c>
      <c r="J98" s="130">
        <v>1</v>
      </c>
      <c r="K98" s="114">
        <v>552.29999999999995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3</v>
      </c>
      <c r="I99" s="62">
        <v>2</v>
      </c>
      <c r="J99" s="62">
        <v>3</v>
      </c>
      <c r="K99" s="30">
        <v>4738.63</v>
      </c>
      <c r="L99" s="205">
        <v>3</v>
      </c>
      <c r="M99" s="26">
        <f t="shared" si="5"/>
        <v>4738.63</v>
      </c>
      <c r="N99" s="30">
        <v>4738.63</v>
      </c>
      <c r="O99" s="225"/>
      <c r="P99" s="53">
        <v>3</v>
      </c>
      <c r="Q99" s="30">
        <v>15479.57</v>
      </c>
      <c r="R99" s="205">
        <v>3</v>
      </c>
      <c r="S99" s="26">
        <f t="shared" si="6"/>
        <v>15479.57</v>
      </c>
      <c r="T99" s="30">
        <v>15479.57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6</v>
      </c>
      <c r="I101" s="62">
        <v>4</v>
      </c>
      <c r="J101" s="62">
        <v>4</v>
      </c>
      <c r="K101" s="30">
        <v>11188.97</v>
      </c>
      <c r="L101" s="205">
        <v>4</v>
      </c>
      <c r="M101" s="26">
        <f t="shared" si="5"/>
        <v>11188.97</v>
      </c>
      <c r="N101" s="30">
        <v>11188.97</v>
      </c>
      <c r="O101" s="31"/>
      <c r="P101" s="53">
        <v>21</v>
      </c>
      <c r="Q101" s="30">
        <v>51104.07</v>
      </c>
      <c r="R101" s="205">
        <v>20</v>
      </c>
      <c r="S101" s="26">
        <f t="shared" si="6"/>
        <v>47266.68</v>
      </c>
      <c r="T101" s="30">
        <v>47266.68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6</v>
      </c>
      <c r="J102" s="130">
        <v>6</v>
      </c>
      <c r="K102" s="114">
        <v>8672.4</v>
      </c>
      <c r="L102" s="270">
        <v>2</v>
      </c>
      <c r="M102" s="43">
        <f t="shared" si="5"/>
        <v>2305.1999999999998</v>
      </c>
      <c r="N102" s="114">
        <v>2305.1999999999998</v>
      </c>
      <c r="O102" s="234"/>
      <c r="P102" s="113">
        <v>8</v>
      </c>
      <c r="Q102" s="114">
        <v>20762.439999999999</v>
      </c>
      <c r="R102" s="270">
        <v>7</v>
      </c>
      <c r="S102" s="114">
        <v>19417.740000000002</v>
      </c>
      <c r="T102" s="114">
        <v>19417.740000000002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6</v>
      </c>
      <c r="I103" s="62">
        <v>6</v>
      </c>
      <c r="J103" s="62">
        <v>6</v>
      </c>
      <c r="K103" s="30">
        <v>4786.25</v>
      </c>
      <c r="L103" s="205">
        <v>5</v>
      </c>
      <c r="M103" s="26">
        <f t="shared" si="5"/>
        <v>3208.34</v>
      </c>
      <c r="N103" s="30">
        <v>3208.34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7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5</v>
      </c>
      <c r="I104" s="208">
        <v>4</v>
      </c>
      <c r="J104" s="208">
        <v>4</v>
      </c>
      <c r="K104" s="209">
        <v>5955.1</v>
      </c>
      <c r="L104" s="290">
        <v>3</v>
      </c>
      <c r="M104" s="211">
        <f t="shared" si="5"/>
        <v>4610.3999999999996</v>
      </c>
      <c r="N104" s="209">
        <f>1344.7+3265.7</f>
        <v>4610.3999999999996</v>
      </c>
      <c r="O104" s="212"/>
      <c r="P104" s="103"/>
      <c r="Q104" s="43"/>
      <c r="R104" s="270">
        <v>1</v>
      </c>
      <c r="S104" s="43">
        <f t="shared" si="7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10</v>
      </c>
      <c r="I105" s="62">
        <v>6</v>
      </c>
      <c r="J105" s="62">
        <v>8</v>
      </c>
      <c r="K105" s="30">
        <v>17278.02</v>
      </c>
      <c r="L105" s="205">
        <v>8</v>
      </c>
      <c r="M105" s="26">
        <f t="shared" si="5"/>
        <v>17278.02</v>
      </c>
      <c r="N105" s="30">
        <v>17278.02</v>
      </c>
      <c r="O105" s="241"/>
      <c r="P105" s="214">
        <v>12</v>
      </c>
      <c r="Q105" s="30">
        <v>50650.69</v>
      </c>
      <c r="R105" s="205">
        <v>12</v>
      </c>
      <c r="S105" s="26">
        <f t="shared" si="7"/>
        <v>50650.69</v>
      </c>
      <c r="T105" s="30">
        <v>50650.69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6</v>
      </c>
      <c r="I106" s="286">
        <v>5</v>
      </c>
      <c r="J106" s="286">
        <v>5</v>
      </c>
      <c r="K106" s="287">
        <v>11331</v>
      </c>
      <c r="L106" s="315">
        <v>1</v>
      </c>
      <c r="M106" s="39">
        <f t="shared" si="5"/>
        <v>1921</v>
      </c>
      <c r="N106" s="39">
        <f>1921</f>
        <v>1921</v>
      </c>
      <c r="O106" s="41"/>
      <c r="P106" s="217">
        <v>3</v>
      </c>
      <c r="Q106" s="37">
        <v>7587.95</v>
      </c>
      <c r="R106" s="285">
        <v>3</v>
      </c>
      <c r="S106" s="39">
        <f t="shared" si="7"/>
        <v>8740.5499999999993</v>
      </c>
      <c r="T106" s="68">
        <f>1056.55+3457.8+4226.2</f>
        <v>8740.5499999999993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5"/>
        <v>0</v>
      </c>
      <c r="N107" s="81"/>
      <c r="O107" s="219"/>
      <c r="P107" s="108">
        <v>5</v>
      </c>
      <c r="Q107" s="65">
        <v>33607.81</v>
      </c>
      <c r="R107" s="224">
        <v>4</v>
      </c>
      <c r="S107" s="50">
        <f t="shared" si="7"/>
        <v>17684.7</v>
      </c>
      <c r="T107" s="65">
        <v>17684.7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285">
        <v>1</v>
      </c>
      <c r="M108" s="39">
        <f t="shared" si="5"/>
        <v>864.15</v>
      </c>
      <c r="N108" s="39">
        <f>864.15</f>
        <v>864.15</v>
      </c>
      <c r="O108" s="41"/>
      <c r="P108" s="115">
        <v>1</v>
      </c>
      <c r="Q108" s="68">
        <v>1152.5999999999999</v>
      </c>
      <c r="R108" s="40"/>
      <c r="S108" s="39">
        <f t="shared" si="7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6</v>
      </c>
      <c r="M109" s="50">
        <f t="shared" si="5"/>
        <v>10235.59</v>
      </c>
      <c r="N109" s="65">
        <v>10235.59</v>
      </c>
      <c r="O109" s="225"/>
      <c r="P109" s="108">
        <v>9</v>
      </c>
      <c r="Q109" s="65">
        <v>19656.830000000002</v>
      </c>
      <c r="R109" s="224">
        <v>9</v>
      </c>
      <c r="S109" s="50">
        <f t="shared" si="7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4</v>
      </c>
      <c r="M110" s="50">
        <f t="shared" si="5"/>
        <v>4428.0999999999995</v>
      </c>
      <c r="N110" s="43">
        <f>1290.6+1152.6+1290.6+694.3</f>
        <v>4428.0999999999995</v>
      </c>
      <c r="O110" s="41"/>
      <c r="P110" s="113">
        <v>3</v>
      </c>
      <c r="Q110" s="114">
        <v>14347.1</v>
      </c>
      <c r="R110" s="270">
        <v>3</v>
      </c>
      <c r="S110" s="43">
        <f t="shared" si="7"/>
        <v>12810.6</v>
      </c>
      <c r="T110" s="114">
        <f>4358.2+3649.9+4802.5</f>
        <v>12810.6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5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5"/>
        <v>3538.71</v>
      </c>
      <c r="N111" s="30">
        <v>3538.71</v>
      </c>
      <c r="O111" s="225"/>
      <c r="P111" s="53">
        <v>6</v>
      </c>
      <c r="Q111" s="30">
        <v>12782.06</v>
      </c>
      <c r="R111" s="205">
        <v>6</v>
      </c>
      <c r="S111" s="26">
        <f t="shared" si="7"/>
        <v>12782.06</v>
      </c>
      <c r="T111" s="30">
        <v>12782.06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5</v>
      </c>
      <c r="I112" s="37">
        <v>3</v>
      </c>
      <c r="J112" s="37">
        <v>3</v>
      </c>
      <c r="K112" s="68">
        <v>5628.8</v>
      </c>
      <c r="L112" s="285">
        <v>2</v>
      </c>
      <c r="M112" s="39">
        <f t="shared" si="5"/>
        <v>4934.5</v>
      </c>
      <c r="N112" s="39">
        <f>1580.8+3353.7</f>
        <v>4934.5</v>
      </c>
      <c r="O112" s="41"/>
      <c r="P112" s="115">
        <v>2</v>
      </c>
      <c r="Q112" s="68">
        <v>3490.8</v>
      </c>
      <c r="R112" s="285">
        <v>2</v>
      </c>
      <c r="S112" s="39">
        <f t="shared" si="7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17</v>
      </c>
      <c r="I113" s="203">
        <v>8</v>
      </c>
      <c r="J113" s="203">
        <v>8</v>
      </c>
      <c r="K113" s="65">
        <v>20025.38</v>
      </c>
      <c r="L113" s="224">
        <v>7</v>
      </c>
      <c r="M113" s="50">
        <f t="shared" si="5"/>
        <v>16886.599999999999</v>
      </c>
      <c r="N113" s="65">
        <v>16886.599999999999</v>
      </c>
      <c r="O113" s="225"/>
      <c r="P113" s="108">
        <v>20</v>
      </c>
      <c r="Q113" s="65">
        <v>59066.38</v>
      </c>
      <c r="R113" s="224">
        <v>14</v>
      </c>
      <c r="S113" s="50">
        <f t="shared" si="7"/>
        <v>44291.41</v>
      </c>
      <c r="T113" s="65">
        <v>44291.41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5"/>
        <v>0</v>
      </c>
      <c r="N114" s="43"/>
      <c r="O114" s="41"/>
      <c r="P114" s="103"/>
      <c r="Q114" s="43"/>
      <c r="R114" s="44"/>
      <c r="S114" s="43">
        <f t="shared" si="7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8</v>
      </c>
      <c r="I115" s="62">
        <v>7</v>
      </c>
      <c r="J115" s="62">
        <v>7</v>
      </c>
      <c r="K115" s="30">
        <v>5591.09</v>
      </c>
      <c r="L115" s="205">
        <v>5</v>
      </c>
      <c r="M115" s="26">
        <f t="shared" si="5"/>
        <v>4306.6099999999997</v>
      </c>
      <c r="N115" s="30">
        <v>4306.6099999999997</v>
      </c>
      <c r="O115" s="31"/>
      <c r="P115" s="53">
        <v>9</v>
      </c>
      <c r="Q115" s="30">
        <v>63620.18</v>
      </c>
      <c r="R115" s="205">
        <v>9</v>
      </c>
      <c r="S115" s="26">
        <f t="shared" si="7"/>
        <v>63620.18</v>
      </c>
      <c r="T115" s="30">
        <v>63620.18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4</v>
      </c>
      <c r="I116" s="57"/>
      <c r="J116" s="57"/>
      <c r="K116" s="43"/>
      <c r="L116" s="270">
        <v>1</v>
      </c>
      <c r="M116" s="43">
        <f t="shared" si="5"/>
        <v>576.29999999999995</v>
      </c>
      <c r="N116" s="43">
        <f>576.3</f>
        <v>576.29999999999995</v>
      </c>
      <c r="O116" s="41"/>
      <c r="P116" s="113">
        <v>2</v>
      </c>
      <c r="Q116" s="114">
        <v>2881.5</v>
      </c>
      <c r="R116" s="270">
        <v>2</v>
      </c>
      <c r="S116" s="43">
        <f t="shared" si="7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10</v>
      </c>
      <c r="I117" s="62">
        <v>9</v>
      </c>
      <c r="J117" s="62">
        <v>9</v>
      </c>
      <c r="K117" s="30">
        <v>8773.83</v>
      </c>
      <c r="L117" s="205">
        <v>9</v>
      </c>
      <c r="M117" s="26">
        <f t="shared" si="5"/>
        <v>8773.83</v>
      </c>
      <c r="N117" s="30">
        <v>8773.83</v>
      </c>
      <c r="O117" s="31"/>
      <c r="P117" s="53">
        <v>7</v>
      </c>
      <c r="Q117" s="30">
        <v>28154.06</v>
      </c>
      <c r="R117" s="205">
        <v>7</v>
      </c>
      <c r="S117" s="26">
        <f t="shared" si="7"/>
        <v>28154.06</v>
      </c>
      <c r="T117" s="30">
        <v>28154.06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5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7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285">
        <v>1</v>
      </c>
      <c r="M119" s="68">
        <v>2881.5</v>
      </c>
      <c r="N119" s="68">
        <v>2881.5</v>
      </c>
      <c r="O119" s="41"/>
      <c r="P119" s="59"/>
      <c r="Q119" s="39"/>
      <c r="R119" s="40"/>
      <c r="S119" s="39">
        <f t="shared" si="7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4022.19</v>
      </c>
      <c r="L120" s="224">
        <v>2</v>
      </c>
      <c r="M120" s="50">
        <f t="shared" ref="M120:M149" si="8">N120+O120</f>
        <v>4022.19</v>
      </c>
      <c r="N120" s="65">
        <v>4022.19</v>
      </c>
      <c r="O120" s="31"/>
      <c r="P120" s="108">
        <v>6</v>
      </c>
      <c r="Q120" s="65">
        <v>21203.8</v>
      </c>
      <c r="R120" s="224">
        <v>5</v>
      </c>
      <c r="S120" s="50">
        <f t="shared" si="7"/>
        <v>20499</v>
      </c>
      <c r="T120" s="65">
        <v>20499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8"/>
        <v>0</v>
      </c>
      <c r="N121" s="43"/>
      <c r="O121" s="41"/>
      <c r="P121" s="103"/>
      <c r="Q121" s="43"/>
      <c r="R121" s="44"/>
      <c r="S121" s="43">
        <f t="shared" si="7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7</v>
      </c>
      <c r="I122" s="62">
        <v>4</v>
      </c>
      <c r="J122" s="62">
        <v>5</v>
      </c>
      <c r="K122" s="30">
        <v>5109.87</v>
      </c>
      <c r="L122" s="205">
        <v>5</v>
      </c>
      <c r="M122" s="26">
        <f t="shared" si="8"/>
        <v>5109.87</v>
      </c>
      <c r="N122" s="30">
        <v>5109.87</v>
      </c>
      <c r="O122" s="31"/>
      <c r="P122" s="53">
        <v>4</v>
      </c>
      <c r="Q122" s="30">
        <v>3732.5</v>
      </c>
      <c r="R122" s="205">
        <v>4</v>
      </c>
      <c r="S122" s="26">
        <f t="shared" si="7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8"/>
        <v>0</v>
      </c>
      <c r="N123" s="43"/>
      <c r="O123" s="41"/>
      <c r="P123" s="103"/>
      <c r="Q123" s="43"/>
      <c r="R123" s="44"/>
      <c r="S123" s="43">
        <f t="shared" si="7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12</v>
      </c>
      <c r="I124" s="62">
        <v>12</v>
      </c>
      <c r="J124" s="62">
        <v>18</v>
      </c>
      <c r="K124" s="30">
        <v>38332.99</v>
      </c>
      <c r="L124" s="205">
        <v>16</v>
      </c>
      <c r="M124" s="26">
        <f t="shared" si="8"/>
        <v>34743.61</v>
      </c>
      <c r="N124" s="30">
        <v>34743.61</v>
      </c>
      <c r="O124" s="225"/>
      <c r="P124" s="53">
        <v>10</v>
      </c>
      <c r="Q124" s="30">
        <v>25611.57</v>
      </c>
      <c r="R124" s="205">
        <v>10</v>
      </c>
      <c r="S124" s="26">
        <f t="shared" si="7"/>
        <v>25611.57</v>
      </c>
      <c r="T124" s="30">
        <v>25611.57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3</v>
      </c>
      <c r="I125" s="130">
        <v>2</v>
      </c>
      <c r="J125" s="130">
        <v>2</v>
      </c>
      <c r="K125" s="114">
        <v>2497.3000000000002</v>
      </c>
      <c r="L125" s="270">
        <v>2</v>
      </c>
      <c r="M125" s="43">
        <f t="shared" si="8"/>
        <v>2497.3000000000002</v>
      </c>
      <c r="N125" s="43">
        <f>1152.6+1344.7</f>
        <v>2497.3000000000002</v>
      </c>
      <c r="O125" s="45"/>
      <c r="P125" s="113">
        <v>2</v>
      </c>
      <c r="Q125" s="114">
        <v>5186.7</v>
      </c>
      <c r="R125" s="270">
        <v>2</v>
      </c>
      <c r="S125" s="43">
        <f t="shared" si="7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8"/>
        <v>0</v>
      </c>
      <c r="N126" s="26"/>
      <c r="O126" s="100"/>
      <c r="P126" s="120"/>
      <c r="Q126" s="26"/>
      <c r="R126" s="27"/>
      <c r="S126" s="26">
        <f t="shared" si="7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8"/>
        <v>0</v>
      </c>
      <c r="N127" s="39"/>
      <c r="O127" s="41"/>
      <c r="P127" s="69"/>
      <c r="Q127" s="39"/>
      <c r="R127" s="40"/>
      <c r="S127" s="39">
        <f t="shared" si="7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7</v>
      </c>
      <c r="I128" s="62">
        <v>3</v>
      </c>
      <c r="J128" s="62">
        <v>4</v>
      </c>
      <c r="K128" s="30">
        <v>5641.85</v>
      </c>
      <c r="L128" s="205">
        <v>4</v>
      </c>
      <c r="M128" s="26">
        <f t="shared" si="8"/>
        <v>5641.85</v>
      </c>
      <c r="N128" s="30">
        <v>5641.85</v>
      </c>
      <c r="O128" s="243"/>
      <c r="P128" s="64">
        <v>4</v>
      </c>
      <c r="Q128" s="65">
        <v>10597.93</v>
      </c>
      <c r="R128" s="224">
        <v>4</v>
      </c>
      <c r="S128" s="50">
        <f t="shared" si="7"/>
        <v>10597.93</v>
      </c>
      <c r="T128" s="65">
        <v>10597.93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8"/>
        <v>0</v>
      </c>
      <c r="N129" s="39"/>
      <c r="O129" s="41"/>
      <c r="P129" s="67">
        <v>1</v>
      </c>
      <c r="Q129" s="68">
        <v>2305.1999999999998</v>
      </c>
      <c r="R129" s="285">
        <v>1</v>
      </c>
      <c r="S129" s="39">
        <f t="shared" si="7"/>
        <v>2305.1999999999998</v>
      </c>
      <c r="T129" s="39">
        <f>2305.2</f>
        <v>2305.1999999999998</v>
      </c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14</v>
      </c>
      <c r="I130" s="203">
        <v>9</v>
      </c>
      <c r="J130" s="203">
        <v>11</v>
      </c>
      <c r="K130" s="65">
        <v>26414.7</v>
      </c>
      <c r="L130" s="224">
        <v>10</v>
      </c>
      <c r="M130" s="50">
        <f t="shared" si="8"/>
        <v>25838.400000000001</v>
      </c>
      <c r="N130" s="65">
        <v>25838.400000000001</v>
      </c>
      <c r="O130" s="225"/>
      <c r="P130" s="108">
        <v>28</v>
      </c>
      <c r="Q130" s="65">
        <v>105938.63</v>
      </c>
      <c r="R130" s="224">
        <v>23</v>
      </c>
      <c r="S130" s="50">
        <f t="shared" si="7"/>
        <v>79211.47</v>
      </c>
      <c r="T130" s="65">
        <v>79211.47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8"/>
        <v>0</v>
      </c>
      <c r="N131" s="43"/>
      <c r="O131" s="41"/>
      <c r="P131" s="103"/>
      <c r="Q131" s="43"/>
      <c r="R131" s="44"/>
      <c r="S131" s="43">
        <f t="shared" si="7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11</v>
      </c>
      <c r="I132" s="62">
        <v>5</v>
      </c>
      <c r="J132" s="62">
        <v>6</v>
      </c>
      <c r="K132" s="30">
        <v>11483.56</v>
      </c>
      <c r="L132" s="205">
        <v>6</v>
      </c>
      <c r="M132" s="26">
        <f t="shared" si="8"/>
        <v>11483.56</v>
      </c>
      <c r="N132" s="30">
        <v>11483.56</v>
      </c>
      <c r="O132" s="31"/>
      <c r="P132" s="53">
        <v>14</v>
      </c>
      <c r="Q132" s="30">
        <v>53062.44</v>
      </c>
      <c r="R132" s="205">
        <v>13</v>
      </c>
      <c r="S132" s="26">
        <f t="shared" si="7"/>
        <v>52477.24</v>
      </c>
      <c r="T132" s="30">
        <v>52477.24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8"/>
        <v>0</v>
      </c>
      <c r="N133" s="39"/>
      <c r="O133" s="41"/>
      <c r="P133" s="59"/>
      <c r="Q133" s="39"/>
      <c r="R133" s="40"/>
      <c r="S133" s="39">
        <f t="shared" si="7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13</v>
      </c>
      <c r="I134" s="62">
        <v>9</v>
      </c>
      <c r="J134" s="62">
        <v>10</v>
      </c>
      <c r="K134" s="30">
        <v>16506.099999999999</v>
      </c>
      <c r="L134" s="205">
        <v>4</v>
      </c>
      <c r="M134" s="26">
        <f t="shared" si="8"/>
        <v>4302.6000000000004</v>
      </c>
      <c r="N134" s="30">
        <v>4302.6000000000004</v>
      </c>
      <c r="O134" s="31"/>
      <c r="P134" s="53">
        <v>25</v>
      </c>
      <c r="Q134" s="30">
        <v>40527.589999999997</v>
      </c>
      <c r="R134" s="205">
        <v>24</v>
      </c>
      <c r="S134" s="26">
        <f t="shared" si="7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5</v>
      </c>
      <c r="I135" s="208">
        <v>3</v>
      </c>
      <c r="J135" s="208">
        <v>3</v>
      </c>
      <c r="K135" s="209">
        <v>3668.91</v>
      </c>
      <c r="L135" s="290">
        <v>2</v>
      </c>
      <c r="M135" s="211">
        <f t="shared" si="8"/>
        <v>2401.25</v>
      </c>
      <c r="N135" s="209">
        <v>2401.25</v>
      </c>
      <c r="O135" s="263"/>
      <c r="P135" s="262">
        <v>4</v>
      </c>
      <c r="Q135" s="209">
        <v>16712.7</v>
      </c>
      <c r="R135" s="290">
        <v>3</v>
      </c>
      <c r="S135" s="209">
        <v>7299.8</v>
      </c>
      <c r="T135" s="209">
        <v>7299.8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si="8"/>
        <v>0</v>
      </c>
      <c r="N136" s="26"/>
      <c r="O136" s="28"/>
      <c r="P136" s="214"/>
      <c r="Q136" s="30"/>
      <c r="R136" s="205"/>
      <c r="S136" s="26">
        <f t="shared" ref="S136:S149" si="9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4</v>
      </c>
      <c r="I137" s="37"/>
      <c r="J137" s="37"/>
      <c r="K137" s="68"/>
      <c r="L137" s="40"/>
      <c r="M137" s="39">
        <f t="shared" si="8"/>
        <v>0</v>
      </c>
      <c r="N137" s="39"/>
      <c r="O137" s="41"/>
      <c r="P137" s="217"/>
      <c r="Q137" s="68"/>
      <c r="R137" s="285"/>
      <c r="S137" s="39">
        <f t="shared" si="9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19</v>
      </c>
      <c r="I138" s="266">
        <v>18</v>
      </c>
      <c r="J138" s="266">
        <v>23</v>
      </c>
      <c r="K138" s="79">
        <v>36303.949999999997</v>
      </c>
      <c r="L138" s="268">
        <v>21</v>
      </c>
      <c r="M138" s="81">
        <f t="shared" si="8"/>
        <v>34306.980000000003</v>
      </c>
      <c r="N138" s="79">
        <v>34306.980000000003</v>
      </c>
      <c r="O138" s="269"/>
      <c r="P138" s="267">
        <v>17</v>
      </c>
      <c r="Q138" s="79">
        <v>78816.3</v>
      </c>
      <c r="R138" s="268">
        <v>16</v>
      </c>
      <c r="S138" s="81">
        <f t="shared" si="9"/>
        <v>76490.14</v>
      </c>
      <c r="T138" s="79">
        <v>76490.14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8"/>
        <v>0</v>
      </c>
      <c r="N139" s="39"/>
      <c r="O139" s="41"/>
      <c r="P139" s="59"/>
      <c r="Q139" s="39"/>
      <c r="R139" s="40"/>
      <c r="S139" s="39">
        <f t="shared" si="9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14</v>
      </c>
      <c r="I140" s="203">
        <v>6</v>
      </c>
      <c r="J140" s="203">
        <v>9</v>
      </c>
      <c r="K140" s="65">
        <v>19328.72</v>
      </c>
      <c r="L140" s="224">
        <v>8</v>
      </c>
      <c r="M140" s="50">
        <f t="shared" si="8"/>
        <v>19328.72</v>
      </c>
      <c r="N140" s="65">
        <v>19328.72</v>
      </c>
      <c r="O140" s="225"/>
      <c r="P140" s="108">
        <v>52</v>
      </c>
      <c r="Q140" s="65">
        <v>311364.90999999997</v>
      </c>
      <c r="R140" s="224">
        <v>51</v>
      </c>
      <c r="S140" s="50">
        <f t="shared" si="9"/>
        <v>310160.71000000002</v>
      </c>
      <c r="T140" s="65">
        <v>310160.71000000002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8"/>
        <v>0</v>
      </c>
      <c r="N141" s="129"/>
      <c r="O141" s="45"/>
      <c r="P141" s="156"/>
      <c r="Q141" s="129"/>
      <c r="R141" s="128"/>
      <c r="S141" s="129">
        <f t="shared" si="9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8"/>
        <v>0</v>
      </c>
      <c r="N142" s="43"/>
      <c r="O142" s="41"/>
      <c r="P142" s="113">
        <v>2</v>
      </c>
      <c r="Q142" s="114">
        <v>6912.6</v>
      </c>
      <c r="R142" s="270">
        <v>3</v>
      </c>
      <c r="S142" s="43">
        <f t="shared" si="9"/>
        <v>9220.7999999999993</v>
      </c>
      <c r="T142" s="114">
        <f>2305.2+4226.2+2689.4</f>
        <v>9220.7999999999993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8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9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6</v>
      </c>
      <c r="I144" s="37">
        <v>3</v>
      </c>
      <c r="J144" s="37">
        <v>3</v>
      </c>
      <c r="K144" s="68">
        <v>3710.1</v>
      </c>
      <c r="L144" s="40"/>
      <c r="M144" s="39">
        <f t="shared" si="8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285">
        <v>2</v>
      </c>
      <c r="S144" s="39">
        <f t="shared" si="9"/>
        <v>2400.9499999999998</v>
      </c>
      <c r="T144" s="39">
        <f>1056.55+1344.4</f>
        <v>2400.9499999999998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8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8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9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285">
        <v>4</v>
      </c>
      <c r="M146" s="39">
        <f t="shared" si="8"/>
        <v>5220.5999999999995</v>
      </c>
      <c r="N146" s="39">
        <f>1578.8+1152.6+1152.6+1336.6</f>
        <v>5220.5999999999995</v>
      </c>
      <c r="O146" s="41"/>
      <c r="P146" s="115">
        <v>2</v>
      </c>
      <c r="Q146" s="68">
        <v>15088</v>
      </c>
      <c r="R146" s="285">
        <v>2</v>
      </c>
      <c r="S146" s="39">
        <f t="shared" si="9"/>
        <v>15088</v>
      </c>
      <c r="T146" s="39">
        <f>4034.1+11053.9</f>
        <v>15088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8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9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8"/>
        <v>0</v>
      </c>
      <c r="N148" s="43"/>
      <c r="O148" s="41"/>
      <c r="P148" s="103"/>
      <c r="Q148" s="43"/>
      <c r="R148" s="44"/>
      <c r="S148" s="43">
        <f t="shared" si="9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6</v>
      </c>
      <c r="I149" s="62">
        <v>2</v>
      </c>
      <c r="J149" s="62">
        <v>2</v>
      </c>
      <c r="K149" s="30">
        <v>2935.73</v>
      </c>
      <c r="L149" s="205">
        <v>1</v>
      </c>
      <c r="M149" s="26">
        <f t="shared" si="8"/>
        <v>1854.88</v>
      </c>
      <c r="N149" s="30">
        <v>1854.88</v>
      </c>
      <c r="O149" s="31"/>
      <c r="P149" s="53">
        <v>4</v>
      </c>
      <c r="Q149" s="30">
        <v>22885.21</v>
      </c>
      <c r="R149" s="205">
        <v>3</v>
      </c>
      <c r="S149" s="26">
        <f t="shared" si="9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2</v>
      </c>
      <c r="J150" s="130">
        <v>2</v>
      </c>
      <c r="K150" s="114">
        <v>1728.9</v>
      </c>
      <c r="L150" s="270">
        <v>2</v>
      </c>
      <c r="M150" s="114">
        <v>1728.9</v>
      </c>
      <c r="N150" s="114">
        <v>1728.9</v>
      </c>
      <c r="O150" s="234"/>
      <c r="P150" s="113">
        <v>3</v>
      </c>
      <c r="Q150" s="114">
        <v>7539.8</v>
      </c>
      <c r="R150" s="270">
        <v>3</v>
      </c>
      <c r="S150" s="114">
        <v>7539.8</v>
      </c>
      <c r="T150" s="114">
        <v>7539.8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10</v>
      </c>
      <c r="I151" s="62">
        <v>8</v>
      </c>
      <c r="J151" s="62">
        <v>10</v>
      </c>
      <c r="K151" s="30">
        <v>13129.56</v>
      </c>
      <c r="L151" s="205">
        <v>10</v>
      </c>
      <c r="M151" s="26">
        <f t="shared" ref="M151:M227" si="10">N151+O151</f>
        <v>13129.56</v>
      </c>
      <c r="N151" s="30">
        <v>13129.56</v>
      </c>
      <c r="O151" s="225"/>
      <c r="P151" s="53">
        <v>12</v>
      </c>
      <c r="Q151" s="30">
        <v>41109.72</v>
      </c>
      <c r="R151" s="205">
        <v>11</v>
      </c>
      <c r="S151" s="26">
        <f t="shared" ref="S151:S183" si="11">T151+U151</f>
        <v>39894.660000000003</v>
      </c>
      <c r="T151" s="30">
        <v>39894.660000000003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9</v>
      </c>
      <c r="I152" s="271">
        <v>4</v>
      </c>
      <c r="J152" s="271">
        <v>4</v>
      </c>
      <c r="K152" s="239">
        <v>9412.9</v>
      </c>
      <c r="L152" s="316">
        <v>3</v>
      </c>
      <c r="M152" s="129">
        <f t="shared" si="10"/>
        <v>4610.3999999999996</v>
      </c>
      <c r="N152" s="129">
        <f>1728.9+2305.2+576.3</f>
        <v>4610.3999999999996</v>
      </c>
      <c r="O152" s="45"/>
      <c r="P152" s="238">
        <v>7</v>
      </c>
      <c r="Q152" s="239">
        <v>11775.73</v>
      </c>
      <c r="R152" s="316">
        <v>6</v>
      </c>
      <c r="S152" s="129">
        <f t="shared" si="11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10"/>
        <v>0</v>
      </c>
      <c r="N153" s="43"/>
      <c r="O153" s="41"/>
      <c r="P153" s="103"/>
      <c r="Q153" s="43"/>
      <c r="R153" s="44"/>
      <c r="S153" s="43">
        <f t="shared" si="11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 t="s">
        <v>39</v>
      </c>
      <c r="D154" s="374" t="s">
        <v>448</v>
      </c>
      <c r="E154" s="381" t="s">
        <v>23</v>
      </c>
      <c r="F154" s="232" t="s">
        <v>449</v>
      </c>
      <c r="G154" s="23" t="s">
        <v>24</v>
      </c>
      <c r="H154" s="61">
        <v>9</v>
      </c>
      <c r="I154" s="62">
        <v>6</v>
      </c>
      <c r="J154" s="62">
        <v>6</v>
      </c>
      <c r="K154" s="30">
        <v>16306.8</v>
      </c>
      <c r="L154" s="205">
        <v>6</v>
      </c>
      <c r="M154" s="26">
        <f t="shared" si="10"/>
        <v>16306.8</v>
      </c>
      <c r="N154" s="30">
        <v>16306.8</v>
      </c>
      <c r="O154" s="31"/>
      <c r="P154" s="53">
        <v>1</v>
      </c>
      <c r="Q154" s="30">
        <v>1415.78</v>
      </c>
      <c r="R154" s="205">
        <v>1</v>
      </c>
      <c r="S154" s="26">
        <f t="shared" si="11"/>
        <v>1415.78</v>
      </c>
      <c r="T154" s="30">
        <v>1415.78</v>
      </c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10"/>
        <v>0</v>
      </c>
      <c r="N155" s="39"/>
      <c r="O155" s="41"/>
      <c r="P155" s="59"/>
      <c r="Q155" s="39"/>
      <c r="R155" s="40"/>
      <c r="S155" s="39">
        <f t="shared" si="11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10</v>
      </c>
      <c r="I156" s="203">
        <v>6</v>
      </c>
      <c r="J156" s="203">
        <v>6</v>
      </c>
      <c r="K156" s="65">
        <v>8949.17</v>
      </c>
      <c r="L156" s="224">
        <v>3</v>
      </c>
      <c r="M156" s="50">
        <f t="shared" si="10"/>
        <v>6564.06</v>
      </c>
      <c r="N156" s="65">
        <v>6564.06</v>
      </c>
      <c r="O156" s="225"/>
      <c r="P156" s="108">
        <v>5</v>
      </c>
      <c r="Q156" s="65">
        <v>27150.720000000001</v>
      </c>
      <c r="R156" s="224">
        <v>5</v>
      </c>
      <c r="S156" s="50">
        <f t="shared" si="11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9</v>
      </c>
      <c r="I157" s="246">
        <v>2</v>
      </c>
      <c r="J157" s="246">
        <v>2</v>
      </c>
      <c r="K157" s="158">
        <v>4226.2</v>
      </c>
      <c r="L157" s="317">
        <v>2</v>
      </c>
      <c r="M157" s="142">
        <f t="shared" si="10"/>
        <v>4226.2</v>
      </c>
      <c r="N157" s="142">
        <f>1921+2305.2</f>
        <v>4226.2</v>
      </c>
      <c r="O157" s="45"/>
      <c r="P157" s="157">
        <v>4</v>
      </c>
      <c r="Q157" s="158">
        <v>8625.2900000000009</v>
      </c>
      <c r="R157" s="224">
        <v>5</v>
      </c>
      <c r="S157" s="50">
        <f t="shared" si="11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10"/>
        <v>0</v>
      </c>
      <c r="N158" s="43"/>
      <c r="O158" s="41"/>
      <c r="P158" s="103"/>
      <c r="Q158" s="43"/>
      <c r="R158" s="44"/>
      <c r="S158" s="43">
        <f t="shared" si="1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11</v>
      </c>
      <c r="I159" s="62">
        <v>5</v>
      </c>
      <c r="J159" s="62">
        <v>6</v>
      </c>
      <c r="K159" s="30">
        <v>13009.58</v>
      </c>
      <c r="L159" s="205">
        <v>5</v>
      </c>
      <c r="M159" s="26">
        <f t="shared" si="10"/>
        <v>8972.02</v>
      </c>
      <c r="N159" s="30">
        <v>8972.02</v>
      </c>
      <c r="O159" s="31"/>
      <c r="P159" s="53">
        <v>1</v>
      </c>
      <c r="Q159" s="30">
        <v>576.29999999999995</v>
      </c>
      <c r="R159" s="205">
        <v>1</v>
      </c>
      <c r="S159" s="26">
        <f t="shared" si="11"/>
        <v>576.29999999999995</v>
      </c>
      <c r="T159" s="30">
        <v>576.29999999999995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7</v>
      </c>
      <c r="I160" s="37">
        <v>3</v>
      </c>
      <c r="J160" s="37">
        <v>3</v>
      </c>
      <c r="K160" s="68">
        <v>3637.8</v>
      </c>
      <c r="L160" s="285">
        <v>1</v>
      </c>
      <c r="M160" s="39">
        <f t="shared" si="10"/>
        <v>576.29999999999995</v>
      </c>
      <c r="N160" s="39">
        <f>576.3</f>
        <v>576.29999999999995</v>
      </c>
      <c r="O160" s="41"/>
      <c r="P160" s="115">
        <v>2</v>
      </c>
      <c r="Q160" s="68">
        <v>3265.7</v>
      </c>
      <c r="R160" s="285">
        <v>2</v>
      </c>
      <c r="S160" s="39">
        <f t="shared" si="11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7</v>
      </c>
      <c r="I161" s="203">
        <v>5</v>
      </c>
      <c r="J161" s="203">
        <v>6</v>
      </c>
      <c r="K161" s="65">
        <v>13186.17</v>
      </c>
      <c r="L161" s="224">
        <v>6</v>
      </c>
      <c r="M161" s="50">
        <f t="shared" si="10"/>
        <v>13186.17</v>
      </c>
      <c r="N161" s="65">
        <v>13186.17</v>
      </c>
      <c r="O161" s="31"/>
      <c r="P161" s="108">
        <v>8</v>
      </c>
      <c r="Q161" s="65">
        <v>16335.71</v>
      </c>
      <c r="R161" s="224">
        <v>8</v>
      </c>
      <c r="S161" s="50">
        <f t="shared" si="11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3</v>
      </c>
      <c r="J162" s="130">
        <v>3</v>
      </c>
      <c r="K162" s="114">
        <v>5993.52</v>
      </c>
      <c r="L162" s="270">
        <v>4</v>
      </c>
      <c r="M162" s="43">
        <f t="shared" si="10"/>
        <v>7146.12</v>
      </c>
      <c r="N162" s="43">
        <f>3880.42+1344.7+1921</f>
        <v>7146.12</v>
      </c>
      <c r="O162" s="41"/>
      <c r="P162" s="113">
        <v>5</v>
      </c>
      <c r="Q162" s="114">
        <v>11814.15</v>
      </c>
      <c r="R162" s="270">
        <v>4</v>
      </c>
      <c r="S162" s="43">
        <f t="shared" si="11"/>
        <v>9893.15</v>
      </c>
      <c r="T162" s="114">
        <f>4802.5+2401.25+2689.4</f>
        <v>9893.15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13798.74</v>
      </c>
      <c r="L163" s="205">
        <v>6</v>
      </c>
      <c r="M163" s="26">
        <f t="shared" si="10"/>
        <v>13798.74</v>
      </c>
      <c r="N163" s="30">
        <v>13798.74</v>
      </c>
      <c r="O163" s="225"/>
      <c r="P163" s="53">
        <v>13</v>
      </c>
      <c r="Q163" s="30">
        <v>42590.99</v>
      </c>
      <c r="R163" s="205">
        <v>13</v>
      </c>
      <c r="S163" s="26">
        <f t="shared" si="11"/>
        <v>42590.99</v>
      </c>
      <c r="T163" s="30">
        <v>42590.99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6</v>
      </c>
      <c r="I164" s="130">
        <v>1</v>
      </c>
      <c r="J164" s="130">
        <v>1</v>
      </c>
      <c r="K164" s="114">
        <v>1728.9</v>
      </c>
      <c r="L164" s="270">
        <v>1</v>
      </c>
      <c r="M164" s="43">
        <f t="shared" si="10"/>
        <v>1728.9</v>
      </c>
      <c r="N164" s="43">
        <f>1728.9</f>
        <v>1728.9</v>
      </c>
      <c r="O164" s="45"/>
      <c r="P164" s="113">
        <v>3</v>
      </c>
      <c r="Q164" s="114">
        <v>6281.3</v>
      </c>
      <c r="R164" s="44"/>
      <c r="S164" s="43">
        <f t="shared" si="11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8</v>
      </c>
      <c r="I165" s="62">
        <v>5</v>
      </c>
      <c r="J165" s="62">
        <v>6</v>
      </c>
      <c r="K165" s="30">
        <v>16681.05</v>
      </c>
      <c r="L165" s="205">
        <v>3</v>
      </c>
      <c r="M165" s="26">
        <f t="shared" si="10"/>
        <v>6561.17</v>
      </c>
      <c r="N165" s="30">
        <v>6561.17</v>
      </c>
      <c r="O165" s="159"/>
      <c r="P165" s="53">
        <v>3</v>
      </c>
      <c r="Q165" s="30">
        <v>20168.78</v>
      </c>
      <c r="R165" s="205">
        <v>3</v>
      </c>
      <c r="S165" s="26">
        <f t="shared" si="11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4</v>
      </c>
      <c r="I166" s="208">
        <v>1</v>
      </c>
      <c r="J166" s="208">
        <v>1</v>
      </c>
      <c r="K166" s="209">
        <v>1728</v>
      </c>
      <c r="L166" s="210"/>
      <c r="M166" s="211">
        <f t="shared" si="10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90">
        <v>5</v>
      </c>
      <c r="S166" s="211">
        <f t="shared" si="11"/>
        <v>13447</v>
      </c>
      <c r="T166" s="211">
        <f>4034.1+3073.6+5071.44+1267.86</f>
        <v>13447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3</v>
      </c>
      <c r="I167" s="62">
        <v>2</v>
      </c>
      <c r="J167" s="62">
        <v>4</v>
      </c>
      <c r="K167" s="30">
        <v>11800.29</v>
      </c>
      <c r="L167" s="205">
        <v>3</v>
      </c>
      <c r="M167" s="26">
        <f t="shared" si="10"/>
        <v>10114.040000000001</v>
      </c>
      <c r="N167" s="30">
        <v>10114.040000000001</v>
      </c>
      <c r="O167" s="28"/>
      <c r="P167" s="214"/>
      <c r="Q167" s="30"/>
      <c r="R167" s="205"/>
      <c r="S167" s="26">
        <f t="shared" si="11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10"/>
        <v>0</v>
      </c>
      <c r="N168" s="39"/>
      <c r="O168" s="41"/>
      <c r="P168" s="217"/>
      <c r="Q168" s="68"/>
      <c r="R168" s="285"/>
      <c r="S168" s="39">
        <f t="shared" si="11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7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10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11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10"/>
        <v>0</v>
      </c>
      <c r="N170" s="43"/>
      <c r="O170" s="45"/>
      <c r="P170" s="103"/>
      <c r="Q170" s="43"/>
      <c r="R170" s="44"/>
      <c r="S170" s="43">
        <f t="shared" si="11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4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10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11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10"/>
        <v>0</v>
      </c>
      <c r="N172" s="211"/>
      <c r="O172" s="212"/>
      <c r="P172" s="273"/>
      <c r="Q172" s="211"/>
      <c r="R172" s="210"/>
      <c r="S172" s="211">
        <f t="shared" si="11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>
        <v>3</v>
      </c>
      <c r="I173" s="62">
        <v>1</v>
      </c>
      <c r="J173" s="62">
        <v>1</v>
      </c>
      <c r="K173" s="30">
        <v>1285.1500000000001</v>
      </c>
      <c r="L173" s="205">
        <v>1</v>
      </c>
      <c r="M173" s="26">
        <f t="shared" si="10"/>
        <v>1285.1500000000001</v>
      </c>
      <c r="N173" s="30">
        <v>1285.1500000000001</v>
      </c>
      <c r="O173" s="28"/>
      <c r="P173" s="214"/>
      <c r="Q173" s="30"/>
      <c r="R173" s="205"/>
      <c r="S173" s="26">
        <f t="shared" si="11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10"/>
        <v>0</v>
      </c>
      <c r="N174" s="39"/>
      <c r="O174" s="41"/>
      <c r="P174" s="217"/>
      <c r="Q174" s="68"/>
      <c r="R174" s="285"/>
      <c r="S174" s="39">
        <f t="shared" si="11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3</v>
      </c>
      <c r="J175" s="266">
        <v>3</v>
      </c>
      <c r="K175" s="79">
        <v>3521.24</v>
      </c>
      <c r="L175" s="268">
        <v>2</v>
      </c>
      <c r="M175" s="81">
        <f t="shared" si="10"/>
        <v>2253.34</v>
      </c>
      <c r="N175" s="79">
        <v>2253.34</v>
      </c>
      <c r="O175" s="219"/>
      <c r="P175" s="267">
        <v>15</v>
      </c>
      <c r="Q175" s="79">
        <v>43575.18</v>
      </c>
      <c r="R175" s="268">
        <v>14</v>
      </c>
      <c r="S175" s="81">
        <f t="shared" si="11"/>
        <v>42391.839999999997</v>
      </c>
      <c r="T175" s="79">
        <v>42391.839999999997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2</v>
      </c>
      <c r="J176" s="130">
        <v>2</v>
      </c>
      <c r="K176" s="114">
        <v>4418.3</v>
      </c>
      <c r="L176" s="316">
        <v>1</v>
      </c>
      <c r="M176" s="50">
        <f t="shared" si="10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3</v>
      </c>
      <c r="S176" s="43">
        <f t="shared" si="11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8</v>
      </c>
      <c r="I177" s="62">
        <v>5</v>
      </c>
      <c r="J177" s="62">
        <v>5</v>
      </c>
      <c r="K177" s="30">
        <v>21141.24</v>
      </c>
      <c r="L177" s="205">
        <v>5</v>
      </c>
      <c r="M177" s="26">
        <f t="shared" si="10"/>
        <v>21141.24</v>
      </c>
      <c r="N177" s="30">
        <v>21141.24</v>
      </c>
      <c r="O177" s="225"/>
      <c r="P177" s="53">
        <v>10</v>
      </c>
      <c r="Q177" s="30">
        <v>30372.12</v>
      </c>
      <c r="R177" s="205">
        <v>10</v>
      </c>
      <c r="S177" s="26">
        <f t="shared" si="11"/>
        <v>30372.12</v>
      </c>
      <c r="T177" s="30">
        <v>30372.12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10"/>
        <v>0</v>
      </c>
      <c r="N178" s="43"/>
      <c r="O178" s="41"/>
      <c r="P178" s="115">
        <v>6</v>
      </c>
      <c r="Q178" s="68">
        <v>27573.17</v>
      </c>
      <c r="R178" s="285">
        <v>5</v>
      </c>
      <c r="S178" s="39">
        <f t="shared" si="11"/>
        <v>19344.469999999998</v>
      </c>
      <c r="T178" s="68">
        <f>576.3+15944.3+1479.17+1344.7</f>
        <v>19344.469999999998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15</v>
      </c>
      <c r="I179" s="62">
        <v>14</v>
      </c>
      <c r="J179" s="204">
        <v>17</v>
      </c>
      <c r="K179" s="30">
        <v>33571.980000000003</v>
      </c>
      <c r="L179" s="205">
        <v>17</v>
      </c>
      <c r="M179" s="26">
        <f t="shared" si="10"/>
        <v>33571.980000000003</v>
      </c>
      <c r="N179" s="30">
        <v>33571.980000000003</v>
      </c>
      <c r="O179" s="225"/>
      <c r="P179" s="108">
        <v>23</v>
      </c>
      <c r="Q179" s="65">
        <v>81517.899999999994</v>
      </c>
      <c r="R179" s="224">
        <v>22</v>
      </c>
      <c r="S179" s="50">
        <f t="shared" si="11"/>
        <v>79924.350000000006</v>
      </c>
      <c r="T179" s="65">
        <v>79924.350000000006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08">
        <v>1</v>
      </c>
      <c r="J180" s="208">
        <v>1</v>
      </c>
      <c r="K180" s="209">
        <v>3010.5</v>
      </c>
      <c r="L180" s="210"/>
      <c r="M180" s="211">
        <f t="shared" si="10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11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62">
        <v>1</v>
      </c>
      <c r="J181" s="62">
        <v>1</v>
      </c>
      <c r="K181" s="326">
        <v>662.31</v>
      </c>
      <c r="L181" s="163"/>
      <c r="M181" s="162">
        <f t="shared" si="10"/>
        <v>0</v>
      </c>
      <c r="N181" s="162"/>
      <c r="O181" s="28"/>
      <c r="P181" s="275"/>
      <c r="Q181" s="26"/>
      <c r="R181" s="27"/>
      <c r="S181" s="26">
        <f t="shared" si="11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3</v>
      </c>
      <c r="I182" s="37">
        <v>1</v>
      </c>
      <c r="J182" s="37">
        <v>1</v>
      </c>
      <c r="K182" s="318">
        <v>1056.22</v>
      </c>
      <c r="L182" s="165"/>
      <c r="M182" s="164">
        <f t="shared" si="10"/>
        <v>0</v>
      </c>
      <c r="N182" s="164"/>
      <c r="O182" s="41"/>
      <c r="P182" s="276"/>
      <c r="Q182" s="39"/>
      <c r="R182" s="40"/>
      <c r="S182" s="39">
        <f t="shared" si="11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10"/>
        <v>0</v>
      </c>
      <c r="N183" s="293"/>
      <c r="O183" s="82"/>
      <c r="P183" s="295"/>
      <c r="Q183" s="81"/>
      <c r="R183" s="80"/>
      <c r="S183" s="81">
        <f t="shared" si="11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10"/>
        <v>0</v>
      </c>
      <c r="N184" s="164"/>
      <c r="O184" s="41"/>
      <c r="P184" s="67">
        <v>4</v>
      </c>
      <c r="Q184" s="68">
        <v>19199.810000000001</v>
      </c>
      <c r="R184" s="285">
        <v>4</v>
      </c>
      <c r="S184" s="68">
        <v>19199.810000000001</v>
      </c>
      <c r="T184" s="68">
        <v>19199.810000000001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15</v>
      </c>
      <c r="I185" s="203">
        <v>13</v>
      </c>
      <c r="J185" s="203">
        <v>18</v>
      </c>
      <c r="K185" s="242">
        <v>41848.25</v>
      </c>
      <c r="L185" s="320">
        <v>14</v>
      </c>
      <c r="M185" s="166">
        <f t="shared" si="10"/>
        <v>33075.64</v>
      </c>
      <c r="N185" s="242">
        <v>33075.64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2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270">
        <v>1</v>
      </c>
      <c r="M186" s="43">
        <f t="shared" si="10"/>
        <v>1152.5999999999999</v>
      </c>
      <c r="N186" s="43">
        <f>1152.6</f>
        <v>1152.5999999999999</v>
      </c>
      <c r="O186" s="41"/>
      <c r="P186" s="113">
        <v>2</v>
      </c>
      <c r="Q186" s="114">
        <v>16904.8</v>
      </c>
      <c r="R186" s="270">
        <v>2</v>
      </c>
      <c r="S186" s="43">
        <f t="shared" si="12"/>
        <v>13639.1</v>
      </c>
      <c r="T186" s="114">
        <f>1921+11718.1</f>
        <v>13639.1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5</v>
      </c>
      <c r="I187" s="62">
        <v>4</v>
      </c>
      <c r="J187" s="62">
        <v>4</v>
      </c>
      <c r="K187" s="30">
        <v>5891.75</v>
      </c>
      <c r="L187" s="205">
        <v>4</v>
      </c>
      <c r="M187" s="26">
        <f t="shared" si="10"/>
        <v>5891.75</v>
      </c>
      <c r="N187" s="30">
        <v>5891.75</v>
      </c>
      <c r="O187" s="31"/>
      <c r="P187" s="53">
        <v>7</v>
      </c>
      <c r="Q187" s="30">
        <v>16748.509999999998</v>
      </c>
      <c r="R187" s="205">
        <v>7</v>
      </c>
      <c r="S187" s="26">
        <f t="shared" si="12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10"/>
        <v>0</v>
      </c>
      <c r="N188" s="39"/>
      <c r="O188" s="41"/>
      <c r="P188" s="59"/>
      <c r="Q188" s="39"/>
      <c r="R188" s="40"/>
      <c r="S188" s="39">
        <f t="shared" si="12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10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2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10"/>
        <v>0</v>
      </c>
      <c r="N190" s="43"/>
      <c r="O190" s="41"/>
      <c r="P190" s="113">
        <v>1</v>
      </c>
      <c r="Q190" s="114">
        <v>0</v>
      </c>
      <c r="R190" s="44"/>
      <c r="S190" s="43">
        <f t="shared" si="12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10"/>
        <v>0</v>
      </c>
      <c r="N191" s="26"/>
      <c r="O191" s="31"/>
      <c r="P191" s="120"/>
      <c r="Q191" s="26"/>
      <c r="R191" s="27"/>
      <c r="S191" s="26">
        <f t="shared" si="12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10"/>
        <v>0</v>
      </c>
      <c r="N192" s="39"/>
      <c r="O192" s="41"/>
      <c r="P192" s="69"/>
      <c r="Q192" s="39"/>
      <c r="R192" s="40"/>
      <c r="S192" s="39">
        <f t="shared" si="12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8</v>
      </c>
      <c r="M193" s="50">
        <f t="shared" si="10"/>
        <v>11987.81</v>
      </c>
      <c r="N193" s="65">
        <v>11987.81</v>
      </c>
      <c r="O193" s="225"/>
      <c r="P193" s="108">
        <v>8</v>
      </c>
      <c r="Q193" s="65">
        <v>20431.349999999999</v>
      </c>
      <c r="R193" s="224">
        <v>8</v>
      </c>
      <c r="S193" s="50">
        <f t="shared" si="12"/>
        <v>20431.349999999999</v>
      </c>
      <c r="T193" s="65">
        <v>20431.349999999999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1</v>
      </c>
      <c r="J194" s="37">
        <v>1</v>
      </c>
      <c r="K194" s="68">
        <v>1921</v>
      </c>
      <c r="L194" s="285">
        <v>1</v>
      </c>
      <c r="M194" s="39">
        <f t="shared" si="10"/>
        <v>1921</v>
      </c>
      <c r="N194" s="39">
        <f>1921</f>
        <v>1921</v>
      </c>
      <c r="O194" s="41"/>
      <c r="P194" s="59"/>
      <c r="Q194" s="39"/>
      <c r="R194" s="40"/>
      <c r="S194" s="39">
        <f t="shared" si="12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16</v>
      </c>
      <c r="I195" s="203">
        <v>16</v>
      </c>
      <c r="J195" s="203">
        <v>24</v>
      </c>
      <c r="K195" s="65">
        <v>46779.08</v>
      </c>
      <c r="L195" s="224">
        <v>22</v>
      </c>
      <c r="M195" s="50">
        <f t="shared" si="10"/>
        <v>41296.04</v>
      </c>
      <c r="N195" s="65">
        <v>41296.04</v>
      </c>
      <c r="O195" s="225"/>
      <c r="P195" s="108">
        <v>27</v>
      </c>
      <c r="Q195" s="65">
        <v>43490.11</v>
      </c>
      <c r="R195" s="224">
        <v>24</v>
      </c>
      <c r="S195" s="50">
        <f t="shared" si="12"/>
        <v>38742.26</v>
      </c>
      <c r="T195" s="65">
        <v>38742.26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6</v>
      </c>
      <c r="I196" s="130">
        <v>2</v>
      </c>
      <c r="J196" s="130">
        <v>2</v>
      </c>
      <c r="K196" s="114">
        <v>2401.25</v>
      </c>
      <c r="L196" s="316">
        <v>2</v>
      </c>
      <c r="M196" s="50">
        <f t="shared" si="10"/>
        <v>2401.25</v>
      </c>
      <c r="N196" s="43">
        <f>1056.55+1344.7</f>
        <v>2401.25</v>
      </c>
      <c r="O196" s="41"/>
      <c r="P196" s="113">
        <v>3</v>
      </c>
      <c r="Q196" s="114">
        <v>5551.69</v>
      </c>
      <c r="R196" s="270">
        <v>3</v>
      </c>
      <c r="S196" s="43">
        <f t="shared" si="12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7" t="s">
        <v>22</v>
      </c>
      <c r="D197" s="374"/>
      <c r="E197" s="374" t="s">
        <v>450</v>
      </c>
      <c r="F197" s="204" t="s">
        <v>451</v>
      </c>
      <c r="G197" s="23" t="s">
        <v>24</v>
      </c>
      <c r="H197" s="24">
        <v>8</v>
      </c>
      <c r="I197" s="25"/>
      <c r="J197" s="25"/>
      <c r="K197" s="26"/>
      <c r="L197" s="27"/>
      <c r="M197" s="26">
        <f t="shared" si="10"/>
        <v>0</v>
      </c>
      <c r="N197" s="26"/>
      <c r="O197" s="31"/>
      <c r="P197" s="53">
        <v>3</v>
      </c>
      <c r="Q197" s="30">
        <v>14217.44</v>
      </c>
      <c r="R197" s="205">
        <v>3</v>
      </c>
      <c r="S197" s="26">
        <f t="shared" si="12"/>
        <v>14217.44</v>
      </c>
      <c r="T197" s="30">
        <v>14217.44</v>
      </c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10"/>
        <v>0</v>
      </c>
      <c r="N198" s="39"/>
      <c r="O198" s="41"/>
      <c r="P198" s="59"/>
      <c r="Q198" s="39"/>
      <c r="R198" s="40"/>
      <c r="S198" s="39">
        <f t="shared" si="12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10"/>
        <v>0</v>
      </c>
      <c r="N199" s="50"/>
      <c r="O199" s="31"/>
      <c r="P199" s="123"/>
      <c r="Q199" s="50"/>
      <c r="R199" s="51"/>
      <c r="S199" s="50">
        <f t="shared" si="12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10"/>
        <v>0</v>
      </c>
      <c r="N200" s="50"/>
      <c r="O200" s="45"/>
      <c r="P200" s="123"/>
      <c r="Q200" s="50"/>
      <c r="R200" s="51"/>
      <c r="S200" s="50">
        <f t="shared" si="12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10"/>
        <v>0</v>
      </c>
      <c r="N201" s="43"/>
      <c r="O201" s="41"/>
      <c r="P201" s="113">
        <v>1</v>
      </c>
      <c r="Q201" s="114">
        <v>4602.5</v>
      </c>
      <c r="R201" s="270">
        <v>1</v>
      </c>
      <c r="S201" s="43">
        <f t="shared" si="12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10"/>
        <v>0</v>
      </c>
      <c r="N202" s="26"/>
      <c r="O202" s="31"/>
      <c r="P202" s="99"/>
      <c r="Q202" s="26"/>
      <c r="R202" s="27"/>
      <c r="S202" s="26">
        <f t="shared" si="12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3</v>
      </c>
      <c r="I203" s="57"/>
      <c r="J203" s="57"/>
      <c r="K203" s="43"/>
      <c r="L203" s="44"/>
      <c r="M203" s="43">
        <f t="shared" si="10"/>
        <v>0</v>
      </c>
      <c r="N203" s="43"/>
      <c r="O203" s="41"/>
      <c r="P203" s="113">
        <v>4</v>
      </c>
      <c r="Q203" s="114">
        <v>7395.85</v>
      </c>
      <c r="R203" s="270">
        <v>5</v>
      </c>
      <c r="S203" s="43">
        <f t="shared" si="12"/>
        <v>8452.4000000000015</v>
      </c>
      <c r="T203" s="114">
        <f>4034.1+1921+2497.3</f>
        <v>8452.4000000000015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10"/>
        <v>0</v>
      </c>
      <c r="N204" s="26"/>
      <c r="O204" s="31"/>
      <c r="P204" s="99"/>
      <c r="Q204" s="26"/>
      <c r="R204" s="27"/>
      <c r="S204" s="26">
        <f t="shared" si="12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10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454</v>
      </c>
      <c r="C206" s="377" t="s">
        <v>39</v>
      </c>
      <c r="D206" s="405" t="s">
        <v>455</v>
      </c>
      <c r="E206" s="381" t="s">
        <v>27</v>
      </c>
      <c r="F206" s="305"/>
      <c r="G206" s="23" t="s">
        <v>24</v>
      </c>
      <c r="H206" s="328"/>
      <c r="I206" s="71"/>
      <c r="J206" s="71"/>
      <c r="K206" s="93"/>
      <c r="L206" s="92"/>
      <c r="M206" s="26">
        <f t="shared" si="10"/>
        <v>0</v>
      </c>
      <c r="N206" s="93"/>
      <c r="O206" s="94"/>
      <c r="P206" s="329"/>
      <c r="Q206" s="91"/>
      <c r="R206" s="330"/>
      <c r="S206" s="26">
        <f t="shared" ref="S206:S222" si="13">T206+U206</f>
        <v>0</v>
      </c>
      <c r="T206" s="91"/>
      <c r="U206" s="3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406"/>
      <c r="E207" s="375"/>
      <c r="F207" s="235"/>
      <c r="G207" s="332" t="s">
        <v>28</v>
      </c>
      <c r="H207" s="333">
        <v>2</v>
      </c>
      <c r="I207" s="139"/>
      <c r="J207" s="139"/>
      <c r="K207" s="142"/>
      <c r="L207" s="143"/>
      <c r="M207" s="26">
        <f t="shared" si="10"/>
        <v>0</v>
      </c>
      <c r="N207" s="142"/>
      <c r="O207" s="142"/>
      <c r="P207" s="246"/>
      <c r="Q207" s="158"/>
      <c r="R207" s="317"/>
      <c r="S207" s="26">
        <f t="shared" si="13"/>
        <v>0</v>
      </c>
      <c r="T207" s="91"/>
      <c r="U207" s="3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166</v>
      </c>
      <c r="C208" s="381" t="s">
        <v>22</v>
      </c>
      <c r="D208" s="377"/>
      <c r="E208" s="381" t="s">
        <v>27</v>
      </c>
      <c r="F208" s="235" t="s">
        <v>420</v>
      </c>
      <c r="G208" s="332" t="s">
        <v>24</v>
      </c>
      <c r="H208" s="333">
        <v>1</v>
      </c>
      <c r="I208" s="139"/>
      <c r="J208" s="139"/>
      <c r="K208" s="142"/>
      <c r="L208" s="143"/>
      <c r="M208" s="142">
        <f t="shared" si="10"/>
        <v>0</v>
      </c>
      <c r="N208" s="142"/>
      <c r="O208" s="142"/>
      <c r="P208" s="246">
        <v>3</v>
      </c>
      <c r="Q208" s="158">
        <v>12689.15</v>
      </c>
      <c r="R208" s="317">
        <v>3</v>
      </c>
      <c r="S208" s="50">
        <f t="shared" si="13"/>
        <v>12689.15</v>
      </c>
      <c r="T208" s="65">
        <v>12689.15</v>
      </c>
      <c r="U208" s="225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6"/>
      <c r="G209" s="227" t="s">
        <v>28</v>
      </c>
      <c r="H209" s="334"/>
      <c r="I209" s="57"/>
      <c r="J209" s="57"/>
      <c r="K209" s="43"/>
      <c r="L209" s="44"/>
      <c r="M209" s="43">
        <f t="shared" si="10"/>
        <v>0</v>
      </c>
      <c r="N209" s="43"/>
      <c r="O209" s="45"/>
      <c r="P209" s="273"/>
      <c r="Q209" s="211"/>
      <c r="R209" s="210"/>
      <c r="S209" s="211">
        <f t="shared" si="13"/>
        <v>0</v>
      </c>
      <c r="T209" s="211"/>
      <c r="U209" s="21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167</v>
      </c>
      <c r="C210" s="374" t="s">
        <v>46</v>
      </c>
      <c r="D210" s="374" t="s">
        <v>168</v>
      </c>
      <c r="E210" s="374" t="s">
        <v>27</v>
      </c>
      <c r="F210" s="204" t="s">
        <v>421</v>
      </c>
      <c r="G210" s="176" t="s">
        <v>24</v>
      </c>
      <c r="H210" s="248">
        <v>4</v>
      </c>
      <c r="I210" s="62">
        <v>3</v>
      </c>
      <c r="J210" s="62">
        <v>3</v>
      </c>
      <c r="K210" s="30">
        <v>2022.81</v>
      </c>
      <c r="L210" s="205">
        <v>3</v>
      </c>
      <c r="M210" s="26">
        <f t="shared" si="10"/>
        <v>2022.81</v>
      </c>
      <c r="N210" s="30">
        <v>2022.81</v>
      </c>
      <c r="O210" s="308"/>
      <c r="P210" s="99"/>
      <c r="Q210" s="26"/>
      <c r="R210" s="27"/>
      <c r="S210" s="26">
        <f t="shared" si="13"/>
        <v>0</v>
      </c>
      <c r="T210" s="26"/>
      <c r="U210" s="28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247</v>
      </c>
      <c r="G211" s="229" t="s">
        <v>28</v>
      </c>
      <c r="H211" s="258">
        <v>5</v>
      </c>
      <c r="I211" s="37">
        <v>4</v>
      </c>
      <c r="J211" s="37">
        <v>4</v>
      </c>
      <c r="K211" s="68">
        <v>9389.9500000000007</v>
      </c>
      <c r="L211" s="285">
        <v>1</v>
      </c>
      <c r="M211" s="39">
        <f t="shared" si="10"/>
        <v>9086.33</v>
      </c>
      <c r="N211" s="39">
        <f>1985.09+7101.24</f>
        <v>9086.33</v>
      </c>
      <c r="O211" s="309"/>
      <c r="P211" s="310">
        <v>6</v>
      </c>
      <c r="Q211" s="245">
        <v>28151.200000000001</v>
      </c>
      <c r="R211" s="285">
        <v>5</v>
      </c>
      <c r="S211" s="39">
        <f t="shared" si="13"/>
        <v>12486.5</v>
      </c>
      <c r="T211" s="68">
        <f>4034.1+1152.6+2881.5+2497.3+1921</f>
        <v>12486.5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6"/>
      <c r="B212" s="377" t="s">
        <v>169</v>
      </c>
      <c r="C212" s="377" t="s">
        <v>39</v>
      </c>
      <c r="D212" s="377"/>
      <c r="E212" s="377" t="s">
        <v>27</v>
      </c>
      <c r="F212" s="72"/>
      <c r="G212" s="291" t="s">
        <v>24</v>
      </c>
      <c r="H212" s="98"/>
      <c r="I212" s="49"/>
      <c r="J212" s="49"/>
      <c r="K212" s="50"/>
      <c r="L212" s="51"/>
      <c r="M212" s="50">
        <f t="shared" si="10"/>
        <v>0</v>
      </c>
      <c r="N212" s="50"/>
      <c r="O212" s="31"/>
      <c r="P212" s="277"/>
      <c r="Q212" s="81"/>
      <c r="R212" s="80"/>
      <c r="S212" s="81">
        <f t="shared" si="13"/>
        <v>0</v>
      </c>
      <c r="T212" s="81"/>
      <c r="U212" s="21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0" t="s">
        <v>336</v>
      </c>
      <c r="G213" s="229" t="s">
        <v>28</v>
      </c>
      <c r="H213" s="153">
        <v>3</v>
      </c>
      <c r="I213" s="57"/>
      <c r="J213" s="57"/>
      <c r="K213" s="43"/>
      <c r="L213" s="44"/>
      <c r="M213" s="43">
        <f t="shared" si="10"/>
        <v>0</v>
      </c>
      <c r="N213" s="43"/>
      <c r="O213" s="41"/>
      <c r="P213" s="113">
        <v>1</v>
      </c>
      <c r="Q213" s="114">
        <v>3842</v>
      </c>
      <c r="R213" s="316">
        <v>1</v>
      </c>
      <c r="S213" s="50">
        <f t="shared" si="13"/>
        <v>3842</v>
      </c>
      <c r="T213" s="43">
        <f>3842</f>
        <v>3842</v>
      </c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170</v>
      </c>
      <c r="C214" s="374" t="s">
        <v>22</v>
      </c>
      <c r="D214" s="374"/>
      <c r="E214" s="374" t="s">
        <v>160</v>
      </c>
      <c r="F214" s="232" t="s">
        <v>248</v>
      </c>
      <c r="G214" s="23" t="s">
        <v>24</v>
      </c>
      <c r="H214" s="48">
        <v>15</v>
      </c>
      <c r="I214" s="62">
        <v>13</v>
      </c>
      <c r="J214" s="62">
        <v>20</v>
      </c>
      <c r="K214" s="30">
        <v>45826.94</v>
      </c>
      <c r="L214" s="205">
        <v>16</v>
      </c>
      <c r="M214" s="26">
        <f t="shared" si="10"/>
        <v>36448.26</v>
      </c>
      <c r="N214" s="30">
        <v>36448.26</v>
      </c>
      <c r="O214" s="225"/>
      <c r="P214" s="53">
        <v>20</v>
      </c>
      <c r="Q214" s="30">
        <v>64727.57</v>
      </c>
      <c r="R214" s="205">
        <v>20</v>
      </c>
      <c r="S214" s="26">
        <f t="shared" si="13"/>
        <v>64727.57</v>
      </c>
      <c r="T214" s="30">
        <v>64727.57</v>
      </c>
      <c r="U214" s="225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105"/>
      <c r="G215" s="35" t="s">
        <v>28</v>
      </c>
      <c r="H215" s="116"/>
      <c r="I215" s="38"/>
      <c r="J215" s="38"/>
      <c r="K215" s="39"/>
      <c r="L215" s="40"/>
      <c r="M215" s="39">
        <f t="shared" si="10"/>
        <v>0</v>
      </c>
      <c r="N215" s="39"/>
      <c r="O215" s="41"/>
      <c r="P215" s="59"/>
      <c r="Q215" s="39"/>
      <c r="R215" s="40"/>
      <c r="S215" s="39">
        <f t="shared" si="13"/>
        <v>0</v>
      </c>
      <c r="T215" s="39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171</v>
      </c>
      <c r="C216" s="374" t="s">
        <v>39</v>
      </c>
      <c r="D216" s="374" t="s">
        <v>374</v>
      </c>
      <c r="E216" s="374" t="s">
        <v>27</v>
      </c>
      <c r="F216" s="223" t="s">
        <v>375</v>
      </c>
      <c r="G216" s="176" t="s">
        <v>24</v>
      </c>
      <c r="H216" s="48">
        <v>4</v>
      </c>
      <c r="I216" s="203">
        <v>2</v>
      </c>
      <c r="J216" s="203">
        <v>2</v>
      </c>
      <c r="K216" s="65">
        <v>3169.65</v>
      </c>
      <c r="L216" s="224">
        <v>2</v>
      </c>
      <c r="M216" s="50">
        <f t="shared" si="10"/>
        <v>3169.65</v>
      </c>
      <c r="N216" s="65">
        <v>3169.65</v>
      </c>
      <c r="O216" s="31"/>
      <c r="P216" s="108">
        <v>6</v>
      </c>
      <c r="Q216" s="65">
        <v>16741.060000000001</v>
      </c>
      <c r="R216" s="224">
        <v>6</v>
      </c>
      <c r="S216" s="50">
        <f t="shared" si="13"/>
        <v>16741.060000000001</v>
      </c>
      <c r="T216" s="65">
        <v>16741.060000000001</v>
      </c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337</v>
      </c>
      <c r="G217" s="229" t="s">
        <v>28</v>
      </c>
      <c r="H217" s="133">
        <v>3</v>
      </c>
      <c r="I217" s="130">
        <v>1</v>
      </c>
      <c r="J217" s="130">
        <v>1</v>
      </c>
      <c r="K217" s="114">
        <v>3457.8</v>
      </c>
      <c r="L217" s="128"/>
      <c r="M217" s="50">
        <f t="shared" si="10"/>
        <v>0</v>
      </c>
      <c r="N217" s="43"/>
      <c r="O217" s="41"/>
      <c r="P217" s="113">
        <v>2</v>
      </c>
      <c r="Q217" s="114">
        <v>7299.8</v>
      </c>
      <c r="R217" s="270">
        <v>2</v>
      </c>
      <c r="S217" s="43">
        <f t="shared" si="13"/>
        <v>7299.7999999999993</v>
      </c>
      <c r="T217" s="43">
        <f>3073.6+4226.2</f>
        <v>7299.7999999999993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172</v>
      </c>
      <c r="C218" s="374" t="s">
        <v>39</v>
      </c>
      <c r="D218" s="374" t="s">
        <v>303</v>
      </c>
      <c r="E218" s="374" t="s">
        <v>121</v>
      </c>
      <c r="F218" s="204" t="s">
        <v>304</v>
      </c>
      <c r="G218" s="176" t="s">
        <v>24</v>
      </c>
      <c r="H218" s="48">
        <v>18</v>
      </c>
      <c r="I218" s="62">
        <v>9</v>
      </c>
      <c r="J218" s="62">
        <v>10</v>
      </c>
      <c r="K218" s="30">
        <v>7339.68</v>
      </c>
      <c r="L218" s="205">
        <v>10</v>
      </c>
      <c r="M218" s="26">
        <f t="shared" si="10"/>
        <v>7339.68</v>
      </c>
      <c r="N218" s="30">
        <v>7339.68</v>
      </c>
      <c r="O218" s="225"/>
      <c r="P218" s="53">
        <v>28</v>
      </c>
      <c r="Q218" s="30">
        <v>74352.649999999994</v>
      </c>
      <c r="R218" s="205">
        <v>26</v>
      </c>
      <c r="S218" s="26">
        <f t="shared" si="13"/>
        <v>73507.41</v>
      </c>
      <c r="T218" s="30">
        <v>73507.41</v>
      </c>
      <c r="U218" s="30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229" t="s">
        <v>25</v>
      </c>
      <c r="H219" s="102"/>
      <c r="I219" s="57"/>
      <c r="J219" s="57"/>
      <c r="K219" s="43"/>
      <c r="L219" s="44"/>
      <c r="M219" s="43">
        <f t="shared" si="10"/>
        <v>0</v>
      </c>
      <c r="N219" s="43"/>
      <c r="O219" s="41"/>
      <c r="P219" s="113">
        <v>1</v>
      </c>
      <c r="Q219" s="114">
        <v>1728.9</v>
      </c>
      <c r="R219" s="270">
        <v>1</v>
      </c>
      <c r="S219" s="43">
        <f t="shared" si="13"/>
        <v>1728.9</v>
      </c>
      <c r="T219" s="114">
        <v>1728.9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173</v>
      </c>
      <c r="C220" s="374" t="s">
        <v>39</v>
      </c>
      <c r="D220" s="374" t="s">
        <v>338</v>
      </c>
      <c r="E220" s="374" t="s">
        <v>121</v>
      </c>
      <c r="F220" s="232" t="s">
        <v>376</v>
      </c>
      <c r="G220" s="23" t="s">
        <v>24</v>
      </c>
      <c r="H220" s="61">
        <v>29</v>
      </c>
      <c r="I220" s="25"/>
      <c r="J220" s="25"/>
      <c r="K220" s="26"/>
      <c r="L220" s="27"/>
      <c r="M220" s="26">
        <f t="shared" si="10"/>
        <v>0</v>
      </c>
      <c r="N220" s="26"/>
      <c r="O220" s="31"/>
      <c r="P220" s="53">
        <v>6</v>
      </c>
      <c r="Q220" s="30">
        <v>5292.88</v>
      </c>
      <c r="R220" s="205">
        <v>5</v>
      </c>
      <c r="S220" s="26">
        <f t="shared" si="13"/>
        <v>4887.8599999999997</v>
      </c>
      <c r="T220" s="30">
        <v>4887.8599999999997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339</v>
      </c>
      <c r="G221" s="35" t="s">
        <v>25</v>
      </c>
      <c r="H221" s="117">
        <v>8</v>
      </c>
      <c r="I221" s="37">
        <v>1</v>
      </c>
      <c r="J221" s="37">
        <v>1</v>
      </c>
      <c r="K221" s="68">
        <v>1152.5999999999999</v>
      </c>
      <c r="L221" s="285">
        <v>1</v>
      </c>
      <c r="M221" s="39">
        <f t="shared" si="10"/>
        <v>1152.5999999999999</v>
      </c>
      <c r="N221" s="68">
        <v>1152.5999999999999</v>
      </c>
      <c r="O221" s="234"/>
      <c r="P221" s="115">
        <v>2</v>
      </c>
      <c r="Q221" s="68">
        <v>4942.5</v>
      </c>
      <c r="R221" s="285">
        <v>2</v>
      </c>
      <c r="S221" s="39">
        <f t="shared" si="13"/>
        <v>4942.5</v>
      </c>
      <c r="T221" s="68">
        <v>4942.5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174</v>
      </c>
      <c r="C222" s="374" t="s">
        <v>39</v>
      </c>
      <c r="D222" s="374" t="s">
        <v>175</v>
      </c>
      <c r="E222" s="374" t="s">
        <v>176</v>
      </c>
      <c r="F222" s="204" t="s">
        <v>377</v>
      </c>
      <c r="G222" s="176" t="s">
        <v>24</v>
      </c>
      <c r="H222" s="48">
        <v>12</v>
      </c>
      <c r="I222" s="203">
        <v>10</v>
      </c>
      <c r="J222" s="203">
        <v>11</v>
      </c>
      <c r="K222" s="65">
        <v>20832.330000000002</v>
      </c>
      <c r="L222" s="224">
        <v>9</v>
      </c>
      <c r="M222" s="50">
        <f t="shared" si="10"/>
        <v>16434.740000000002</v>
      </c>
      <c r="N222" s="65">
        <v>16434.740000000002</v>
      </c>
      <c r="O222" s="225"/>
      <c r="P222" s="108">
        <v>18</v>
      </c>
      <c r="Q222" s="65">
        <v>56598.95</v>
      </c>
      <c r="R222" s="224">
        <v>18</v>
      </c>
      <c r="S222" s="50">
        <f t="shared" si="13"/>
        <v>56598.95</v>
      </c>
      <c r="T222" s="65">
        <v>56598.95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220" t="s">
        <v>340</v>
      </c>
      <c r="G223" s="229" t="s">
        <v>25</v>
      </c>
      <c r="H223" s="153">
        <v>2</v>
      </c>
      <c r="I223" s="57"/>
      <c r="J223" s="57"/>
      <c r="K223" s="43"/>
      <c r="L223" s="44"/>
      <c r="M223" s="43">
        <f t="shared" si="10"/>
        <v>0</v>
      </c>
      <c r="N223" s="43"/>
      <c r="O223" s="41"/>
      <c r="P223" s="113">
        <v>9</v>
      </c>
      <c r="Q223" s="114">
        <v>44675.6</v>
      </c>
      <c r="R223" s="270">
        <v>6</v>
      </c>
      <c r="S223" s="114">
        <v>32210.18</v>
      </c>
      <c r="T223" s="114">
        <v>32210.18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177</v>
      </c>
      <c r="C224" s="377" t="s">
        <v>39</v>
      </c>
      <c r="D224" s="374" t="s">
        <v>226</v>
      </c>
      <c r="E224" s="374" t="s">
        <v>27</v>
      </c>
      <c r="F224" s="204" t="s">
        <v>227</v>
      </c>
      <c r="G224" s="23" t="s">
        <v>24</v>
      </c>
      <c r="H224" s="48">
        <v>5</v>
      </c>
      <c r="I224" s="62">
        <v>3</v>
      </c>
      <c r="J224" s="62">
        <v>3</v>
      </c>
      <c r="K224" s="30">
        <v>1969.94</v>
      </c>
      <c r="L224" s="205">
        <v>3</v>
      </c>
      <c r="M224" s="26">
        <f t="shared" si="10"/>
        <v>1969.94</v>
      </c>
      <c r="N224" s="30">
        <v>1969.94</v>
      </c>
      <c r="O224" s="225"/>
      <c r="P224" s="53">
        <v>16</v>
      </c>
      <c r="Q224" s="30">
        <v>53460.74</v>
      </c>
      <c r="R224" s="205">
        <v>15</v>
      </c>
      <c r="S224" s="26">
        <f t="shared" ref="S224:S227" si="14">T224+U224</f>
        <v>47736.39</v>
      </c>
      <c r="T224" s="30">
        <v>47736.39</v>
      </c>
      <c r="U224" s="225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80"/>
      <c r="D225" s="375"/>
      <c r="E225" s="375"/>
      <c r="F225" s="126"/>
      <c r="G225" s="55" t="s">
        <v>28</v>
      </c>
      <c r="H225" s="118"/>
      <c r="I225" s="57"/>
      <c r="J225" s="57"/>
      <c r="K225" s="43"/>
      <c r="L225" s="44"/>
      <c r="M225" s="43">
        <f t="shared" si="10"/>
        <v>0</v>
      </c>
      <c r="N225" s="43"/>
      <c r="O225" s="41"/>
      <c r="P225" s="103"/>
      <c r="Q225" s="43"/>
      <c r="R225" s="44"/>
      <c r="S225" s="43">
        <f t="shared" si="14"/>
        <v>0</v>
      </c>
      <c r="T225" s="43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178</v>
      </c>
      <c r="C226" s="374" t="s">
        <v>22</v>
      </c>
      <c r="D226" s="374"/>
      <c r="E226" s="374" t="s">
        <v>27</v>
      </c>
      <c r="F226" s="223" t="s">
        <v>452</v>
      </c>
      <c r="G226" s="176" t="s">
        <v>24</v>
      </c>
      <c r="H226" s="61">
        <v>3</v>
      </c>
      <c r="I226" s="62">
        <v>2</v>
      </c>
      <c r="J226" s="62">
        <v>2</v>
      </c>
      <c r="K226" s="30">
        <v>2387.8000000000002</v>
      </c>
      <c r="L226" s="205">
        <v>2</v>
      </c>
      <c r="M226" s="26">
        <f t="shared" si="10"/>
        <v>2387.8000000000002</v>
      </c>
      <c r="N226" s="30">
        <v>2387.8000000000002</v>
      </c>
      <c r="O226" s="31"/>
      <c r="P226" s="29">
        <v>1</v>
      </c>
      <c r="Q226" s="30">
        <v>2466.56</v>
      </c>
      <c r="R226" s="205">
        <v>1</v>
      </c>
      <c r="S226" s="26">
        <f t="shared" si="14"/>
        <v>2466.56</v>
      </c>
      <c r="T226" s="30">
        <v>2466.56</v>
      </c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21"/>
      <c r="G227" s="252" t="s">
        <v>28</v>
      </c>
      <c r="H227" s="322"/>
      <c r="I227" s="139"/>
      <c r="J227" s="139"/>
      <c r="K227" s="142"/>
      <c r="L227" s="143"/>
      <c r="M227" s="142">
        <f t="shared" si="10"/>
        <v>0</v>
      </c>
      <c r="N227" s="142"/>
      <c r="O227" s="323"/>
      <c r="P227" s="324"/>
      <c r="Q227" s="142"/>
      <c r="R227" s="143"/>
      <c r="S227" s="142">
        <f t="shared" si="14"/>
        <v>0</v>
      </c>
      <c r="T227" s="142"/>
      <c r="U227" s="323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445</v>
      </c>
      <c r="C228" s="374"/>
      <c r="D228" s="374"/>
      <c r="E228" s="374"/>
      <c r="F228" s="72"/>
      <c r="G228" s="176" t="s">
        <v>24</v>
      </c>
      <c r="H228" s="265"/>
      <c r="I228" s="266"/>
      <c r="J228" s="96"/>
      <c r="K228" s="81"/>
      <c r="L228" s="80"/>
      <c r="M228" s="81"/>
      <c r="N228" s="81"/>
      <c r="O228" s="82"/>
      <c r="P228" s="295"/>
      <c r="Q228" s="81"/>
      <c r="R228" s="80"/>
      <c r="S228" s="81"/>
      <c r="T228" s="81"/>
      <c r="U228" s="8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6"/>
      <c r="G229" s="252" t="s">
        <v>28</v>
      </c>
      <c r="H229" s="302">
        <v>1</v>
      </c>
      <c r="I229" s="261"/>
      <c r="J229" s="261"/>
      <c r="K229" s="211"/>
      <c r="L229" s="210"/>
      <c r="M229" s="211"/>
      <c r="N229" s="211"/>
      <c r="O229" s="212"/>
      <c r="P229" s="284"/>
      <c r="Q229" s="211"/>
      <c r="R229" s="210"/>
      <c r="S229" s="211"/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179</v>
      </c>
      <c r="C230" s="374"/>
      <c r="D230" s="374"/>
      <c r="E230" s="374" t="s">
        <v>27</v>
      </c>
      <c r="F230" s="22"/>
      <c r="G230" s="176" t="s">
        <v>24</v>
      </c>
      <c r="H230" s="61">
        <v>2</v>
      </c>
      <c r="I230" s="25"/>
      <c r="J230" s="25"/>
      <c r="K230" s="26"/>
      <c r="L230" s="27"/>
      <c r="M230" s="26">
        <f t="shared" ref="M230:M283" si="15">N230+O230</f>
        <v>0</v>
      </c>
      <c r="N230" s="26"/>
      <c r="O230" s="28"/>
      <c r="P230" s="120"/>
      <c r="Q230" s="26"/>
      <c r="R230" s="27"/>
      <c r="S230" s="26">
        <f t="shared" ref="S230:S248" si="16">T230+U230</f>
        <v>0</v>
      </c>
      <c r="T230" s="26"/>
      <c r="U230" s="28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29" t="s">
        <v>28</v>
      </c>
      <c r="H231" s="298"/>
      <c r="I231" s="261"/>
      <c r="J231" s="261"/>
      <c r="K231" s="211"/>
      <c r="L231" s="210"/>
      <c r="M231" s="211">
        <f t="shared" si="15"/>
        <v>0</v>
      </c>
      <c r="N231" s="211"/>
      <c r="O231" s="212"/>
      <c r="P231" s="284"/>
      <c r="Q231" s="211"/>
      <c r="R231" s="210"/>
      <c r="S231" s="211">
        <f t="shared" si="16"/>
        <v>0</v>
      </c>
      <c r="T231" s="211"/>
      <c r="U231" s="21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378</v>
      </c>
      <c r="C232" s="374" t="s">
        <v>46</v>
      </c>
      <c r="D232" s="374" t="s">
        <v>422</v>
      </c>
      <c r="E232" s="374" t="s">
        <v>27</v>
      </c>
      <c r="F232" s="232" t="s">
        <v>423</v>
      </c>
      <c r="G232" s="213" t="s">
        <v>24</v>
      </c>
      <c r="H232" s="61">
        <v>11</v>
      </c>
      <c r="I232" s="62">
        <v>7</v>
      </c>
      <c r="J232" s="62">
        <v>8</v>
      </c>
      <c r="K232" s="30">
        <v>8606.68</v>
      </c>
      <c r="L232" s="205">
        <v>5</v>
      </c>
      <c r="M232" s="26">
        <f t="shared" si="15"/>
        <v>5425.58</v>
      </c>
      <c r="N232" s="30">
        <v>5425.58</v>
      </c>
      <c r="O232" s="28"/>
      <c r="P232" s="214"/>
      <c r="Q232" s="30"/>
      <c r="R232" s="205"/>
      <c r="S232" s="26">
        <f t="shared" si="16"/>
        <v>0</v>
      </c>
      <c r="T232" s="30"/>
      <c r="U232" s="24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0"/>
      <c r="G233" s="215" t="s">
        <v>28</v>
      </c>
      <c r="H233" s="117">
        <v>5</v>
      </c>
      <c r="I233" s="37">
        <v>1</v>
      </c>
      <c r="J233" s="37">
        <v>1</v>
      </c>
      <c r="K233" s="68">
        <v>1152.5999999999999</v>
      </c>
      <c r="L233" s="40"/>
      <c r="M233" s="39">
        <f t="shared" si="15"/>
        <v>0</v>
      </c>
      <c r="N233" s="39"/>
      <c r="O233" s="41"/>
      <c r="P233" s="217"/>
      <c r="Q233" s="68"/>
      <c r="R233" s="285"/>
      <c r="S233" s="39">
        <f t="shared" si="16"/>
        <v>0</v>
      </c>
      <c r="T233" s="68"/>
      <c r="U233" s="23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6"/>
      <c r="B234" s="377" t="s">
        <v>180</v>
      </c>
      <c r="C234" s="377" t="s">
        <v>46</v>
      </c>
      <c r="D234" s="377" t="s">
        <v>181</v>
      </c>
      <c r="E234" s="377" t="s">
        <v>27</v>
      </c>
      <c r="F234" s="232" t="s">
        <v>228</v>
      </c>
      <c r="G234" s="95" t="s">
        <v>24</v>
      </c>
      <c r="H234" s="265">
        <v>12</v>
      </c>
      <c r="I234" s="266">
        <v>7</v>
      </c>
      <c r="J234" s="266">
        <v>8</v>
      </c>
      <c r="K234" s="79">
        <v>5763.01</v>
      </c>
      <c r="L234" s="268">
        <v>8</v>
      </c>
      <c r="M234" s="81">
        <f t="shared" si="15"/>
        <v>5763.01</v>
      </c>
      <c r="N234" s="79">
        <v>5763.01</v>
      </c>
      <c r="O234" s="219"/>
      <c r="P234" s="267">
        <v>14</v>
      </c>
      <c r="Q234" s="79">
        <v>65943.149999999994</v>
      </c>
      <c r="R234" s="268">
        <v>14</v>
      </c>
      <c r="S234" s="26">
        <f t="shared" si="16"/>
        <v>65943.149999999994</v>
      </c>
      <c r="T234" s="79">
        <v>65943.149999999994</v>
      </c>
      <c r="U234" s="269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9"/>
      <c r="B235" s="380"/>
      <c r="C235" s="380"/>
      <c r="D235" s="380"/>
      <c r="E235" s="380"/>
      <c r="F235" s="54"/>
      <c r="G235" s="55" t="s">
        <v>28</v>
      </c>
      <c r="H235" s="116"/>
      <c r="I235" s="57"/>
      <c r="J235" s="57"/>
      <c r="K235" s="43"/>
      <c r="L235" s="128"/>
      <c r="M235" s="50">
        <f t="shared" si="15"/>
        <v>0</v>
      </c>
      <c r="N235" s="43"/>
      <c r="O235" s="41"/>
      <c r="P235" s="113">
        <v>3</v>
      </c>
      <c r="Q235" s="114">
        <v>15175.95</v>
      </c>
      <c r="R235" s="270">
        <v>2</v>
      </c>
      <c r="S235" s="43">
        <f t="shared" si="16"/>
        <v>2209.1999999999998</v>
      </c>
      <c r="T235" s="114">
        <v>2209.1999999999998</v>
      </c>
      <c r="U235" s="4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182</v>
      </c>
      <c r="C236" s="374" t="s">
        <v>46</v>
      </c>
      <c r="D236" s="374" t="s">
        <v>181</v>
      </c>
      <c r="E236" s="374" t="s">
        <v>27</v>
      </c>
      <c r="F236" s="204" t="s">
        <v>379</v>
      </c>
      <c r="G236" s="23" t="s">
        <v>24</v>
      </c>
      <c r="H236" s="48">
        <v>16</v>
      </c>
      <c r="I236" s="62">
        <v>16</v>
      </c>
      <c r="J236" s="62">
        <v>18</v>
      </c>
      <c r="K236" s="30">
        <v>24999.53</v>
      </c>
      <c r="L236" s="205">
        <v>18</v>
      </c>
      <c r="M236" s="26">
        <f t="shared" si="15"/>
        <v>24999.53</v>
      </c>
      <c r="N236" s="30">
        <v>24999.53</v>
      </c>
      <c r="O236" s="31"/>
      <c r="P236" s="53">
        <v>11</v>
      </c>
      <c r="Q236" s="30">
        <v>66117.05</v>
      </c>
      <c r="R236" s="205">
        <v>10</v>
      </c>
      <c r="S236" s="26">
        <f t="shared" si="16"/>
        <v>58580.480000000003</v>
      </c>
      <c r="T236" s="30">
        <v>58580.480000000003</v>
      </c>
      <c r="U236" s="100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35" t="s">
        <v>28</v>
      </c>
      <c r="H237" s="116"/>
      <c r="I237" s="38"/>
      <c r="J237" s="38"/>
      <c r="K237" s="39"/>
      <c r="L237" s="40"/>
      <c r="M237" s="39">
        <f t="shared" si="15"/>
        <v>0</v>
      </c>
      <c r="N237" s="39"/>
      <c r="O237" s="41"/>
      <c r="P237" s="115">
        <v>2</v>
      </c>
      <c r="Q237" s="68">
        <v>4418.3</v>
      </c>
      <c r="R237" s="285">
        <v>1</v>
      </c>
      <c r="S237" s="39">
        <f t="shared" si="16"/>
        <v>3073.6</v>
      </c>
      <c r="T237" s="39">
        <f>3073.6</f>
        <v>3073.6</v>
      </c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82"/>
      <c r="B238" s="381" t="s">
        <v>183</v>
      </c>
      <c r="C238" s="381" t="s">
        <v>22</v>
      </c>
      <c r="D238" s="381"/>
      <c r="E238" s="381" t="s">
        <v>99</v>
      </c>
      <c r="F238" s="223" t="s">
        <v>380</v>
      </c>
      <c r="G238" s="23" t="s">
        <v>24</v>
      </c>
      <c r="H238" s="48">
        <v>6</v>
      </c>
      <c r="I238" s="203">
        <v>2</v>
      </c>
      <c r="J238" s="203">
        <v>3</v>
      </c>
      <c r="K238" s="65">
        <v>4599.43</v>
      </c>
      <c r="L238" s="224">
        <v>2</v>
      </c>
      <c r="M238" s="50">
        <f t="shared" si="15"/>
        <v>2320.1799999999998</v>
      </c>
      <c r="N238" s="65">
        <v>2320.1799999999998</v>
      </c>
      <c r="O238" s="31"/>
      <c r="P238" s="108">
        <v>11</v>
      </c>
      <c r="Q238" s="65">
        <v>20748.419999999998</v>
      </c>
      <c r="R238" s="224">
        <v>11</v>
      </c>
      <c r="S238" s="50">
        <f t="shared" si="16"/>
        <v>20748.419999999998</v>
      </c>
      <c r="T238" s="65">
        <v>20748.419999999998</v>
      </c>
      <c r="U238" s="225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252</v>
      </c>
      <c r="G239" s="227" t="s">
        <v>28</v>
      </c>
      <c r="H239" s="292">
        <v>6</v>
      </c>
      <c r="I239" s="208">
        <v>1</v>
      </c>
      <c r="J239" s="208">
        <v>1</v>
      </c>
      <c r="K239" s="209">
        <v>3073.6</v>
      </c>
      <c r="L239" s="210"/>
      <c r="M239" s="211">
        <f t="shared" si="15"/>
        <v>0</v>
      </c>
      <c r="N239" s="211"/>
      <c r="O239" s="212"/>
      <c r="P239" s="262">
        <v>3</v>
      </c>
      <c r="Q239" s="209">
        <v>7185.1</v>
      </c>
      <c r="R239" s="290">
        <v>1</v>
      </c>
      <c r="S239" s="211">
        <f t="shared" si="16"/>
        <v>4034.1</v>
      </c>
      <c r="T239" s="211">
        <f>4034.1</f>
        <v>4034.1</v>
      </c>
      <c r="U239" s="21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425</v>
      </c>
      <c r="C240" s="374" t="s">
        <v>22</v>
      </c>
      <c r="D240" s="374"/>
      <c r="E240" s="374" t="s">
        <v>131</v>
      </c>
      <c r="F240" s="204" t="s">
        <v>426</v>
      </c>
      <c r="G240" s="176" t="s">
        <v>24</v>
      </c>
      <c r="H240" s="61">
        <v>2</v>
      </c>
      <c r="I240" s="62">
        <v>1</v>
      </c>
      <c r="J240" s="62">
        <v>1</v>
      </c>
      <c r="K240" s="30">
        <v>2161.6999999999998</v>
      </c>
      <c r="L240" s="205">
        <v>1</v>
      </c>
      <c r="M240" s="26">
        <f t="shared" si="15"/>
        <v>2161.6999999999998</v>
      </c>
      <c r="N240" s="30">
        <v>2161.6999999999998</v>
      </c>
      <c r="O240" s="28"/>
      <c r="P240" s="275"/>
      <c r="Q240" s="26"/>
      <c r="R240" s="27"/>
      <c r="S240" s="26">
        <f t="shared" si="16"/>
        <v>0</v>
      </c>
      <c r="T240" s="26"/>
      <c r="U240" s="28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229" t="s">
        <v>25</v>
      </c>
      <c r="H241" s="106"/>
      <c r="I241" s="38"/>
      <c r="J241" s="38"/>
      <c r="K241" s="39"/>
      <c r="L241" s="40"/>
      <c r="M241" s="39">
        <f t="shared" si="15"/>
        <v>0</v>
      </c>
      <c r="N241" s="39"/>
      <c r="O241" s="41"/>
      <c r="P241" s="276"/>
      <c r="Q241" s="39"/>
      <c r="R241" s="40"/>
      <c r="S241" s="39">
        <f t="shared" si="16"/>
        <v>0</v>
      </c>
      <c r="T241" s="39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6"/>
      <c r="B242" s="377" t="s">
        <v>184</v>
      </c>
      <c r="C242" s="377" t="s">
        <v>22</v>
      </c>
      <c r="D242" s="377"/>
      <c r="E242" s="377" t="s">
        <v>27</v>
      </c>
      <c r="F242" s="223" t="s">
        <v>453</v>
      </c>
      <c r="G242" s="95" t="s">
        <v>24</v>
      </c>
      <c r="H242" s="265">
        <v>1</v>
      </c>
      <c r="I242" s="266">
        <v>1</v>
      </c>
      <c r="J242" s="266">
        <v>1</v>
      </c>
      <c r="K242" s="79">
        <v>950.9</v>
      </c>
      <c r="L242" s="268">
        <v>1</v>
      </c>
      <c r="M242" s="81">
        <f t="shared" si="15"/>
        <v>950.9</v>
      </c>
      <c r="N242" s="79">
        <v>950.9</v>
      </c>
      <c r="O242" s="219"/>
      <c r="P242" s="277"/>
      <c r="Q242" s="81"/>
      <c r="R242" s="80"/>
      <c r="S242" s="81">
        <f t="shared" si="16"/>
        <v>0</v>
      </c>
      <c r="T242" s="81"/>
      <c r="U242" s="219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253</v>
      </c>
      <c r="G243" s="227" t="s">
        <v>28</v>
      </c>
      <c r="H243" s="153">
        <v>4</v>
      </c>
      <c r="I243" s="130">
        <v>2</v>
      </c>
      <c r="J243" s="130">
        <v>2</v>
      </c>
      <c r="K243" s="114">
        <v>4701.96</v>
      </c>
      <c r="L243" s="270">
        <v>2</v>
      </c>
      <c r="M243" s="43">
        <f t="shared" si="15"/>
        <v>5301.96</v>
      </c>
      <c r="N243" s="43">
        <f>1921+3380.96</f>
        <v>5301.96</v>
      </c>
      <c r="O243" s="41"/>
      <c r="P243" s="113">
        <v>5</v>
      </c>
      <c r="Q243" s="114">
        <v>10565.5</v>
      </c>
      <c r="R243" s="270">
        <v>3</v>
      </c>
      <c r="S243" s="43">
        <f t="shared" si="16"/>
        <v>7684</v>
      </c>
      <c r="T243" s="114">
        <f>2958.34+3457.8+1267.86</f>
        <v>7684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185</v>
      </c>
      <c r="C244" s="374" t="s">
        <v>22</v>
      </c>
      <c r="D244" s="374"/>
      <c r="E244" s="374" t="s">
        <v>27</v>
      </c>
      <c r="F244" s="204" t="s">
        <v>341</v>
      </c>
      <c r="G244" s="176" t="s">
        <v>24</v>
      </c>
      <c r="H244" s="98"/>
      <c r="I244" s="25"/>
      <c r="J244" s="25"/>
      <c r="K244" s="26"/>
      <c r="L244" s="27"/>
      <c r="M244" s="26">
        <f t="shared" si="15"/>
        <v>0</v>
      </c>
      <c r="N244" s="26"/>
      <c r="O244" s="31"/>
      <c r="P244" s="53">
        <v>2</v>
      </c>
      <c r="Q244" s="30">
        <v>2633.4</v>
      </c>
      <c r="R244" s="205">
        <v>2</v>
      </c>
      <c r="S244" s="26">
        <f t="shared" si="16"/>
        <v>2633.4</v>
      </c>
      <c r="T244" s="30">
        <v>2633.4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342</v>
      </c>
      <c r="G245" s="229" t="s">
        <v>28</v>
      </c>
      <c r="H245" s="133">
        <v>3</v>
      </c>
      <c r="I245" s="57"/>
      <c r="J245" s="57"/>
      <c r="K245" s="43"/>
      <c r="L245" s="44"/>
      <c r="M245" s="43">
        <f t="shared" si="15"/>
        <v>0</v>
      </c>
      <c r="N245" s="43"/>
      <c r="O245" s="41"/>
      <c r="P245" s="113">
        <v>1</v>
      </c>
      <c r="Q245" s="114">
        <v>2994.47</v>
      </c>
      <c r="R245" s="270">
        <v>1</v>
      </c>
      <c r="S245" s="43">
        <f t="shared" si="16"/>
        <v>2994.47</v>
      </c>
      <c r="T245" s="43">
        <f>2994.47</f>
        <v>2994.47</v>
      </c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186</v>
      </c>
      <c r="C246" s="374" t="s">
        <v>22</v>
      </c>
      <c r="D246" s="374"/>
      <c r="E246" s="374" t="s">
        <v>99</v>
      </c>
      <c r="F246" s="232" t="s">
        <v>315</v>
      </c>
      <c r="G246" s="23" t="s">
        <v>24</v>
      </c>
      <c r="H246" s="48">
        <v>7</v>
      </c>
      <c r="I246" s="62">
        <v>4</v>
      </c>
      <c r="J246" s="62">
        <v>6</v>
      </c>
      <c r="K246" s="30">
        <v>15409.25</v>
      </c>
      <c r="L246" s="205">
        <v>5</v>
      </c>
      <c r="M246" s="26">
        <f t="shared" si="15"/>
        <v>12320.28</v>
      </c>
      <c r="N246" s="30">
        <v>12320.28</v>
      </c>
      <c r="O246" s="31"/>
      <c r="P246" s="53">
        <v>12</v>
      </c>
      <c r="Q246" s="30">
        <v>25258.31</v>
      </c>
      <c r="R246" s="205">
        <v>12</v>
      </c>
      <c r="S246" s="26">
        <f t="shared" si="16"/>
        <v>25258.31</v>
      </c>
      <c r="T246" s="30">
        <v>25258.31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254</v>
      </c>
      <c r="G247" s="35" t="s">
        <v>28</v>
      </c>
      <c r="H247" s="153">
        <v>8</v>
      </c>
      <c r="I247" s="38"/>
      <c r="J247" s="38"/>
      <c r="K247" s="39"/>
      <c r="L247" s="40"/>
      <c r="M247" s="39">
        <f t="shared" si="15"/>
        <v>0</v>
      </c>
      <c r="N247" s="39"/>
      <c r="O247" s="41"/>
      <c r="P247" s="59"/>
      <c r="Q247" s="39"/>
      <c r="R247" s="40"/>
      <c r="S247" s="39">
        <f t="shared" si="16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187</v>
      </c>
      <c r="C248" s="381" t="s">
        <v>22</v>
      </c>
      <c r="D248" s="381"/>
      <c r="E248" s="381" t="s">
        <v>131</v>
      </c>
      <c r="F248" s="223" t="s">
        <v>343</v>
      </c>
      <c r="G248" s="23" t="s">
        <v>24</v>
      </c>
      <c r="H248" s="48">
        <v>13</v>
      </c>
      <c r="I248" s="203">
        <v>11</v>
      </c>
      <c r="J248" s="203">
        <v>16</v>
      </c>
      <c r="K248" s="65">
        <v>32555.18</v>
      </c>
      <c r="L248" s="224">
        <v>13</v>
      </c>
      <c r="M248" s="50">
        <f t="shared" si="15"/>
        <v>25793.23</v>
      </c>
      <c r="N248" s="65">
        <v>25793.23</v>
      </c>
      <c r="O248" s="225"/>
      <c r="P248" s="108">
        <v>18</v>
      </c>
      <c r="Q248" s="65">
        <v>50634.13</v>
      </c>
      <c r="R248" s="224">
        <v>18</v>
      </c>
      <c r="S248" s="50">
        <f t="shared" si="16"/>
        <v>50634.13</v>
      </c>
      <c r="T248" s="65">
        <v>50634.13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9"/>
      <c r="B249" s="380"/>
      <c r="C249" s="380"/>
      <c r="D249" s="380"/>
      <c r="E249" s="380"/>
      <c r="F249" s="247"/>
      <c r="G249" s="227" t="s">
        <v>25</v>
      </c>
      <c r="H249" s="153">
        <v>1</v>
      </c>
      <c r="I249" s="130">
        <v>1</v>
      </c>
      <c r="J249" s="130">
        <v>1</v>
      </c>
      <c r="K249" s="114">
        <v>1728.9</v>
      </c>
      <c r="L249" s="44"/>
      <c r="M249" s="43">
        <f t="shared" si="15"/>
        <v>0</v>
      </c>
      <c r="N249" s="43"/>
      <c r="O249" s="41"/>
      <c r="P249" s="113">
        <v>3</v>
      </c>
      <c r="Q249" s="114">
        <v>23282.52</v>
      </c>
      <c r="R249" s="270">
        <v>3</v>
      </c>
      <c r="S249" s="114">
        <v>23282.52</v>
      </c>
      <c r="T249" s="114">
        <v>23282.52</v>
      </c>
      <c r="U249" s="23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429</v>
      </c>
      <c r="C250" s="374" t="s">
        <v>22</v>
      </c>
      <c r="D250" s="374"/>
      <c r="E250" s="374" t="s">
        <v>27</v>
      </c>
      <c r="F250" s="204" t="s">
        <v>446</v>
      </c>
      <c r="G250" s="176" t="s">
        <v>24</v>
      </c>
      <c r="H250" s="151"/>
      <c r="I250" s="25"/>
      <c r="J250" s="25"/>
      <c r="K250" s="26"/>
      <c r="L250" s="27"/>
      <c r="M250" s="26">
        <f t="shared" si="15"/>
        <v>0</v>
      </c>
      <c r="N250" s="30"/>
      <c r="O250" s="31"/>
      <c r="P250" s="53">
        <v>1</v>
      </c>
      <c r="Q250" s="30">
        <v>36784.050000000003</v>
      </c>
      <c r="R250" s="205">
        <v>1</v>
      </c>
      <c r="S250" s="26">
        <f t="shared" ref="S250:S276" si="17">T250+U250</f>
        <v>36784.050000000003</v>
      </c>
      <c r="T250" s="30">
        <v>36784.050000000003</v>
      </c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/>
      <c r="G251" s="229" t="s">
        <v>28</v>
      </c>
      <c r="H251" s="56"/>
      <c r="I251" s="57"/>
      <c r="J251" s="57"/>
      <c r="K251" s="43"/>
      <c r="L251" s="44"/>
      <c r="M251" s="43">
        <f t="shared" si="15"/>
        <v>0</v>
      </c>
      <c r="N251" s="43"/>
      <c r="O251" s="45"/>
      <c r="P251" s="113"/>
      <c r="Q251" s="114"/>
      <c r="R251" s="44"/>
      <c r="S251" s="43">
        <f t="shared" si="17"/>
        <v>0</v>
      </c>
      <c r="T251" s="114"/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188</v>
      </c>
      <c r="C252" s="374" t="s">
        <v>39</v>
      </c>
      <c r="D252" s="374"/>
      <c r="E252" s="374" t="s">
        <v>27</v>
      </c>
      <c r="F252" s="22"/>
      <c r="G252" s="176" t="s">
        <v>24</v>
      </c>
      <c r="H252" s="151">
        <v>2</v>
      </c>
      <c r="I252" s="25"/>
      <c r="J252" s="25"/>
      <c r="K252" s="26"/>
      <c r="L252" s="27"/>
      <c r="M252" s="26">
        <f t="shared" si="15"/>
        <v>0</v>
      </c>
      <c r="N252" s="26"/>
      <c r="O252" s="31"/>
      <c r="P252" s="53">
        <v>1</v>
      </c>
      <c r="Q252" s="30">
        <v>2000</v>
      </c>
      <c r="R252" s="27"/>
      <c r="S252" s="26">
        <f t="shared" si="17"/>
        <v>0</v>
      </c>
      <c r="T252" s="26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20.25" customHeight="1">
      <c r="A253" s="373"/>
      <c r="B253" s="375"/>
      <c r="C253" s="375"/>
      <c r="D253" s="375"/>
      <c r="E253" s="375"/>
      <c r="F253" s="220" t="s">
        <v>344</v>
      </c>
      <c r="G253" s="229" t="s">
        <v>28</v>
      </c>
      <c r="H253" s="56">
        <v>3</v>
      </c>
      <c r="I253" s="130">
        <v>1</v>
      </c>
      <c r="J253" s="130">
        <v>1</v>
      </c>
      <c r="K253" s="114">
        <v>1052.5999999999999</v>
      </c>
      <c r="L253" s="44"/>
      <c r="M253" s="43">
        <f t="shared" si="15"/>
        <v>0</v>
      </c>
      <c r="N253" s="43"/>
      <c r="O253" s="222">
        <v>0</v>
      </c>
      <c r="P253" s="113">
        <v>13</v>
      </c>
      <c r="Q253" s="114">
        <v>15160.1</v>
      </c>
      <c r="R253" s="44"/>
      <c r="S253" s="43">
        <f t="shared" si="17"/>
        <v>4050.2</v>
      </c>
      <c r="T253" s="114">
        <v>4050.2</v>
      </c>
      <c r="U253" s="222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189</v>
      </c>
      <c r="C254" s="374" t="s">
        <v>39</v>
      </c>
      <c r="D254" s="374" t="s">
        <v>427</v>
      </c>
      <c r="E254" s="374" t="s">
        <v>27</v>
      </c>
      <c r="F254" s="232" t="s">
        <v>428</v>
      </c>
      <c r="G254" s="23" t="s">
        <v>24</v>
      </c>
      <c r="H254" s="24">
        <v>15</v>
      </c>
      <c r="I254" s="62">
        <v>12</v>
      </c>
      <c r="J254" s="62">
        <v>16</v>
      </c>
      <c r="K254" s="30">
        <v>30360.41</v>
      </c>
      <c r="L254" s="205">
        <v>15</v>
      </c>
      <c r="M254" s="26">
        <f t="shared" si="15"/>
        <v>28760.58</v>
      </c>
      <c r="N254" s="30">
        <v>28760.58</v>
      </c>
      <c r="O254" s="241"/>
      <c r="P254" s="29">
        <v>2</v>
      </c>
      <c r="Q254" s="30">
        <v>1870.81</v>
      </c>
      <c r="R254" s="205">
        <v>2</v>
      </c>
      <c r="S254" s="26">
        <f t="shared" si="17"/>
        <v>1870.81</v>
      </c>
      <c r="T254" s="30">
        <v>1870.81</v>
      </c>
      <c r="U254" s="2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256</v>
      </c>
      <c r="G255" s="35" t="s">
        <v>28</v>
      </c>
      <c r="H255" s="66">
        <v>4</v>
      </c>
      <c r="I255" s="37">
        <v>1</v>
      </c>
      <c r="J255" s="37">
        <v>1</v>
      </c>
      <c r="K255" s="68">
        <v>1921</v>
      </c>
      <c r="L255" s="40"/>
      <c r="M255" s="39">
        <f t="shared" si="15"/>
        <v>0</v>
      </c>
      <c r="N255" s="39"/>
      <c r="O255" s="41"/>
      <c r="P255" s="69"/>
      <c r="Q255" s="39"/>
      <c r="R255" s="40"/>
      <c r="S255" s="39">
        <f t="shared" si="17"/>
        <v>0</v>
      </c>
      <c r="T255" s="39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190</v>
      </c>
      <c r="C256" s="381" t="s">
        <v>39</v>
      </c>
      <c r="D256" s="381" t="s">
        <v>191</v>
      </c>
      <c r="E256" s="381" t="s">
        <v>27</v>
      </c>
      <c r="F256" s="46"/>
      <c r="G256" s="47" t="s">
        <v>24</v>
      </c>
      <c r="H256" s="98"/>
      <c r="I256" s="49"/>
      <c r="J256" s="49"/>
      <c r="K256" s="50"/>
      <c r="L256" s="51"/>
      <c r="M256" s="50">
        <f t="shared" si="15"/>
        <v>0</v>
      </c>
      <c r="N256" s="50"/>
      <c r="O256" s="31"/>
      <c r="P256" s="123"/>
      <c r="Q256" s="50"/>
      <c r="R256" s="51"/>
      <c r="S256" s="50">
        <f t="shared" si="17"/>
        <v>0</v>
      </c>
      <c r="T256" s="50"/>
      <c r="U256" s="3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345</v>
      </c>
      <c r="G257" s="35" t="s">
        <v>28</v>
      </c>
      <c r="H257" s="112">
        <v>2</v>
      </c>
      <c r="I257" s="57"/>
      <c r="J257" s="57"/>
      <c r="K257" s="43"/>
      <c r="L257" s="44"/>
      <c r="M257" s="43">
        <f t="shared" si="15"/>
        <v>0</v>
      </c>
      <c r="N257" s="43"/>
      <c r="O257" s="45"/>
      <c r="P257" s="115">
        <v>4</v>
      </c>
      <c r="Q257" s="68">
        <v>5106.7</v>
      </c>
      <c r="R257" s="285">
        <v>5</v>
      </c>
      <c r="S257" s="39">
        <f t="shared" si="17"/>
        <v>6739.58</v>
      </c>
      <c r="T257" s="68">
        <f>3818+2921.58</f>
        <v>6739.58</v>
      </c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192</v>
      </c>
      <c r="C258" s="374" t="s">
        <v>22</v>
      </c>
      <c r="D258" s="374"/>
      <c r="E258" s="374" t="s">
        <v>193</v>
      </c>
      <c r="F258" s="204" t="s">
        <v>318</v>
      </c>
      <c r="G258" s="176" t="s">
        <v>24</v>
      </c>
      <c r="H258" s="61">
        <v>10</v>
      </c>
      <c r="I258" s="62">
        <v>8</v>
      </c>
      <c r="J258" s="62">
        <v>9</v>
      </c>
      <c r="K258" s="30">
        <v>9532.68</v>
      </c>
      <c r="L258" s="205">
        <v>9</v>
      </c>
      <c r="M258" s="26">
        <f t="shared" si="15"/>
        <v>9532.68</v>
      </c>
      <c r="N258" s="30">
        <v>9532.68</v>
      </c>
      <c r="O258" s="100"/>
      <c r="P258" s="64">
        <v>20</v>
      </c>
      <c r="Q258" s="65">
        <v>52299.07</v>
      </c>
      <c r="R258" s="224">
        <v>19</v>
      </c>
      <c r="S258" s="50">
        <f t="shared" si="17"/>
        <v>49928.89</v>
      </c>
      <c r="T258" s="65">
        <v>49928.89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346</v>
      </c>
      <c r="G259" s="229" t="s">
        <v>28</v>
      </c>
      <c r="H259" s="133">
        <v>1</v>
      </c>
      <c r="I259" s="37">
        <v>1</v>
      </c>
      <c r="J259" s="37">
        <v>1</v>
      </c>
      <c r="K259" s="68">
        <v>1728.9</v>
      </c>
      <c r="L259" s="285">
        <v>1</v>
      </c>
      <c r="M259" s="39">
        <f t="shared" si="15"/>
        <v>1728.9</v>
      </c>
      <c r="N259" s="39">
        <f>1728.9</f>
        <v>1728.9</v>
      </c>
      <c r="O259" s="41"/>
      <c r="P259" s="42"/>
      <c r="Q259" s="43"/>
      <c r="R259" s="44"/>
      <c r="S259" s="43">
        <f t="shared" si="17"/>
        <v>0</v>
      </c>
      <c r="T259" s="43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194</v>
      </c>
      <c r="C260" s="377" t="s">
        <v>39</v>
      </c>
      <c r="D260" s="377" t="s">
        <v>319</v>
      </c>
      <c r="E260" s="374" t="s">
        <v>160</v>
      </c>
      <c r="F260" s="232" t="s">
        <v>320</v>
      </c>
      <c r="G260" s="23" t="s">
        <v>24</v>
      </c>
      <c r="H260" s="48">
        <v>5</v>
      </c>
      <c r="I260" s="203">
        <v>4</v>
      </c>
      <c r="J260" s="203">
        <v>4</v>
      </c>
      <c r="K260" s="65">
        <v>2968.33</v>
      </c>
      <c r="L260" s="316">
        <v>4</v>
      </c>
      <c r="M260" s="129">
        <f t="shared" si="15"/>
        <v>2968.33</v>
      </c>
      <c r="N260" s="65">
        <v>2968.33</v>
      </c>
      <c r="O260" s="225"/>
      <c r="P260" s="29">
        <v>3</v>
      </c>
      <c r="Q260" s="30">
        <v>6107.21</v>
      </c>
      <c r="R260" s="205">
        <v>3</v>
      </c>
      <c r="S260" s="26">
        <f t="shared" si="17"/>
        <v>6107.21</v>
      </c>
      <c r="T260" s="30">
        <v>6107.21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347</v>
      </c>
      <c r="G261" s="35" t="s">
        <v>28</v>
      </c>
      <c r="H261" s="117">
        <v>2</v>
      </c>
      <c r="I261" s="37"/>
      <c r="J261" s="37"/>
      <c r="K261" s="39"/>
      <c r="L261" s="44"/>
      <c r="M261" s="43">
        <f t="shared" si="15"/>
        <v>0</v>
      </c>
      <c r="N261" s="39"/>
      <c r="O261" s="41"/>
      <c r="P261" s="37">
        <v>6</v>
      </c>
      <c r="Q261" s="37">
        <v>16253.33</v>
      </c>
      <c r="R261" s="285">
        <v>4</v>
      </c>
      <c r="S261" s="39">
        <f t="shared" si="17"/>
        <v>8529.17</v>
      </c>
      <c r="T261" s="68">
        <f>576.3+4045.34+3273.6+633.93</f>
        <v>8529.17</v>
      </c>
      <c r="U261" s="2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195</v>
      </c>
      <c r="C262" s="377" t="s">
        <v>39</v>
      </c>
      <c r="D262" s="377" t="s">
        <v>231</v>
      </c>
      <c r="E262" s="381" t="s">
        <v>27</v>
      </c>
      <c r="F262" s="204" t="s">
        <v>232</v>
      </c>
      <c r="G262" s="47" t="s">
        <v>24</v>
      </c>
      <c r="H262" s="61">
        <v>2</v>
      </c>
      <c r="I262" s="25"/>
      <c r="J262" s="25"/>
      <c r="K262" s="26"/>
      <c r="L262" s="205"/>
      <c r="M262" s="26">
        <f t="shared" si="15"/>
        <v>0</v>
      </c>
      <c r="N262" s="26"/>
      <c r="O262" s="31"/>
      <c r="P262" s="64">
        <v>7</v>
      </c>
      <c r="Q262" s="65">
        <v>46859.35</v>
      </c>
      <c r="R262" s="224">
        <v>7</v>
      </c>
      <c r="S262" s="50">
        <f t="shared" si="17"/>
        <v>46859.35</v>
      </c>
      <c r="T262" s="65">
        <v>46859.35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1" t="s">
        <v>260</v>
      </c>
      <c r="G263" s="55" t="s">
        <v>28</v>
      </c>
      <c r="H263" s="178">
        <v>5</v>
      </c>
      <c r="I263" s="130">
        <v>2</v>
      </c>
      <c r="J263" s="130">
        <v>2</v>
      </c>
      <c r="K263" s="114">
        <v>1997.84</v>
      </c>
      <c r="L263" s="270">
        <v>2</v>
      </c>
      <c r="M263" s="43">
        <f t="shared" si="15"/>
        <v>1997.84</v>
      </c>
      <c r="N263" s="43">
        <f>1152.6+845.24</f>
        <v>1997.84</v>
      </c>
      <c r="O263" s="222"/>
      <c r="P263" s="130">
        <v>7</v>
      </c>
      <c r="Q263" s="130">
        <v>24706.45</v>
      </c>
      <c r="R263" s="270">
        <v>10</v>
      </c>
      <c r="S263" s="43">
        <f t="shared" si="17"/>
        <v>34770.1</v>
      </c>
      <c r="T263" s="114">
        <f>4994.6+12678.6+576.3+6915.6+6915.6+576.3+2113.1</f>
        <v>34770.1</v>
      </c>
      <c r="U263" s="222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196</v>
      </c>
      <c r="C264" s="381" t="s">
        <v>22</v>
      </c>
      <c r="D264" s="374"/>
      <c r="E264" s="381" t="s">
        <v>27</v>
      </c>
      <c r="F264" s="22"/>
      <c r="G264" s="23" t="s">
        <v>24</v>
      </c>
      <c r="H264" s="119"/>
      <c r="I264" s="25"/>
      <c r="J264" s="25"/>
      <c r="K264" s="26"/>
      <c r="L264" s="27"/>
      <c r="M264" s="26">
        <f t="shared" si="15"/>
        <v>0</v>
      </c>
      <c r="N264" s="26"/>
      <c r="O264" s="28"/>
      <c r="P264" s="120"/>
      <c r="Q264" s="26"/>
      <c r="R264" s="27"/>
      <c r="S264" s="26">
        <f t="shared" si="17"/>
        <v>0</v>
      </c>
      <c r="T264" s="26"/>
      <c r="U264" s="28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348</v>
      </c>
      <c r="G265" s="35" t="s">
        <v>28</v>
      </c>
      <c r="H265" s="66">
        <v>5</v>
      </c>
      <c r="I265" s="38"/>
      <c r="J265" s="38"/>
      <c r="K265" s="39"/>
      <c r="L265" s="40"/>
      <c r="M265" s="39">
        <f t="shared" si="15"/>
        <v>0</v>
      </c>
      <c r="N265" s="39"/>
      <c r="O265" s="41"/>
      <c r="P265" s="67">
        <v>4</v>
      </c>
      <c r="Q265" s="68">
        <v>11282.42</v>
      </c>
      <c r="R265" s="285">
        <v>3</v>
      </c>
      <c r="S265" s="39">
        <f t="shared" si="17"/>
        <v>9655</v>
      </c>
      <c r="T265" s="39">
        <f>2547.3+4226.2+2881.5</f>
        <v>9655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197</v>
      </c>
      <c r="C266" s="381" t="s">
        <v>39</v>
      </c>
      <c r="D266" s="381" t="s">
        <v>381</v>
      </c>
      <c r="E266" s="381" t="s">
        <v>27</v>
      </c>
      <c r="F266" s="204" t="s">
        <v>382</v>
      </c>
      <c r="G266" s="47" t="s">
        <v>24</v>
      </c>
      <c r="H266" s="98"/>
      <c r="I266" s="49"/>
      <c r="J266" s="49"/>
      <c r="K266" s="50"/>
      <c r="L266" s="51"/>
      <c r="M266" s="50">
        <f t="shared" si="15"/>
        <v>0</v>
      </c>
      <c r="N266" s="50"/>
      <c r="O266" s="31"/>
      <c r="P266" s="108">
        <v>1</v>
      </c>
      <c r="Q266" s="65">
        <v>748.24</v>
      </c>
      <c r="R266" s="224">
        <v>1</v>
      </c>
      <c r="S266" s="50">
        <f t="shared" si="17"/>
        <v>748.24</v>
      </c>
      <c r="T266" s="65">
        <v>748.24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221" t="s">
        <v>349</v>
      </c>
      <c r="G267" s="55" t="s">
        <v>28</v>
      </c>
      <c r="H267" s="153">
        <v>4</v>
      </c>
      <c r="I267" s="130">
        <v>2</v>
      </c>
      <c r="J267" s="130">
        <v>2</v>
      </c>
      <c r="K267" s="114">
        <v>3265.7</v>
      </c>
      <c r="L267" s="270">
        <v>2</v>
      </c>
      <c r="M267" s="43">
        <f t="shared" si="15"/>
        <v>2977.55</v>
      </c>
      <c r="N267" s="43">
        <f>1056.55+1921</f>
        <v>2977.55</v>
      </c>
      <c r="O267" s="41"/>
      <c r="P267" s="103"/>
      <c r="Q267" s="43"/>
      <c r="R267" s="270">
        <v>2</v>
      </c>
      <c r="S267" s="43">
        <f t="shared" si="17"/>
        <v>3765.16</v>
      </c>
      <c r="T267" s="114">
        <f>1440.75+2324.41</f>
        <v>3765.16</v>
      </c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198</v>
      </c>
      <c r="C268" s="374" t="s">
        <v>22</v>
      </c>
      <c r="D268" s="374"/>
      <c r="E268" s="374" t="s">
        <v>112</v>
      </c>
      <c r="F268" s="204" t="s">
        <v>383</v>
      </c>
      <c r="G268" s="23" t="s">
        <v>24</v>
      </c>
      <c r="H268" s="48">
        <v>9</v>
      </c>
      <c r="I268" s="62">
        <v>5</v>
      </c>
      <c r="J268" s="62">
        <v>5</v>
      </c>
      <c r="K268" s="30">
        <v>5867.69</v>
      </c>
      <c r="L268" s="205">
        <v>4</v>
      </c>
      <c r="M268" s="26">
        <f t="shared" si="15"/>
        <v>2486.73</v>
      </c>
      <c r="N268" s="30">
        <v>2486.73</v>
      </c>
      <c r="O268" s="31"/>
      <c r="P268" s="53">
        <v>12</v>
      </c>
      <c r="Q268" s="30">
        <v>46848.4</v>
      </c>
      <c r="R268" s="205">
        <v>11</v>
      </c>
      <c r="S268" s="26">
        <f t="shared" si="17"/>
        <v>44151.34</v>
      </c>
      <c r="T268" s="30">
        <v>44151.34</v>
      </c>
      <c r="U268" s="225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350</v>
      </c>
      <c r="G269" s="35" t="s">
        <v>28</v>
      </c>
      <c r="H269" s="153">
        <v>1</v>
      </c>
      <c r="I269" s="38"/>
      <c r="J269" s="38"/>
      <c r="K269" s="39"/>
      <c r="L269" s="40"/>
      <c r="M269" s="39">
        <f t="shared" si="15"/>
        <v>0</v>
      </c>
      <c r="N269" s="39"/>
      <c r="O269" s="41"/>
      <c r="P269" s="59"/>
      <c r="Q269" s="39"/>
      <c r="R269" s="40"/>
      <c r="S269" s="39">
        <f t="shared" si="17"/>
        <v>0</v>
      </c>
      <c r="T269" s="39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199</v>
      </c>
      <c r="C270" s="381" t="s">
        <v>22</v>
      </c>
      <c r="D270" s="381"/>
      <c r="E270" s="381" t="s">
        <v>131</v>
      </c>
      <c r="F270" s="46"/>
      <c r="G270" s="23" t="s">
        <v>24</v>
      </c>
      <c r="H270" s="98"/>
      <c r="I270" s="49"/>
      <c r="J270" s="49"/>
      <c r="K270" s="50"/>
      <c r="L270" s="51"/>
      <c r="M270" s="50">
        <f t="shared" si="15"/>
        <v>0</v>
      </c>
      <c r="N270" s="50"/>
      <c r="O270" s="31"/>
      <c r="P270" s="123"/>
      <c r="Q270" s="50"/>
      <c r="R270" s="51"/>
      <c r="S270" s="50">
        <f t="shared" si="17"/>
        <v>0</v>
      </c>
      <c r="T270" s="50"/>
      <c r="U270" s="3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126"/>
      <c r="G271" s="55" t="s">
        <v>25</v>
      </c>
      <c r="H271" s="118"/>
      <c r="I271" s="57"/>
      <c r="J271" s="57"/>
      <c r="K271" s="43"/>
      <c r="L271" s="44"/>
      <c r="M271" s="43">
        <f t="shared" si="15"/>
        <v>0</v>
      </c>
      <c r="N271" s="43"/>
      <c r="O271" s="41"/>
      <c r="P271" s="103"/>
      <c r="Q271" s="43"/>
      <c r="R271" s="44"/>
      <c r="S271" s="43">
        <f t="shared" si="17"/>
        <v>0</v>
      </c>
      <c r="T271" s="43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200</v>
      </c>
      <c r="C272" s="374" t="s">
        <v>22</v>
      </c>
      <c r="D272" s="374"/>
      <c r="E272" s="374" t="s">
        <v>27</v>
      </c>
      <c r="F272" s="204" t="s">
        <v>384</v>
      </c>
      <c r="G272" s="23" t="s">
        <v>24</v>
      </c>
      <c r="H272" s="61">
        <v>3</v>
      </c>
      <c r="I272" s="62">
        <v>3</v>
      </c>
      <c r="J272" s="62">
        <v>4</v>
      </c>
      <c r="K272" s="30">
        <v>6297.38</v>
      </c>
      <c r="L272" s="205">
        <v>3</v>
      </c>
      <c r="M272" s="26">
        <f t="shared" si="15"/>
        <v>5695.28</v>
      </c>
      <c r="N272" s="30">
        <v>5695.28</v>
      </c>
      <c r="O272" s="31"/>
      <c r="P272" s="29">
        <v>6</v>
      </c>
      <c r="Q272" s="30">
        <v>21652.240000000002</v>
      </c>
      <c r="R272" s="205">
        <v>5</v>
      </c>
      <c r="S272" s="26">
        <f t="shared" si="17"/>
        <v>20287.48</v>
      </c>
      <c r="T272" s="30">
        <v>20287.48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33" t="s">
        <v>351</v>
      </c>
      <c r="G273" s="227" t="s">
        <v>28</v>
      </c>
      <c r="H273" s="207">
        <v>2</v>
      </c>
      <c r="I273" s="208">
        <v>1</v>
      </c>
      <c r="J273" s="208">
        <v>1</v>
      </c>
      <c r="K273" s="209">
        <v>1056.55</v>
      </c>
      <c r="L273" s="210"/>
      <c r="M273" s="211">
        <f t="shared" si="15"/>
        <v>0</v>
      </c>
      <c r="N273" s="211"/>
      <c r="O273" s="212"/>
      <c r="P273" s="284"/>
      <c r="Q273" s="211"/>
      <c r="R273" s="290">
        <v>1</v>
      </c>
      <c r="S273" s="211">
        <f t="shared" si="17"/>
        <v>1921</v>
      </c>
      <c r="T273" s="209">
        <v>1921</v>
      </c>
      <c r="U273" s="212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2"/>
      <c r="B274" s="374" t="s">
        <v>430</v>
      </c>
      <c r="C274" s="374" t="s">
        <v>39</v>
      </c>
      <c r="D274" s="374" t="s">
        <v>439</v>
      </c>
      <c r="E274" s="374" t="s">
        <v>27</v>
      </c>
      <c r="F274" s="204" t="s">
        <v>440</v>
      </c>
      <c r="G274" s="213" t="s">
        <v>24</v>
      </c>
      <c r="H274" s="61"/>
      <c r="I274" s="62"/>
      <c r="J274" s="62"/>
      <c r="K274" s="30"/>
      <c r="L274" s="27"/>
      <c r="M274" s="26">
        <f t="shared" si="15"/>
        <v>0</v>
      </c>
      <c r="N274" s="26"/>
      <c r="O274" s="241"/>
      <c r="P274" s="214"/>
      <c r="Q274" s="30"/>
      <c r="R274" s="205"/>
      <c r="S274" s="26">
        <f t="shared" si="17"/>
        <v>0</v>
      </c>
      <c r="T274" s="30"/>
      <c r="U274" s="28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0"/>
      <c r="G275" s="215" t="s">
        <v>28</v>
      </c>
      <c r="H275" s="117"/>
      <c r="I275" s="37"/>
      <c r="J275" s="37"/>
      <c r="K275" s="68"/>
      <c r="L275" s="40"/>
      <c r="M275" s="39">
        <f t="shared" si="15"/>
        <v>0</v>
      </c>
      <c r="N275" s="39"/>
      <c r="O275" s="234"/>
      <c r="P275" s="217"/>
      <c r="Q275" s="68"/>
      <c r="R275" s="285"/>
      <c r="S275" s="39">
        <f t="shared" si="17"/>
        <v>0</v>
      </c>
      <c r="T275" s="68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6"/>
      <c r="B276" s="377" t="s">
        <v>201</v>
      </c>
      <c r="C276" s="377" t="s">
        <v>39</v>
      </c>
      <c r="D276" s="377" t="s">
        <v>385</v>
      </c>
      <c r="E276" s="377" t="s">
        <v>386</v>
      </c>
      <c r="F276" s="232" t="s">
        <v>387</v>
      </c>
      <c r="G276" s="95" t="s">
        <v>24</v>
      </c>
      <c r="H276" s="265">
        <v>13</v>
      </c>
      <c r="I276" s="266">
        <v>12</v>
      </c>
      <c r="J276" s="266">
        <v>19</v>
      </c>
      <c r="K276" s="79">
        <v>27305.66</v>
      </c>
      <c r="L276" s="268">
        <v>17</v>
      </c>
      <c r="M276" s="81">
        <f t="shared" si="15"/>
        <v>22989.200000000001</v>
      </c>
      <c r="N276" s="79">
        <v>22989.200000000001</v>
      </c>
      <c r="O276" s="313"/>
      <c r="P276" s="267">
        <v>2</v>
      </c>
      <c r="Q276" s="79">
        <v>4356.83</v>
      </c>
      <c r="R276" s="268">
        <v>2</v>
      </c>
      <c r="S276" s="81">
        <f t="shared" si="17"/>
        <v>4356.83</v>
      </c>
      <c r="T276" s="79">
        <v>4356.83</v>
      </c>
      <c r="U276" s="82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105"/>
      <c r="G277" s="35" t="s">
        <v>25</v>
      </c>
      <c r="H277" s="117">
        <v>1</v>
      </c>
      <c r="I277" s="38"/>
      <c r="J277" s="38"/>
      <c r="K277" s="39"/>
      <c r="L277" s="40"/>
      <c r="M277" s="39">
        <f t="shared" si="15"/>
        <v>0</v>
      </c>
      <c r="N277" s="39"/>
      <c r="O277" s="58"/>
      <c r="P277" s="115">
        <v>2</v>
      </c>
      <c r="Q277" s="68">
        <v>4418.3</v>
      </c>
      <c r="R277" s="285">
        <v>2</v>
      </c>
      <c r="S277" s="68">
        <v>4418.3</v>
      </c>
      <c r="T277" s="68">
        <v>4418.3</v>
      </c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202</v>
      </c>
      <c r="C278" s="381" t="s">
        <v>39</v>
      </c>
      <c r="D278" s="377" t="s">
        <v>441</v>
      </c>
      <c r="E278" s="381" t="s">
        <v>27</v>
      </c>
      <c r="F278" s="204" t="s">
        <v>442</v>
      </c>
      <c r="G278" s="47" t="s">
        <v>24</v>
      </c>
      <c r="H278" s="48">
        <v>2</v>
      </c>
      <c r="I278" s="203">
        <v>2</v>
      </c>
      <c r="J278" s="203">
        <v>2</v>
      </c>
      <c r="K278" s="65">
        <v>2382.04</v>
      </c>
      <c r="L278" s="224">
        <v>2</v>
      </c>
      <c r="M278" s="50">
        <f t="shared" si="15"/>
        <v>2382.04</v>
      </c>
      <c r="N278" s="65">
        <v>2382.04</v>
      </c>
      <c r="O278" s="31"/>
      <c r="P278" s="108">
        <v>2</v>
      </c>
      <c r="Q278" s="65">
        <v>4082.51</v>
      </c>
      <c r="R278" s="224">
        <v>2</v>
      </c>
      <c r="S278" s="50">
        <f t="shared" ref="S278:S282" si="18">T278+U278</f>
        <v>4082.51</v>
      </c>
      <c r="T278" s="65">
        <v>4082.51</v>
      </c>
      <c r="U278" s="225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1" t="s">
        <v>262</v>
      </c>
      <c r="G279" s="55" t="s">
        <v>28</v>
      </c>
      <c r="H279" s="112">
        <v>2</v>
      </c>
      <c r="I279" s="130">
        <v>1</v>
      </c>
      <c r="J279" s="130">
        <v>1</v>
      </c>
      <c r="K279" s="114">
        <v>1479.17</v>
      </c>
      <c r="L279" s="316">
        <v>1</v>
      </c>
      <c r="M279" s="129">
        <f t="shared" si="15"/>
        <v>1479.17</v>
      </c>
      <c r="N279" s="43">
        <f>1479.17</f>
        <v>1479.17</v>
      </c>
      <c r="O279" s="45"/>
      <c r="P279" s="113">
        <v>3</v>
      </c>
      <c r="Q279" s="114">
        <v>12486.5</v>
      </c>
      <c r="R279" s="316">
        <v>3</v>
      </c>
      <c r="S279" s="129">
        <f t="shared" si="18"/>
        <v>12102.3</v>
      </c>
      <c r="T279" s="114">
        <f>3649.9+1344.7+7107.7</f>
        <v>12102.3</v>
      </c>
      <c r="U279" s="4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2"/>
      <c r="B280" s="374" t="s">
        <v>203</v>
      </c>
      <c r="C280" s="374"/>
      <c r="D280" s="374"/>
      <c r="E280" s="374" t="s">
        <v>27</v>
      </c>
      <c r="F280" s="60"/>
      <c r="G280" s="23" t="s">
        <v>24</v>
      </c>
      <c r="H280" s="61">
        <v>2</v>
      </c>
      <c r="I280" s="25"/>
      <c r="J280" s="25"/>
      <c r="K280" s="26"/>
      <c r="L280" s="27"/>
      <c r="M280" s="26">
        <f t="shared" si="15"/>
        <v>0</v>
      </c>
      <c r="N280" s="26"/>
      <c r="O280" s="28"/>
      <c r="P280" s="120"/>
      <c r="Q280" s="26"/>
      <c r="R280" s="27"/>
      <c r="S280" s="26">
        <f t="shared" si="18"/>
        <v>0</v>
      </c>
      <c r="T280" s="26"/>
      <c r="U280" s="28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28</v>
      </c>
      <c r="H281" s="117"/>
      <c r="I281" s="38"/>
      <c r="J281" s="38"/>
      <c r="K281" s="39"/>
      <c r="L281" s="40"/>
      <c r="M281" s="39">
        <f t="shared" si="15"/>
        <v>0</v>
      </c>
      <c r="N281" s="39"/>
      <c r="O281" s="41"/>
      <c r="P281" s="69"/>
      <c r="Q281" s="39"/>
      <c r="R281" s="40"/>
      <c r="S281" s="39">
        <f t="shared" si="18"/>
        <v>0</v>
      </c>
      <c r="T281" s="39"/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204</v>
      </c>
      <c r="C282" s="381" t="s">
        <v>22</v>
      </c>
      <c r="D282" s="381"/>
      <c r="E282" s="381" t="s">
        <v>23</v>
      </c>
      <c r="F282" s="204" t="s">
        <v>431</v>
      </c>
      <c r="G282" s="47" t="s">
        <v>24</v>
      </c>
      <c r="H282" s="48">
        <v>9</v>
      </c>
      <c r="I282" s="203">
        <v>5</v>
      </c>
      <c r="J282" s="203">
        <v>6</v>
      </c>
      <c r="K282" s="65">
        <v>8254.93</v>
      </c>
      <c r="L282" s="224">
        <v>6</v>
      </c>
      <c r="M282" s="50">
        <f t="shared" si="15"/>
        <v>8254.93</v>
      </c>
      <c r="N282" s="65">
        <v>8254.93</v>
      </c>
      <c r="O282" s="225"/>
      <c r="P282" s="108">
        <v>4</v>
      </c>
      <c r="Q282" s="65">
        <v>3363.11</v>
      </c>
      <c r="R282" s="224">
        <v>4</v>
      </c>
      <c r="S282" s="50">
        <f t="shared" si="18"/>
        <v>3363.11</v>
      </c>
      <c r="T282" s="65">
        <v>3363.11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34"/>
      <c r="G283" s="35" t="s">
        <v>25</v>
      </c>
      <c r="H283" s="111"/>
      <c r="I283" s="38"/>
      <c r="J283" s="38"/>
      <c r="K283" s="39"/>
      <c r="L283" s="40"/>
      <c r="M283" s="39">
        <f t="shared" si="15"/>
        <v>0</v>
      </c>
      <c r="N283" s="39"/>
      <c r="O283" s="41"/>
      <c r="P283" s="115">
        <v>1</v>
      </c>
      <c r="Q283" s="68">
        <v>2305.1999999999998</v>
      </c>
      <c r="R283" s="285">
        <v>1</v>
      </c>
      <c r="S283" s="68">
        <v>2305.1999999999998</v>
      </c>
      <c r="T283" s="68">
        <v>2305.1999999999998</v>
      </c>
      <c r="U283" s="41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179"/>
      <c r="B284" s="180" t="s">
        <v>205</v>
      </c>
      <c r="C284" s="180"/>
      <c r="D284" s="180"/>
      <c r="E284" s="180"/>
      <c r="F284" s="180"/>
      <c r="G284" s="181"/>
      <c r="H284" s="182">
        <f t="shared" ref="H284:U284" si="19">SUM(H9:H283)</f>
        <v>1196</v>
      </c>
      <c r="I284" s="183">
        <f t="shared" si="19"/>
        <v>685</v>
      </c>
      <c r="J284" s="183">
        <f t="shared" si="19"/>
        <v>833</v>
      </c>
      <c r="K284" s="184">
        <f t="shared" si="19"/>
        <v>1445021.5799999994</v>
      </c>
      <c r="L284" s="185">
        <f t="shared" si="19"/>
        <v>717</v>
      </c>
      <c r="M284" s="184">
        <f t="shared" si="19"/>
        <v>1242250.6800000004</v>
      </c>
      <c r="N284" s="184">
        <f t="shared" si="19"/>
        <v>1242250.6800000004</v>
      </c>
      <c r="O284" s="186">
        <f t="shared" si="19"/>
        <v>0</v>
      </c>
      <c r="P284" s="187">
        <f t="shared" si="19"/>
        <v>1188</v>
      </c>
      <c r="Q284" s="188">
        <f t="shared" si="19"/>
        <v>3981217.4499999993</v>
      </c>
      <c r="R284" s="185">
        <f t="shared" si="19"/>
        <v>1087</v>
      </c>
      <c r="S284" s="188">
        <f t="shared" si="19"/>
        <v>3743540.3899999987</v>
      </c>
      <c r="T284" s="188">
        <f t="shared" si="19"/>
        <v>3743540.3899999987</v>
      </c>
      <c r="U284" s="189">
        <f t="shared" si="19"/>
        <v>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 t="s">
        <v>206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27.75" customHeight="1">
      <c r="A288" s="4"/>
      <c r="B288" s="4"/>
      <c r="C288" s="4"/>
      <c r="D288" s="4"/>
      <c r="E288" s="4"/>
      <c r="F288" s="394"/>
      <c r="G288" s="395" t="s">
        <v>5</v>
      </c>
      <c r="H288" s="396"/>
      <c r="I288" s="396"/>
      <c r="J288" s="396"/>
      <c r="K288" s="396"/>
      <c r="L288" s="396"/>
      <c r="M288" s="396"/>
      <c r="N288" s="397"/>
      <c r="O288" s="395" t="s">
        <v>6</v>
      </c>
      <c r="P288" s="396"/>
      <c r="Q288" s="396"/>
      <c r="R288" s="396"/>
      <c r="S288" s="396"/>
      <c r="T288" s="397"/>
      <c r="U288" s="393" t="s">
        <v>207</v>
      </c>
      <c r="V288" s="393" t="s">
        <v>208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386"/>
      <c r="G289" s="190" t="s">
        <v>13</v>
      </c>
      <c r="H289" s="190" t="s">
        <v>14</v>
      </c>
      <c r="I289" s="190" t="s">
        <v>15</v>
      </c>
      <c r="J289" s="190" t="s">
        <v>16</v>
      </c>
      <c r="K289" s="191" t="s">
        <v>17</v>
      </c>
      <c r="L289" s="190" t="s">
        <v>18</v>
      </c>
      <c r="M289" s="190" t="s">
        <v>19</v>
      </c>
      <c r="N289" s="190" t="s">
        <v>20</v>
      </c>
      <c r="O289" s="190" t="s">
        <v>15</v>
      </c>
      <c r="P289" s="190" t="s">
        <v>16</v>
      </c>
      <c r="Q289" s="191" t="s">
        <v>17</v>
      </c>
      <c r="R289" s="190" t="s">
        <v>18</v>
      </c>
      <c r="S289" s="190" t="s">
        <v>19</v>
      </c>
      <c r="T289" s="190" t="s">
        <v>20</v>
      </c>
      <c r="U289" s="392"/>
      <c r="V289" s="392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24</v>
      </c>
      <c r="G290" s="193">
        <f t="shared" ref="G290:I290" si="20">SUMIF($G$9:$G$283,$F$290,H9:H283)</f>
        <v>853</v>
      </c>
      <c r="H290" s="193">
        <f t="shared" si="20"/>
        <v>572</v>
      </c>
      <c r="I290" s="193">
        <f t="shared" si="20"/>
        <v>720</v>
      </c>
      <c r="J290" s="194">
        <f t="shared" ref="J290:J292" si="21">SUMIF($G$9:$G$283,F290,$K$9:$K$283)</f>
        <v>1258189.5699999996</v>
      </c>
      <c r="K290" s="195">
        <f t="shared" ref="K290:K292" si="22">SUMIF($G$9:$G$283,F290,$L$9:$L$283)</f>
        <v>648</v>
      </c>
      <c r="L290" s="194">
        <f t="shared" ref="L290:L292" si="23">SUMIF($G$9:$G$283,F290,$M$9:$M$283)</f>
        <v>1124577.3400000005</v>
      </c>
      <c r="M290" s="194">
        <f t="shared" ref="M290:O290" si="24">SUMIF($G$9:$G$283,$F$290,N9:N283)</f>
        <v>1124577.3400000005</v>
      </c>
      <c r="N290" s="194">
        <f t="shared" si="24"/>
        <v>0</v>
      </c>
      <c r="O290" s="193">
        <f t="shared" si="24"/>
        <v>971</v>
      </c>
      <c r="P290" s="194">
        <f t="shared" ref="P290:P292" si="25">SUMIF($G$9:$G$283,F290,$Q$9:$Q$283)</f>
        <v>3320712.9799999991</v>
      </c>
      <c r="Q290" s="195">
        <f t="shared" ref="Q290:Q292" si="26">SUMIF($G$9:$G$283,F290,$R$9:$R$283)</f>
        <v>907</v>
      </c>
      <c r="R290" s="194">
        <f t="shared" ref="R290:R292" si="27">SUMIF($G$9:$G$283,F290,$S$9:$S$283)</f>
        <v>3168753.2499999981</v>
      </c>
      <c r="S290" s="194">
        <f t="shared" ref="S290:T290" si="28">SUMIF($G$9:$G$283,$F$290,T9:T283)</f>
        <v>3168753.2499999981</v>
      </c>
      <c r="T290" s="194">
        <f t="shared" si="28"/>
        <v>0</v>
      </c>
      <c r="U290" s="194">
        <f t="shared" ref="U290:U292" si="29">S290+M290</f>
        <v>4293330.5899999989</v>
      </c>
      <c r="V290" s="196">
        <f t="shared" ref="V290:V292" si="30">J290-M290+P290-S290</f>
        <v>285571.95999999996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192" t="s">
        <v>28</v>
      </c>
      <c r="G291" s="236">
        <f t="shared" ref="G291:I291" si="31">SUMIF($G$9:$G$283,$F$291,H9:H283)</f>
        <v>285</v>
      </c>
      <c r="H291" s="193">
        <f t="shared" si="31"/>
        <v>86</v>
      </c>
      <c r="I291" s="193">
        <f t="shared" si="31"/>
        <v>86</v>
      </c>
      <c r="J291" s="194">
        <f t="shared" si="21"/>
        <v>144849.39000000001</v>
      </c>
      <c r="K291" s="195">
        <f t="shared" si="22"/>
        <v>52</v>
      </c>
      <c r="L291" s="194">
        <f t="shared" si="23"/>
        <v>89645.950000000012</v>
      </c>
      <c r="M291" s="194">
        <f t="shared" ref="M291:O291" si="32">SUMIF($G$9:$G$283,$F$291,N9:N283)</f>
        <v>89645.950000000012</v>
      </c>
      <c r="N291" s="194">
        <f t="shared" si="32"/>
        <v>0</v>
      </c>
      <c r="O291" s="193">
        <f t="shared" si="32"/>
        <v>164</v>
      </c>
      <c r="P291" s="194">
        <f t="shared" si="25"/>
        <v>468039.16999999993</v>
      </c>
      <c r="Q291" s="195">
        <f t="shared" si="26"/>
        <v>135</v>
      </c>
      <c r="R291" s="194">
        <f t="shared" si="27"/>
        <v>419093.8299999999</v>
      </c>
      <c r="S291" s="194">
        <f t="shared" ref="S291:T291" si="33">SUMIF($G$9:$G$283,$F$291,T9:T283)</f>
        <v>419093.8299999999</v>
      </c>
      <c r="T291" s="194">
        <f t="shared" si="33"/>
        <v>0</v>
      </c>
      <c r="U291" s="194">
        <f t="shared" si="29"/>
        <v>508739.77999999991</v>
      </c>
      <c r="V291" s="196">
        <f t="shared" si="30"/>
        <v>104148.78000000003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192" t="s">
        <v>25</v>
      </c>
      <c r="G292" s="193">
        <f t="shared" ref="G292:I292" si="34">SUMIF($G$9:$G$283,$F$292,H9:H283)</f>
        <v>58</v>
      </c>
      <c r="H292" s="193">
        <f t="shared" si="34"/>
        <v>27</v>
      </c>
      <c r="I292" s="193">
        <f t="shared" si="34"/>
        <v>27</v>
      </c>
      <c r="J292" s="194">
        <f t="shared" si="21"/>
        <v>41982.62</v>
      </c>
      <c r="K292" s="195">
        <f t="shared" si="22"/>
        <v>17</v>
      </c>
      <c r="L292" s="194">
        <f t="shared" si="23"/>
        <v>28027.390000000003</v>
      </c>
      <c r="M292" s="194">
        <f t="shared" ref="M292:O292" si="35">SUMIF($G$9:$G$283,$F$292,N9:N283)</f>
        <v>28027.390000000003</v>
      </c>
      <c r="N292" s="194">
        <f t="shared" si="35"/>
        <v>0</v>
      </c>
      <c r="O292" s="193">
        <f t="shared" si="35"/>
        <v>53</v>
      </c>
      <c r="P292" s="194">
        <f t="shared" si="25"/>
        <v>192465.3</v>
      </c>
      <c r="Q292" s="195">
        <f t="shared" si="26"/>
        <v>45</v>
      </c>
      <c r="R292" s="194">
        <f t="shared" si="27"/>
        <v>155693.31</v>
      </c>
      <c r="S292" s="194">
        <f t="shared" ref="S292:T292" si="36">SUMIF($G$9:$G$283,$F$292,T9:T283)</f>
        <v>155693.31</v>
      </c>
      <c r="T292" s="194">
        <f t="shared" si="36"/>
        <v>0</v>
      </c>
      <c r="U292" s="194">
        <f t="shared" si="29"/>
        <v>183720.7</v>
      </c>
      <c r="V292" s="196">
        <f t="shared" si="30"/>
        <v>50727.22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197">
        <f t="shared" ref="G293:V293" si="37">G292+G291+G290</f>
        <v>1196</v>
      </c>
      <c r="H293" s="197">
        <f t="shared" si="37"/>
        <v>685</v>
      </c>
      <c r="I293" s="197">
        <f t="shared" si="37"/>
        <v>833</v>
      </c>
      <c r="J293" s="198">
        <f t="shared" si="37"/>
        <v>1445021.5799999996</v>
      </c>
      <c r="K293" s="199">
        <f t="shared" si="37"/>
        <v>717</v>
      </c>
      <c r="L293" s="198">
        <f t="shared" si="37"/>
        <v>1242250.6800000006</v>
      </c>
      <c r="M293" s="198">
        <f t="shared" si="37"/>
        <v>1242250.6800000006</v>
      </c>
      <c r="N293" s="198">
        <f t="shared" si="37"/>
        <v>0</v>
      </c>
      <c r="O293" s="197">
        <f t="shared" si="37"/>
        <v>1188</v>
      </c>
      <c r="P293" s="198">
        <f t="shared" si="37"/>
        <v>3981217.4499999993</v>
      </c>
      <c r="Q293" s="200">
        <f t="shared" si="37"/>
        <v>1087</v>
      </c>
      <c r="R293" s="198">
        <f t="shared" si="37"/>
        <v>3743540.3899999978</v>
      </c>
      <c r="S293" s="198">
        <f t="shared" si="37"/>
        <v>3743540.3899999978</v>
      </c>
      <c r="T293" s="198">
        <f t="shared" si="37"/>
        <v>0</v>
      </c>
      <c r="U293" s="198">
        <f t="shared" si="37"/>
        <v>4985791.0699999984</v>
      </c>
      <c r="V293" s="198">
        <f t="shared" si="37"/>
        <v>440447.95999999996</v>
      </c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</sheetData>
  <mergeCells count="68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A274:A275"/>
    <mergeCell ref="B274:B275"/>
    <mergeCell ref="C274:C275"/>
    <mergeCell ref="D274:D275"/>
    <mergeCell ref="E274:E275"/>
    <mergeCell ref="A276:A277"/>
    <mergeCell ref="A280:A281"/>
    <mergeCell ref="A282:A283"/>
    <mergeCell ref="B282:B283"/>
    <mergeCell ref="C282:C283"/>
    <mergeCell ref="D282:D283"/>
    <mergeCell ref="E282:E283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8:U289"/>
    <mergeCell ref="V288:V289"/>
    <mergeCell ref="D276:D277"/>
    <mergeCell ref="E276:E277"/>
    <mergeCell ref="D278:D279"/>
    <mergeCell ref="E278:E279"/>
    <mergeCell ref="D280:D281"/>
    <mergeCell ref="E280:E281"/>
    <mergeCell ref="F288:F289"/>
    <mergeCell ref="B276:B277"/>
    <mergeCell ref="C276:C277"/>
    <mergeCell ref="A278:A279"/>
    <mergeCell ref="B278:B279"/>
    <mergeCell ref="C278:C279"/>
    <mergeCell ref="B280:B281"/>
    <mergeCell ref="C280:C281"/>
    <mergeCell ref="G288:N288"/>
    <mergeCell ref="O288:T288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2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1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0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10</v>
      </c>
      <c r="I11" s="203">
        <v>10</v>
      </c>
      <c r="J11" s="203">
        <v>13</v>
      </c>
      <c r="K11" s="65">
        <v>27696.39</v>
      </c>
      <c r="L11" s="224">
        <v>13</v>
      </c>
      <c r="M11" s="50">
        <f t="shared" si="0"/>
        <v>27347.45</v>
      </c>
      <c r="N11" s="65">
        <v>27347.45</v>
      </c>
      <c r="O11" s="52"/>
      <c r="P11" s="53">
        <v>12</v>
      </c>
      <c r="Q11" s="30">
        <v>79204.2</v>
      </c>
      <c r="R11" s="205">
        <v>12</v>
      </c>
      <c r="S11" s="26">
        <f t="shared" si="1"/>
        <v>79204.2</v>
      </c>
      <c r="T11" s="30">
        <v>79204.2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130">
        <v>1</v>
      </c>
      <c r="J12" s="130">
        <v>1</v>
      </c>
      <c r="K12" s="114">
        <v>1152.5999999999999</v>
      </c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12</v>
      </c>
      <c r="I13" s="62">
        <v>10</v>
      </c>
      <c r="J13" s="62">
        <v>16</v>
      </c>
      <c r="K13" s="30">
        <v>40078.93</v>
      </c>
      <c r="L13" s="205">
        <v>16</v>
      </c>
      <c r="M13" s="26">
        <f t="shared" si="0"/>
        <v>40078.93</v>
      </c>
      <c r="N13" s="30">
        <v>40078.93</v>
      </c>
      <c r="O13" s="299"/>
      <c r="P13" s="64">
        <v>18</v>
      </c>
      <c r="Q13" s="65">
        <v>80536.960000000006</v>
      </c>
      <c r="R13" s="224">
        <v>18</v>
      </c>
      <c r="S13" s="50">
        <f t="shared" si="1"/>
        <v>80536.960000000006</v>
      </c>
      <c r="T13" s="65">
        <v>80536.960000000006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3</v>
      </c>
      <c r="I14" s="37">
        <v>1</v>
      </c>
      <c r="J14" s="37">
        <v>1</v>
      </c>
      <c r="K14" s="68">
        <v>1344.7</v>
      </c>
      <c r="L14" s="40"/>
      <c r="M14" s="39">
        <f t="shared" si="0"/>
        <v>0</v>
      </c>
      <c r="N14" s="39"/>
      <c r="O14" s="41"/>
      <c r="P14" s="67">
        <v>4</v>
      </c>
      <c r="Q14" s="68">
        <v>24204.6</v>
      </c>
      <c r="R14" s="285">
        <v>3</v>
      </c>
      <c r="S14" s="39">
        <f t="shared" si="1"/>
        <v>17673.2</v>
      </c>
      <c r="T14" s="68">
        <f>15752.2+1921</f>
        <v>17673.2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90">
        <v>1</v>
      </c>
      <c r="M16" s="211">
        <f t="shared" si="0"/>
        <v>576.29999999999995</v>
      </c>
      <c r="N16" s="211">
        <f>576.3</f>
        <v>576.29999999999995</v>
      </c>
      <c r="O16" s="212"/>
      <c r="P16" s="262">
        <v>5</v>
      </c>
      <c r="Q16" s="209">
        <v>9605</v>
      </c>
      <c r="R16" s="210"/>
      <c r="S16" s="211">
        <f t="shared" si="1"/>
        <v>7027.7</v>
      </c>
      <c r="T16" s="209">
        <v>7027.7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10</v>
      </c>
      <c r="I17" s="62">
        <v>4</v>
      </c>
      <c r="J17" s="62">
        <v>4</v>
      </c>
      <c r="K17" s="30">
        <v>4141.68</v>
      </c>
      <c r="L17" s="205">
        <v>4</v>
      </c>
      <c r="M17" s="26">
        <f t="shared" si="0"/>
        <v>4141.68</v>
      </c>
      <c r="N17" s="30">
        <v>4141.68</v>
      </c>
      <c r="O17" s="264"/>
      <c r="P17" s="53">
        <v>11</v>
      </c>
      <c r="Q17" s="30">
        <v>26586.84</v>
      </c>
      <c r="R17" s="205">
        <v>11</v>
      </c>
      <c r="S17" s="26">
        <f t="shared" si="1"/>
        <v>26586.84</v>
      </c>
      <c r="T17" s="30">
        <v>26586.84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5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8</v>
      </c>
      <c r="I19" s="266">
        <v>6</v>
      </c>
      <c r="J19" s="266">
        <v>9</v>
      </c>
      <c r="K19" s="79">
        <v>16872.189999999999</v>
      </c>
      <c r="L19" s="268">
        <v>9</v>
      </c>
      <c r="M19" s="81">
        <f t="shared" si="0"/>
        <v>16872.189999999999</v>
      </c>
      <c r="N19" s="79">
        <v>16872.189999999999</v>
      </c>
      <c r="O19" s="269"/>
      <c r="P19" s="267">
        <v>10</v>
      </c>
      <c r="Q19" s="79">
        <v>22605.93</v>
      </c>
      <c r="R19" s="268">
        <v>10</v>
      </c>
      <c r="S19" s="81">
        <f t="shared" si="1"/>
        <v>22605.93</v>
      </c>
      <c r="T19" s="79">
        <v>22605.93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285">
        <v>2</v>
      </c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9</v>
      </c>
      <c r="J21" s="203">
        <v>16</v>
      </c>
      <c r="K21" s="65">
        <v>23101.61</v>
      </c>
      <c r="L21" s="224">
        <v>16</v>
      </c>
      <c r="M21" s="50">
        <f t="shared" si="0"/>
        <v>23101.61</v>
      </c>
      <c r="N21" s="65">
        <v>23101.61</v>
      </c>
      <c r="O21" s="225"/>
      <c r="P21" s="53">
        <v>14</v>
      </c>
      <c r="Q21" s="30">
        <v>22822.54</v>
      </c>
      <c r="R21" s="205">
        <v>14</v>
      </c>
      <c r="S21" s="26">
        <f t="shared" si="1"/>
        <v>22822.54</v>
      </c>
      <c r="T21" s="30">
        <v>22822.54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4262.51</v>
      </c>
      <c r="L23" s="205">
        <v>6</v>
      </c>
      <c r="M23" s="26">
        <f t="shared" si="0"/>
        <v>4262.51</v>
      </c>
      <c r="N23" s="30">
        <v>4262.51</v>
      </c>
      <c r="O23" s="225"/>
      <c r="P23" s="53">
        <v>7</v>
      </c>
      <c r="Q23" s="30">
        <v>8390.39</v>
      </c>
      <c r="R23" s="205">
        <v>5</v>
      </c>
      <c r="S23" s="26">
        <f t="shared" si="1"/>
        <v>8390.39</v>
      </c>
      <c r="T23" s="30">
        <v>8390.39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3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16</v>
      </c>
      <c r="K25" s="65">
        <v>28621.200000000001</v>
      </c>
      <c r="L25" s="224">
        <v>16</v>
      </c>
      <c r="M25" s="50">
        <f t="shared" si="0"/>
        <v>28621.200000000001</v>
      </c>
      <c r="N25" s="65">
        <v>28621.200000000001</v>
      </c>
      <c r="O25" s="225"/>
      <c r="P25" s="53">
        <v>14</v>
      </c>
      <c r="Q25" s="30">
        <v>24633.09</v>
      </c>
      <c r="R25" s="205">
        <v>13</v>
      </c>
      <c r="S25" s="26">
        <f t="shared" si="1"/>
        <v>23258.73</v>
      </c>
      <c r="T25" s="30">
        <v>23258.73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33">
        <v>2</v>
      </c>
      <c r="I26" s="130">
        <v>1</v>
      </c>
      <c r="J26" s="130">
        <v>1</v>
      </c>
      <c r="K26" s="114">
        <v>1204.2</v>
      </c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4</v>
      </c>
      <c r="S26" s="39">
        <f t="shared" si="1"/>
        <v>14036.900000000001</v>
      </c>
      <c r="T26" s="68">
        <f>4302+3533.6+960.5+5240.8</f>
        <v>14036.900000000001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2</v>
      </c>
      <c r="M28" s="43">
        <f t="shared" si="0"/>
        <v>3649.9</v>
      </c>
      <c r="N28" s="114">
        <f>3649.9</f>
        <v>3649.9</v>
      </c>
      <c r="O28" s="45"/>
      <c r="P28" s="113">
        <v>5</v>
      </c>
      <c r="Q28" s="114">
        <v>12756</v>
      </c>
      <c r="R28" s="44"/>
      <c r="S28" s="43">
        <f t="shared" si="1"/>
        <v>16168.38</v>
      </c>
      <c r="T28" s="114">
        <f>14247.38+1921</f>
        <v>16168.38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7</v>
      </c>
      <c r="I31" s="203">
        <v>4</v>
      </c>
      <c r="J31" s="203">
        <v>4</v>
      </c>
      <c r="K31" s="65">
        <v>6108.54</v>
      </c>
      <c r="L31" s="224">
        <v>4</v>
      </c>
      <c r="M31" s="50">
        <f t="shared" si="0"/>
        <v>6108.54</v>
      </c>
      <c r="N31" s="65">
        <v>6108.54</v>
      </c>
      <c r="O31" s="225"/>
      <c r="P31" s="108">
        <v>10</v>
      </c>
      <c r="Q31" s="65">
        <v>28852.58</v>
      </c>
      <c r="R31" s="224">
        <v>10</v>
      </c>
      <c r="S31" s="65">
        <v>28852.58</v>
      </c>
      <c r="T31" s="65">
        <v>28852.58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5</v>
      </c>
      <c r="M32" s="114">
        <v>13447</v>
      </c>
      <c r="N32" s="114">
        <v>13447</v>
      </c>
      <c r="O32" s="222"/>
      <c r="P32" s="113">
        <v>7</v>
      </c>
      <c r="Q32" s="114">
        <v>27092.02</v>
      </c>
      <c r="R32" s="270">
        <v>7</v>
      </c>
      <c r="S32" s="114">
        <v>27092.02</v>
      </c>
      <c r="T32" s="114">
        <v>27092.02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21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5</v>
      </c>
      <c r="J35" s="203">
        <v>5</v>
      </c>
      <c r="K35" s="65">
        <v>5443.67</v>
      </c>
      <c r="L35" s="224">
        <v>5</v>
      </c>
      <c r="M35" s="50">
        <f t="shared" si="2"/>
        <v>5443.67</v>
      </c>
      <c r="N35" s="65">
        <v>5443.67</v>
      </c>
      <c r="O35" s="31"/>
      <c r="P35" s="64">
        <v>4</v>
      </c>
      <c r="Q35" s="65">
        <v>14213.44</v>
      </c>
      <c r="R35" s="317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6</v>
      </c>
      <c r="I36" s="208">
        <v>3</v>
      </c>
      <c r="J36" s="208">
        <v>3</v>
      </c>
      <c r="K36" s="209">
        <v>4802.5</v>
      </c>
      <c r="L36" s="290">
        <v>2</v>
      </c>
      <c r="M36" s="211">
        <f t="shared" si="2"/>
        <v>1728.8999999999999</v>
      </c>
      <c r="N36" s="209">
        <f>1152.6+576.3</f>
        <v>1728.8999999999999</v>
      </c>
      <c r="O36" s="212"/>
      <c r="P36" s="304">
        <v>2</v>
      </c>
      <c r="Q36" s="209">
        <v>9182.3799999999992</v>
      </c>
      <c r="R36" s="325">
        <v>3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2</v>
      </c>
      <c r="I41" s="62">
        <v>2</v>
      </c>
      <c r="J41" s="62">
        <v>2</v>
      </c>
      <c r="K41" s="30">
        <v>2895.26</v>
      </c>
      <c r="L41" s="205">
        <v>3</v>
      </c>
      <c r="M41" s="26">
        <f t="shared" si="2"/>
        <v>7453.76</v>
      </c>
      <c r="N41" s="30">
        <v>7453.76</v>
      </c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10</v>
      </c>
      <c r="I43" s="266">
        <v>9</v>
      </c>
      <c r="J43" s="266">
        <v>9</v>
      </c>
      <c r="K43" s="79">
        <v>10392.620000000001</v>
      </c>
      <c r="L43" s="268">
        <v>9</v>
      </c>
      <c r="M43" s="81">
        <f t="shared" si="2"/>
        <v>10392.620000000001</v>
      </c>
      <c r="N43" s="79">
        <v>10392.620000000001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14</v>
      </c>
      <c r="I45" s="62">
        <v>7</v>
      </c>
      <c r="J45" s="62">
        <v>8</v>
      </c>
      <c r="K45" s="30">
        <v>8567.49</v>
      </c>
      <c r="L45" s="205">
        <v>8</v>
      </c>
      <c r="M45" s="26">
        <f t="shared" si="2"/>
        <v>8567.49</v>
      </c>
      <c r="N45" s="30">
        <v>8567.49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6</v>
      </c>
      <c r="I46" s="208">
        <v>1</v>
      </c>
      <c r="J46" s="208">
        <v>1</v>
      </c>
      <c r="K46" s="209">
        <v>4728</v>
      </c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4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130">
        <v>2</v>
      </c>
      <c r="J52" s="130">
        <v>2</v>
      </c>
      <c r="K52" s="114">
        <v>3411.9</v>
      </c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7</v>
      </c>
      <c r="Q53" s="65">
        <v>15242.58</v>
      </c>
      <c r="R53" s="224">
        <v>7</v>
      </c>
      <c r="S53" s="50">
        <f t="shared" si="3"/>
        <v>15242.58</v>
      </c>
      <c r="T53" s="65">
        <v>15242.58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7">
        <v>1</v>
      </c>
      <c r="J54" s="37">
        <v>1</v>
      </c>
      <c r="K54" s="68">
        <v>2007</v>
      </c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11</v>
      </c>
      <c r="S54" s="39">
        <f t="shared" si="3"/>
        <v>23705.43</v>
      </c>
      <c r="T54" s="68">
        <f>2209.2+576.3+13639.1+1921+1921+3438.83</f>
        <v>23705.43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4</v>
      </c>
      <c r="I55" s="203">
        <v>3</v>
      </c>
      <c r="J55" s="203">
        <v>5</v>
      </c>
      <c r="K55" s="65">
        <v>6927.86</v>
      </c>
      <c r="L55" s="224">
        <v>5</v>
      </c>
      <c r="M55" s="50">
        <f t="shared" si="2"/>
        <v>6927.86</v>
      </c>
      <c r="N55" s="65">
        <v>6927.86</v>
      </c>
      <c r="O55" s="31"/>
      <c r="P55" s="53">
        <v>4</v>
      </c>
      <c r="Q55" s="30">
        <v>12223.84</v>
      </c>
      <c r="R55" s="205">
        <v>4</v>
      </c>
      <c r="S55" s="26">
        <f t="shared" si="3"/>
        <v>12223.84</v>
      </c>
      <c r="T55" s="30">
        <v>12223.84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11</v>
      </c>
      <c r="I57" s="62">
        <v>8</v>
      </c>
      <c r="J57" s="62">
        <v>9</v>
      </c>
      <c r="K57" s="30">
        <v>16490.21</v>
      </c>
      <c r="L57" s="205">
        <v>11</v>
      </c>
      <c r="M57" s="26">
        <f t="shared" si="2"/>
        <v>20141.560000000001</v>
      </c>
      <c r="N57" s="30">
        <v>20141.560000000001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3</v>
      </c>
      <c r="J58" s="37">
        <v>3</v>
      </c>
      <c r="K58" s="68">
        <v>3099.46</v>
      </c>
      <c r="L58" s="40"/>
      <c r="M58" s="39">
        <f t="shared" si="2"/>
        <v>0</v>
      </c>
      <c r="N58" s="39"/>
      <c r="O58" s="41"/>
      <c r="P58" s="115">
        <v>1</v>
      </c>
      <c r="Q58" s="68">
        <v>576.29999999999995</v>
      </c>
      <c r="R58" s="285">
        <v>1</v>
      </c>
      <c r="S58" s="39">
        <f t="shared" si="3"/>
        <v>144.08000000000001</v>
      </c>
      <c r="T58" s="39">
        <f>144.08</f>
        <v>144.08000000000001</v>
      </c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14</v>
      </c>
      <c r="K59" s="65">
        <v>21010.75</v>
      </c>
      <c r="L59" s="224">
        <v>14</v>
      </c>
      <c r="M59" s="50">
        <f t="shared" si="2"/>
        <v>21010.75</v>
      </c>
      <c r="N59" s="65">
        <v>21010.75</v>
      </c>
      <c r="O59" s="225"/>
      <c r="P59" s="53">
        <v>35</v>
      </c>
      <c r="Q59" s="30">
        <v>84174.76</v>
      </c>
      <c r="R59" s="205">
        <v>34</v>
      </c>
      <c r="S59" s="26">
        <f t="shared" si="3"/>
        <v>83293.759999999995</v>
      </c>
      <c r="T59" s="30">
        <v>83293.759999999995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7</v>
      </c>
      <c r="I61" s="62">
        <v>3</v>
      </c>
      <c r="J61" s="62">
        <v>3</v>
      </c>
      <c r="K61" s="30">
        <v>5443.83</v>
      </c>
      <c r="L61" s="205">
        <v>3</v>
      </c>
      <c r="M61" s="26">
        <f t="shared" si="2"/>
        <v>5443.83</v>
      </c>
      <c r="N61" s="30">
        <v>5443.83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5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5</v>
      </c>
      <c r="I63" s="62">
        <v>1</v>
      </c>
      <c r="J63" s="62">
        <v>1</v>
      </c>
      <c r="K63" s="30">
        <v>2531.11</v>
      </c>
      <c r="L63" s="205">
        <v>3</v>
      </c>
      <c r="M63" s="26">
        <f t="shared" si="2"/>
        <v>6733.37</v>
      </c>
      <c r="N63" s="30">
        <v>6733.37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5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5</v>
      </c>
      <c r="I65" s="266">
        <v>3</v>
      </c>
      <c r="J65" s="266">
        <v>3</v>
      </c>
      <c r="K65" s="79">
        <v>10543.17</v>
      </c>
      <c r="L65" s="268">
        <v>3</v>
      </c>
      <c r="M65" s="81">
        <f t="shared" si="2"/>
        <v>10543.17</v>
      </c>
      <c r="N65" s="79">
        <v>10543.17</v>
      </c>
      <c r="O65" s="219"/>
      <c r="P65" s="267">
        <v>3</v>
      </c>
      <c r="Q65" s="79">
        <v>4835.93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4</v>
      </c>
      <c r="I66" s="130">
        <v>4</v>
      </c>
      <c r="J66" s="130">
        <v>4</v>
      </c>
      <c r="K66" s="114">
        <v>6601.18</v>
      </c>
      <c r="L66" s="316">
        <v>3</v>
      </c>
      <c r="M66" s="129">
        <f t="shared" si="2"/>
        <v>5196.2800000000007</v>
      </c>
      <c r="N66" s="43">
        <f>1344.7+1738.48+2113.1</f>
        <v>5196.2800000000007</v>
      </c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15</v>
      </c>
      <c r="S69" s="50">
        <f t="shared" si="3"/>
        <v>73353.95</v>
      </c>
      <c r="T69" s="65">
        <v>73353.95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5</v>
      </c>
      <c r="I70" s="130">
        <v>1</v>
      </c>
      <c r="J70" s="130">
        <v>1</v>
      </c>
      <c r="K70" s="114">
        <v>1056.5999999999999</v>
      </c>
      <c r="L70" s="44"/>
      <c r="M70" s="43">
        <f t="shared" si="2"/>
        <v>0</v>
      </c>
      <c r="N70" s="43"/>
      <c r="O70" s="41"/>
      <c r="P70" s="113">
        <v>1</v>
      </c>
      <c r="Q70" s="114">
        <v>2881.5</v>
      </c>
      <c r="R70" s="270">
        <v>1</v>
      </c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8</v>
      </c>
      <c r="J71" s="62">
        <v>9</v>
      </c>
      <c r="K71" s="30">
        <v>21654.32</v>
      </c>
      <c r="L71" s="205">
        <v>9</v>
      </c>
      <c r="M71" s="26">
        <f t="shared" si="2"/>
        <v>21654.32</v>
      </c>
      <c r="N71" s="30">
        <v>21654.32</v>
      </c>
      <c r="O71" s="225"/>
      <c r="P71" s="29">
        <v>5</v>
      </c>
      <c r="Q71" s="30">
        <v>10539.19</v>
      </c>
      <c r="R71" s="205">
        <v>5</v>
      </c>
      <c r="S71" s="26">
        <f t="shared" si="3"/>
        <v>10539.19</v>
      </c>
      <c r="T71" s="30">
        <v>10539.19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4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7</v>
      </c>
      <c r="I75" s="62">
        <v>6</v>
      </c>
      <c r="J75" s="62">
        <v>9</v>
      </c>
      <c r="K75" s="30">
        <v>14971.8</v>
      </c>
      <c r="L75" s="205">
        <v>9</v>
      </c>
      <c r="M75" s="26">
        <f t="shared" si="2"/>
        <v>14971.8</v>
      </c>
      <c r="N75" s="30">
        <v>14971.8</v>
      </c>
      <c r="O75" s="31"/>
      <c r="P75" s="53">
        <v>3</v>
      </c>
      <c r="Q75" s="30">
        <v>6608.53</v>
      </c>
      <c r="R75" s="205">
        <v>2</v>
      </c>
      <c r="S75" s="26">
        <f t="shared" si="3"/>
        <v>4729.9799999999996</v>
      </c>
      <c r="T75" s="30">
        <v>4729.9799999999996</v>
      </c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2</v>
      </c>
      <c r="J76" s="37">
        <v>2</v>
      </c>
      <c r="K76" s="68">
        <v>1479.45</v>
      </c>
      <c r="L76" s="285">
        <v>2</v>
      </c>
      <c r="M76" s="68">
        <v>1479.45</v>
      </c>
      <c r="N76" s="68">
        <v>1479.45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6</v>
      </c>
      <c r="J77" s="203">
        <v>9</v>
      </c>
      <c r="K77" s="114">
        <v>12064.84</v>
      </c>
      <c r="L77" s="224">
        <v>9</v>
      </c>
      <c r="M77" s="50">
        <f t="shared" ref="M77:M93" si="4">N77+O77</f>
        <v>12064.84</v>
      </c>
      <c r="N77" s="65">
        <v>12064.84</v>
      </c>
      <c r="O77" s="225"/>
      <c r="P77" s="108">
        <v>10</v>
      </c>
      <c r="Q77" s="65">
        <v>40632.5</v>
      </c>
      <c r="R77" s="224">
        <v>10</v>
      </c>
      <c r="S77" s="50">
        <f t="shared" si="3"/>
        <v>40632.5</v>
      </c>
      <c r="T77" s="65">
        <v>40632.5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30</v>
      </c>
      <c r="I79" s="62">
        <v>25</v>
      </c>
      <c r="J79" s="62">
        <v>38</v>
      </c>
      <c r="K79" s="30">
        <v>75742.87</v>
      </c>
      <c r="L79" s="205">
        <v>38</v>
      </c>
      <c r="M79" s="26">
        <f t="shared" si="4"/>
        <v>75742.87</v>
      </c>
      <c r="N79" s="30">
        <v>75742.87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6</v>
      </c>
      <c r="I81" s="62">
        <v>3</v>
      </c>
      <c r="J81" s="62">
        <v>3</v>
      </c>
      <c r="K81" s="30">
        <v>4115.55</v>
      </c>
      <c r="L81" s="205">
        <v>3</v>
      </c>
      <c r="M81" s="26">
        <f t="shared" si="4"/>
        <v>4115.55</v>
      </c>
      <c r="N81" s="30">
        <v>4115.55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>
        <v>1</v>
      </c>
      <c r="J82" s="208">
        <v>1</v>
      </c>
      <c r="K82" s="209">
        <v>2305.1999999999998</v>
      </c>
      <c r="L82" s="210"/>
      <c r="M82" s="211">
        <f t="shared" si="4"/>
        <v>0</v>
      </c>
      <c r="N82" s="211"/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13</v>
      </c>
      <c r="K85" s="79">
        <v>22197.56</v>
      </c>
      <c r="L85" s="268">
        <v>13</v>
      </c>
      <c r="M85" s="81">
        <f t="shared" si="4"/>
        <v>22197.56</v>
      </c>
      <c r="N85" s="79">
        <v>22197.56</v>
      </c>
      <c r="O85" s="269"/>
      <c r="P85" s="267">
        <v>10</v>
      </c>
      <c r="Q85" s="79">
        <v>23116.35</v>
      </c>
      <c r="R85" s="268">
        <v>9</v>
      </c>
      <c r="S85" s="81">
        <f t="shared" si="3"/>
        <v>22011.75</v>
      </c>
      <c r="T85" s="79">
        <v>22011.75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2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151">
        <v>2</v>
      </c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8</v>
      </c>
      <c r="S91" s="26">
        <f t="shared" si="3"/>
        <v>23413.73</v>
      </c>
      <c r="T91" s="30">
        <v>23413.73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12</v>
      </c>
      <c r="J93" s="62">
        <v>15</v>
      </c>
      <c r="K93" s="30">
        <v>25934.49</v>
      </c>
      <c r="L93" s="205">
        <v>15</v>
      </c>
      <c r="M93" s="26">
        <f t="shared" si="4"/>
        <v>25934.49</v>
      </c>
      <c r="N93" s="30">
        <v>25934.49</v>
      </c>
      <c r="O93" s="31"/>
      <c r="P93" s="53">
        <v>10</v>
      </c>
      <c r="Q93" s="30">
        <v>37445.699999999997</v>
      </c>
      <c r="R93" s="205">
        <v>9</v>
      </c>
      <c r="S93" s="26">
        <f t="shared" si="3"/>
        <v>32936.699999999997</v>
      </c>
      <c r="T93" s="30">
        <v>32936.699999999997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7</v>
      </c>
      <c r="I94" s="37">
        <v>5</v>
      </c>
      <c r="J94" s="37">
        <v>5</v>
      </c>
      <c r="K94" s="68">
        <v>8538.9599999999991</v>
      </c>
      <c r="L94" s="285">
        <v>3</v>
      </c>
      <c r="M94" s="68">
        <v>4303.04</v>
      </c>
      <c r="N94" s="68">
        <v>4303.04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5</v>
      </c>
      <c r="I95" s="203">
        <v>2</v>
      </c>
      <c r="J95" s="203">
        <v>2</v>
      </c>
      <c r="K95" s="65">
        <v>2539.56</v>
      </c>
      <c r="L95" s="224">
        <v>2</v>
      </c>
      <c r="M95" s="50">
        <f t="shared" ref="M95:M101" si="5">N95+O95</f>
        <v>2539.56</v>
      </c>
      <c r="N95" s="65">
        <v>2539.56</v>
      </c>
      <c r="O95" s="31"/>
      <c r="P95" s="108">
        <v>8</v>
      </c>
      <c r="Q95" s="65">
        <v>93924.24</v>
      </c>
      <c r="R95" s="224">
        <v>8</v>
      </c>
      <c r="S95" s="50">
        <f t="shared" ref="S95:S101" si="6">T95+U95</f>
        <v>93924.24</v>
      </c>
      <c r="T95" s="65">
        <v>93924.24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2</v>
      </c>
      <c r="I96" s="130">
        <v>1</v>
      </c>
      <c r="J96" s="130">
        <v>1</v>
      </c>
      <c r="K96" s="114">
        <v>1344.7</v>
      </c>
      <c r="L96" s="44"/>
      <c r="M96" s="43">
        <f t="shared" si="5"/>
        <v>0</v>
      </c>
      <c r="N96" s="43"/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3</v>
      </c>
      <c r="I97" s="62">
        <v>2</v>
      </c>
      <c r="J97" s="62">
        <v>2</v>
      </c>
      <c r="K97" s="30">
        <v>6064.6</v>
      </c>
      <c r="L97" s="205">
        <v>2</v>
      </c>
      <c r="M97" s="26">
        <f t="shared" si="5"/>
        <v>6064.6</v>
      </c>
      <c r="N97" s="30">
        <v>6064.6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2</v>
      </c>
      <c r="I98" s="130">
        <v>2</v>
      </c>
      <c r="J98" s="130">
        <v>2</v>
      </c>
      <c r="K98" s="114">
        <v>1756.5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3</v>
      </c>
      <c r="I99" s="62">
        <v>2</v>
      </c>
      <c r="J99" s="62">
        <v>3</v>
      </c>
      <c r="K99" s="30">
        <v>4738.63</v>
      </c>
      <c r="L99" s="205">
        <v>3</v>
      </c>
      <c r="M99" s="26">
        <f t="shared" si="5"/>
        <v>4738.63</v>
      </c>
      <c r="N99" s="30">
        <v>4738.63</v>
      </c>
      <c r="O99" s="225"/>
      <c r="P99" s="53">
        <v>3</v>
      </c>
      <c r="Q99" s="30">
        <v>15479.57</v>
      </c>
      <c r="R99" s="205">
        <v>3</v>
      </c>
      <c r="S99" s="26">
        <f t="shared" si="6"/>
        <v>15479.57</v>
      </c>
      <c r="T99" s="30">
        <v>15479.57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6</v>
      </c>
      <c r="I101" s="62">
        <v>4</v>
      </c>
      <c r="J101" s="62">
        <v>4</v>
      </c>
      <c r="K101" s="30">
        <v>11188.97</v>
      </c>
      <c r="L101" s="205">
        <v>4</v>
      </c>
      <c r="M101" s="26">
        <f t="shared" si="5"/>
        <v>11188.97</v>
      </c>
      <c r="N101" s="30">
        <v>11188.97</v>
      </c>
      <c r="O101" s="31"/>
      <c r="P101" s="53">
        <v>21</v>
      </c>
      <c r="Q101" s="30">
        <v>51104.07</v>
      </c>
      <c r="R101" s="205">
        <v>21</v>
      </c>
      <c r="S101" s="26">
        <f t="shared" si="6"/>
        <v>53290.5</v>
      </c>
      <c r="T101" s="30">
        <v>53290.5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7</v>
      </c>
      <c r="J102" s="130">
        <v>7</v>
      </c>
      <c r="K102" s="114">
        <v>9494.5</v>
      </c>
      <c r="L102" s="270">
        <v>6</v>
      </c>
      <c r="M102" s="114">
        <v>8672.4</v>
      </c>
      <c r="N102" s="114">
        <v>8672.4</v>
      </c>
      <c r="O102" s="234"/>
      <c r="P102" s="113">
        <v>8</v>
      </c>
      <c r="Q102" s="114">
        <v>20762.439999999999</v>
      </c>
      <c r="R102" s="270">
        <v>8</v>
      </c>
      <c r="S102" s="114">
        <v>20762.439999999999</v>
      </c>
      <c r="T102" s="114">
        <v>20762.439999999999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6</v>
      </c>
      <c r="I103" s="62">
        <v>6</v>
      </c>
      <c r="J103" s="62">
        <v>6</v>
      </c>
      <c r="K103" s="30">
        <v>4786.25</v>
      </c>
      <c r="L103" s="205">
        <v>6</v>
      </c>
      <c r="M103" s="26">
        <f t="shared" ref="M103:M118" si="7">N103+O103</f>
        <v>4786.25</v>
      </c>
      <c r="N103" s="30">
        <v>4786.25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8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5</v>
      </c>
      <c r="I104" s="208">
        <v>4</v>
      </c>
      <c r="J104" s="208">
        <v>4</v>
      </c>
      <c r="K104" s="209">
        <v>5955.1</v>
      </c>
      <c r="L104" s="290">
        <v>3</v>
      </c>
      <c r="M104" s="211">
        <f t="shared" si="7"/>
        <v>4610.3999999999996</v>
      </c>
      <c r="N104" s="209">
        <f>1344.7+3265.7</f>
        <v>4610.3999999999996</v>
      </c>
      <c r="O104" s="212"/>
      <c r="P104" s="103"/>
      <c r="Q104" s="43"/>
      <c r="R104" s="270">
        <v>1</v>
      </c>
      <c r="S104" s="43">
        <f t="shared" si="8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10</v>
      </c>
      <c r="I105" s="62">
        <v>6</v>
      </c>
      <c r="J105" s="62">
        <v>8</v>
      </c>
      <c r="K105" s="30">
        <v>17278.02</v>
      </c>
      <c r="L105" s="205">
        <v>8</v>
      </c>
      <c r="M105" s="26">
        <f t="shared" si="7"/>
        <v>17278.02</v>
      </c>
      <c r="N105" s="30">
        <v>17278.02</v>
      </c>
      <c r="O105" s="241"/>
      <c r="P105" s="214">
        <v>12</v>
      </c>
      <c r="Q105" s="30">
        <v>50650.69</v>
      </c>
      <c r="R105" s="205">
        <v>12</v>
      </c>
      <c r="S105" s="26">
        <f t="shared" si="8"/>
        <v>50650.69</v>
      </c>
      <c r="T105" s="30">
        <v>50650.69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6</v>
      </c>
      <c r="I106" s="286">
        <v>5</v>
      </c>
      <c r="J106" s="286">
        <v>5</v>
      </c>
      <c r="K106" s="287">
        <v>11331</v>
      </c>
      <c r="L106" s="315">
        <v>1</v>
      </c>
      <c r="M106" s="39">
        <f t="shared" si="7"/>
        <v>1921</v>
      </c>
      <c r="N106" s="39">
        <f>1921</f>
        <v>1921</v>
      </c>
      <c r="O106" s="41"/>
      <c r="P106" s="217">
        <v>3</v>
      </c>
      <c r="Q106" s="37">
        <v>7587.95</v>
      </c>
      <c r="R106" s="285">
        <v>3</v>
      </c>
      <c r="S106" s="39">
        <f t="shared" si="8"/>
        <v>8740.5499999999993</v>
      </c>
      <c r="T106" s="68">
        <f>1056.55+3457.8+4226.2</f>
        <v>8740.5499999999993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7"/>
        <v>0</v>
      </c>
      <c r="N107" s="81"/>
      <c r="O107" s="219"/>
      <c r="P107" s="108">
        <v>5</v>
      </c>
      <c r="Q107" s="65">
        <v>33607.81</v>
      </c>
      <c r="R107" s="224">
        <v>4</v>
      </c>
      <c r="S107" s="50">
        <f t="shared" si="8"/>
        <v>17684.7</v>
      </c>
      <c r="T107" s="65">
        <v>17684.7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285">
        <v>1</v>
      </c>
      <c r="M108" s="39">
        <f t="shared" si="7"/>
        <v>864.15</v>
      </c>
      <c r="N108" s="39">
        <f>864.15</f>
        <v>864.15</v>
      </c>
      <c r="O108" s="41"/>
      <c r="P108" s="115">
        <v>1</v>
      </c>
      <c r="Q108" s="68">
        <v>1152.5999999999999</v>
      </c>
      <c r="R108" s="40"/>
      <c r="S108" s="39">
        <f t="shared" si="8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6</v>
      </c>
      <c r="M109" s="50">
        <f t="shared" si="7"/>
        <v>10235.59</v>
      </c>
      <c r="N109" s="65">
        <v>10235.59</v>
      </c>
      <c r="O109" s="225"/>
      <c r="P109" s="108">
        <v>9</v>
      </c>
      <c r="Q109" s="65">
        <v>19656.830000000002</v>
      </c>
      <c r="R109" s="224">
        <v>9</v>
      </c>
      <c r="S109" s="50">
        <f t="shared" si="8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4</v>
      </c>
      <c r="M110" s="50">
        <f t="shared" si="7"/>
        <v>4428.0999999999995</v>
      </c>
      <c r="N110" s="43">
        <f>1290.6+1152.6+1290.6+694.3</f>
        <v>4428.0999999999995</v>
      </c>
      <c r="O110" s="41"/>
      <c r="P110" s="113">
        <v>3</v>
      </c>
      <c r="Q110" s="114">
        <v>14347.1</v>
      </c>
      <c r="R110" s="270">
        <v>3</v>
      </c>
      <c r="S110" s="43">
        <f t="shared" si="8"/>
        <v>12810.6</v>
      </c>
      <c r="T110" s="114">
        <f>4358.2+3649.9+4802.5</f>
        <v>12810.6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5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7"/>
        <v>3538.71</v>
      </c>
      <c r="N111" s="30">
        <v>3538.71</v>
      </c>
      <c r="O111" s="225"/>
      <c r="P111" s="53">
        <v>6</v>
      </c>
      <c r="Q111" s="30">
        <v>12782.06</v>
      </c>
      <c r="R111" s="205">
        <v>6</v>
      </c>
      <c r="S111" s="26">
        <f t="shared" si="8"/>
        <v>12782.06</v>
      </c>
      <c r="T111" s="30">
        <v>12782.06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5</v>
      </c>
      <c r="I112" s="37">
        <v>4</v>
      </c>
      <c r="J112" s="37">
        <v>4</v>
      </c>
      <c r="K112" s="68">
        <v>6973.5</v>
      </c>
      <c r="L112" s="285">
        <v>2</v>
      </c>
      <c r="M112" s="39">
        <f t="shared" si="7"/>
        <v>4934.5</v>
      </c>
      <c r="N112" s="39">
        <f>1580.8+3353.7</f>
        <v>4934.5</v>
      </c>
      <c r="O112" s="41"/>
      <c r="P112" s="115">
        <v>2</v>
      </c>
      <c r="Q112" s="68">
        <v>3490.8</v>
      </c>
      <c r="R112" s="285">
        <v>2</v>
      </c>
      <c r="S112" s="39">
        <f t="shared" si="8"/>
        <v>6723.5</v>
      </c>
      <c r="T112" s="39">
        <f>5378.8+1344.7</f>
        <v>6723.5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17</v>
      </c>
      <c r="I113" s="203">
        <v>8</v>
      </c>
      <c r="J113" s="203">
        <v>8</v>
      </c>
      <c r="K113" s="65">
        <v>20025.38</v>
      </c>
      <c r="L113" s="224">
        <v>8</v>
      </c>
      <c r="M113" s="50">
        <f t="shared" si="7"/>
        <v>20025.38</v>
      </c>
      <c r="N113" s="65">
        <v>20025.38</v>
      </c>
      <c r="O113" s="225"/>
      <c r="P113" s="108">
        <v>20</v>
      </c>
      <c r="Q113" s="65">
        <v>59066.38</v>
      </c>
      <c r="R113" s="224">
        <v>16</v>
      </c>
      <c r="S113" s="50">
        <f t="shared" si="8"/>
        <v>54023.4</v>
      </c>
      <c r="T113" s="65">
        <v>54023.4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7"/>
        <v>0</v>
      </c>
      <c r="N114" s="43"/>
      <c r="O114" s="41"/>
      <c r="P114" s="103"/>
      <c r="Q114" s="43"/>
      <c r="R114" s="44"/>
      <c r="S114" s="43">
        <f t="shared" si="8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8</v>
      </c>
      <c r="I115" s="62">
        <v>7</v>
      </c>
      <c r="J115" s="62">
        <v>7</v>
      </c>
      <c r="K115" s="30">
        <v>5591.09</v>
      </c>
      <c r="L115" s="205">
        <v>7</v>
      </c>
      <c r="M115" s="26">
        <f t="shared" si="7"/>
        <v>5591.09</v>
      </c>
      <c r="N115" s="30">
        <v>5591.09</v>
      </c>
      <c r="O115" s="31"/>
      <c r="P115" s="53">
        <v>9</v>
      </c>
      <c r="Q115" s="30">
        <v>63620.18</v>
      </c>
      <c r="R115" s="205">
        <v>9</v>
      </c>
      <c r="S115" s="26">
        <f t="shared" si="8"/>
        <v>63620.18</v>
      </c>
      <c r="T115" s="30">
        <v>63620.18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4</v>
      </c>
      <c r="I116" s="57"/>
      <c r="J116" s="57"/>
      <c r="K116" s="43"/>
      <c r="L116" s="270">
        <v>1</v>
      </c>
      <c r="M116" s="43">
        <f t="shared" si="7"/>
        <v>576.29999999999995</v>
      </c>
      <c r="N116" s="43">
        <f>576.3</f>
        <v>576.29999999999995</v>
      </c>
      <c r="O116" s="41"/>
      <c r="P116" s="113">
        <v>2</v>
      </c>
      <c r="Q116" s="114">
        <v>2881.5</v>
      </c>
      <c r="R116" s="270">
        <v>2</v>
      </c>
      <c r="S116" s="43">
        <f t="shared" si="8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10</v>
      </c>
      <c r="I117" s="62">
        <v>9</v>
      </c>
      <c r="J117" s="62">
        <v>9</v>
      </c>
      <c r="K117" s="30">
        <v>8773.83</v>
      </c>
      <c r="L117" s="205">
        <v>9</v>
      </c>
      <c r="M117" s="26">
        <f t="shared" si="7"/>
        <v>8773.83</v>
      </c>
      <c r="N117" s="30">
        <v>8773.83</v>
      </c>
      <c r="O117" s="31"/>
      <c r="P117" s="53">
        <v>7</v>
      </c>
      <c r="Q117" s="30">
        <v>28154.06</v>
      </c>
      <c r="R117" s="205">
        <v>8</v>
      </c>
      <c r="S117" s="26">
        <f t="shared" si="8"/>
        <v>32433.51</v>
      </c>
      <c r="T117" s="30">
        <v>32433.51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7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143"/>
      <c r="S118" s="142">
        <f t="shared" si="8"/>
        <v>6513.21</v>
      </c>
      <c r="T118" s="142">
        <f>288.15+576.3+5648.76</f>
        <v>6513.21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285">
        <v>1</v>
      </c>
      <c r="M119" s="68">
        <v>2881.5</v>
      </c>
      <c r="N119" s="68">
        <v>2881.5</v>
      </c>
      <c r="O119" s="41"/>
      <c r="P119" s="59"/>
      <c r="Q119" s="39"/>
      <c r="R119" s="40"/>
      <c r="S119" s="39">
        <f t="shared" si="8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4022.19</v>
      </c>
      <c r="L120" s="224">
        <v>2</v>
      </c>
      <c r="M120" s="50">
        <f t="shared" ref="M120:M134" si="9">N120+O120</f>
        <v>4022.19</v>
      </c>
      <c r="N120" s="65">
        <v>4022.19</v>
      </c>
      <c r="O120" s="31"/>
      <c r="P120" s="108">
        <v>6</v>
      </c>
      <c r="Q120" s="65">
        <v>21203.8</v>
      </c>
      <c r="R120" s="224">
        <v>5</v>
      </c>
      <c r="S120" s="50">
        <f t="shared" si="8"/>
        <v>20499</v>
      </c>
      <c r="T120" s="65">
        <v>20499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9"/>
        <v>0</v>
      </c>
      <c r="N121" s="43"/>
      <c r="O121" s="41"/>
      <c r="P121" s="103"/>
      <c r="Q121" s="43"/>
      <c r="R121" s="44"/>
      <c r="S121" s="43">
        <f t="shared" si="8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7</v>
      </c>
      <c r="I122" s="62">
        <v>4</v>
      </c>
      <c r="J122" s="62">
        <v>5</v>
      </c>
      <c r="K122" s="30">
        <v>5109.87</v>
      </c>
      <c r="L122" s="205">
        <v>5</v>
      </c>
      <c r="M122" s="26">
        <f t="shared" si="9"/>
        <v>5109.87</v>
      </c>
      <c r="N122" s="30">
        <v>5109.87</v>
      </c>
      <c r="O122" s="31"/>
      <c r="P122" s="53">
        <v>4</v>
      </c>
      <c r="Q122" s="30">
        <v>3732.5</v>
      </c>
      <c r="R122" s="205">
        <v>4</v>
      </c>
      <c r="S122" s="26">
        <f t="shared" si="8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12</v>
      </c>
      <c r="I124" s="62">
        <v>12</v>
      </c>
      <c r="J124" s="62">
        <v>18</v>
      </c>
      <c r="K124" s="30">
        <v>38332.99</v>
      </c>
      <c r="L124" s="205">
        <v>18</v>
      </c>
      <c r="M124" s="26">
        <f t="shared" si="9"/>
        <v>38332.99</v>
      </c>
      <c r="N124" s="30">
        <v>38332.99</v>
      </c>
      <c r="O124" s="225"/>
      <c r="P124" s="53">
        <v>10</v>
      </c>
      <c r="Q124" s="30">
        <v>25611.57</v>
      </c>
      <c r="R124" s="205">
        <v>10</v>
      </c>
      <c r="S124" s="26">
        <f t="shared" si="8"/>
        <v>25611.57</v>
      </c>
      <c r="T124" s="30">
        <v>25611.57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3</v>
      </c>
      <c r="I125" s="130">
        <v>2</v>
      </c>
      <c r="J125" s="130">
        <v>2</v>
      </c>
      <c r="K125" s="114">
        <v>2497.3000000000002</v>
      </c>
      <c r="L125" s="270">
        <v>2</v>
      </c>
      <c r="M125" s="43">
        <f t="shared" si="9"/>
        <v>2497.3000000000002</v>
      </c>
      <c r="N125" s="43">
        <f>1152.6+1344.7</f>
        <v>2497.3000000000002</v>
      </c>
      <c r="O125" s="45"/>
      <c r="P125" s="113">
        <v>2</v>
      </c>
      <c r="Q125" s="114">
        <v>5186.7</v>
      </c>
      <c r="R125" s="270">
        <v>2</v>
      </c>
      <c r="S125" s="43">
        <f t="shared" si="8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9"/>
        <v>0</v>
      </c>
      <c r="N126" s="26"/>
      <c r="O126" s="100"/>
      <c r="P126" s="120"/>
      <c r="Q126" s="26"/>
      <c r="R126" s="27"/>
      <c r="S126" s="26">
        <f t="shared" si="8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9"/>
        <v>0</v>
      </c>
      <c r="N127" s="39"/>
      <c r="O127" s="41"/>
      <c r="P127" s="69"/>
      <c r="Q127" s="39"/>
      <c r="R127" s="40"/>
      <c r="S127" s="39">
        <f t="shared" si="8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7</v>
      </c>
      <c r="I128" s="62">
        <v>3</v>
      </c>
      <c r="J128" s="62">
        <v>4</v>
      </c>
      <c r="K128" s="30">
        <v>5641.85</v>
      </c>
      <c r="L128" s="205">
        <v>4</v>
      </c>
      <c r="M128" s="26">
        <f t="shared" si="9"/>
        <v>5641.85</v>
      </c>
      <c r="N128" s="30">
        <v>5641.85</v>
      </c>
      <c r="O128" s="243"/>
      <c r="P128" s="64">
        <v>4</v>
      </c>
      <c r="Q128" s="65">
        <v>10597.93</v>
      </c>
      <c r="R128" s="224">
        <v>4</v>
      </c>
      <c r="S128" s="50">
        <f t="shared" si="8"/>
        <v>10597.93</v>
      </c>
      <c r="T128" s="65">
        <v>10597.93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16"/>
      <c r="I129" s="38"/>
      <c r="J129" s="38"/>
      <c r="K129" s="39"/>
      <c r="L129" s="40"/>
      <c r="M129" s="39">
        <f t="shared" si="9"/>
        <v>0</v>
      </c>
      <c r="N129" s="39"/>
      <c r="O129" s="41"/>
      <c r="P129" s="67">
        <v>1</v>
      </c>
      <c r="Q129" s="68">
        <v>2305.1999999999998</v>
      </c>
      <c r="R129" s="285">
        <v>1</v>
      </c>
      <c r="S129" s="39">
        <f t="shared" si="8"/>
        <v>2305.1999999999998</v>
      </c>
      <c r="T129" s="39">
        <f>2305.2</f>
        <v>2305.1999999999998</v>
      </c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14</v>
      </c>
      <c r="I130" s="203">
        <v>9</v>
      </c>
      <c r="J130" s="203">
        <v>11</v>
      </c>
      <c r="K130" s="65">
        <v>26414.7</v>
      </c>
      <c r="L130" s="224">
        <v>10</v>
      </c>
      <c r="M130" s="50">
        <f t="shared" si="9"/>
        <v>25838.400000000001</v>
      </c>
      <c r="N130" s="65">
        <v>25838.400000000001</v>
      </c>
      <c r="O130" s="225"/>
      <c r="P130" s="108">
        <v>28</v>
      </c>
      <c r="Q130" s="65">
        <v>105938.63</v>
      </c>
      <c r="R130" s="224">
        <v>23</v>
      </c>
      <c r="S130" s="50">
        <f t="shared" si="8"/>
        <v>79211.47</v>
      </c>
      <c r="T130" s="65">
        <v>79211.47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9"/>
        <v>0</v>
      </c>
      <c r="N131" s="43"/>
      <c r="O131" s="41"/>
      <c r="P131" s="103"/>
      <c r="Q131" s="43"/>
      <c r="R131" s="44"/>
      <c r="S131" s="43">
        <f t="shared" si="8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11</v>
      </c>
      <c r="I132" s="62">
        <v>5</v>
      </c>
      <c r="J132" s="62">
        <v>6</v>
      </c>
      <c r="K132" s="30">
        <v>11483.56</v>
      </c>
      <c r="L132" s="205">
        <v>6</v>
      </c>
      <c r="M132" s="26">
        <f t="shared" si="9"/>
        <v>11483.56</v>
      </c>
      <c r="N132" s="30">
        <v>11483.56</v>
      </c>
      <c r="O132" s="31"/>
      <c r="P132" s="53">
        <v>14</v>
      </c>
      <c r="Q132" s="30">
        <v>53062.44</v>
      </c>
      <c r="R132" s="205">
        <v>13</v>
      </c>
      <c r="S132" s="26">
        <f t="shared" si="8"/>
        <v>52477.24</v>
      </c>
      <c r="T132" s="30">
        <v>52477.24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9"/>
        <v>0</v>
      </c>
      <c r="N133" s="39"/>
      <c r="O133" s="41"/>
      <c r="P133" s="59"/>
      <c r="Q133" s="39"/>
      <c r="R133" s="40"/>
      <c r="S133" s="39">
        <f t="shared" si="8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13</v>
      </c>
      <c r="I134" s="62">
        <v>9</v>
      </c>
      <c r="J134" s="62">
        <v>10</v>
      </c>
      <c r="K134" s="30">
        <v>16506.099999999999</v>
      </c>
      <c r="L134" s="205">
        <v>8</v>
      </c>
      <c r="M134" s="26">
        <f t="shared" si="9"/>
        <v>10751.27</v>
      </c>
      <c r="N134" s="30">
        <v>10751.27</v>
      </c>
      <c r="O134" s="31"/>
      <c r="P134" s="53">
        <v>25</v>
      </c>
      <c r="Q134" s="30">
        <v>40527.589999999997</v>
      </c>
      <c r="R134" s="205">
        <v>24</v>
      </c>
      <c r="S134" s="26">
        <f t="shared" si="8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5</v>
      </c>
      <c r="I135" s="208">
        <v>3</v>
      </c>
      <c r="J135" s="208">
        <v>3</v>
      </c>
      <c r="K135" s="209">
        <v>3668.91</v>
      </c>
      <c r="L135" s="290">
        <v>3</v>
      </c>
      <c r="M135" s="209">
        <v>3668.91</v>
      </c>
      <c r="N135" s="209">
        <v>3668.91</v>
      </c>
      <c r="O135" s="263"/>
      <c r="P135" s="262">
        <v>4</v>
      </c>
      <c r="Q135" s="209">
        <v>16712.7</v>
      </c>
      <c r="R135" s="290">
        <v>4</v>
      </c>
      <c r="S135" s="209">
        <v>16712.7</v>
      </c>
      <c r="T135" s="209">
        <v>16712.7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ref="M136:M149" si="10">N136+O136</f>
        <v>0</v>
      </c>
      <c r="N136" s="26"/>
      <c r="O136" s="28"/>
      <c r="P136" s="214"/>
      <c r="Q136" s="30"/>
      <c r="R136" s="205"/>
      <c r="S136" s="26">
        <f t="shared" ref="S136:S149" si="11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4</v>
      </c>
      <c r="I137" s="37"/>
      <c r="J137" s="37"/>
      <c r="K137" s="68"/>
      <c r="L137" s="40"/>
      <c r="M137" s="39">
        <f t="shared" si="10"/>
        <v>0</v>
      </c>
      <c r="N137" s="39"/>
      <c r="O137" s="41"/>
      <c r="P137" s="217"/>
      <c r="Q137" s="68"/>
      <c r="R137" s="285"/>
      <c r="S137" s="39">
        <f t="shared" si="11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19</v>
      </c>
      <c r="I138" s="266">
        <v>18</v>
      </c>
      <c r="J138" s="266">
        <v>23</v>
      </c>
      <c r="K138" s="79">
        <v>36303.949999999997</v>
      </c>
      <c r="L138" s="268">
        <v>21</v>
      </c>
      <c r="M138" s="81">
        <f t="shared" si="10"/>
        <v>34306.980000000003</v>
      </c>
      <c r="N138" s="79">
        <v>34306.980000000003</v>
      </c>
      <c r="O138" s="269"/>
      <c r="P138" s="267">
        <v>17</v>
      </c>
      <c r="Q138" s="79">
        <v>78816.3</v>
      </c>
      <c r="R138" s="268">
        <v>16</v>
      </c>
      <c r="S138" s="81">
        <f t="shared" si="11"/>
        <v>76490.14</v>
      </c>
      <c r="T138" s="79">
        <v>76490.14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10"/>
        <v>0</v>
      </c>
      <c r="N139" s="39"/>
      <c r="O139" s="41"/>
      <c r="P139" s="59"/>
      <c r="Q139" s="39"/>
      <c r="R139" s="40"/>
      <c r="S139" s="39">
        <f t="shared" si="11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14</v>
      </c>
      <c r="I140" s="203">
        <v>6</v>
      </c>
      <c r="J140" s="203">
        <v>9</v>
      </c>
      <c r="K140" s="65">
        <v>19328.72</v>
      </c>
      <c r="L140" s="224">
        <v>8</v>
      </c>
      <c r="M140" s="50">
        <f t="shared" si="10"/>
        <v>19328.72</v>
      </c>
      <c r="N140" s="65">
        <v>19328.72</v>
      </c>
      <c r="O140" s="225"/>
      <c r="P140" s="108">
        <v>52</v>
      </c>
      <c r="Q140" s="65">
        <v>311364.90999999997</v>
      </c>
      <c r="R140" s="224">
        <v>51</v>
      </c>
      <c r="S140" s="50">
        <f t="shared" si="11"/>
        <v>310160.71000000002</v>
      </c>
      <c r="T140" s="65">
        <v>310160.71000000002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10"/>
        <v>0</v>
      </c>
      <c r="N141" s="129"/>
      <c r="O141" s="45"/>
      <c r="P141" s="156"/>
      <c r="Q141" s="129"/>
      <c r="R141" s="128"/>
      <c r="S141" s="129">
        <f t="shared" si="11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10"/>
        <v>0</v>
      </c>
      <c r="N142" s="43"/>
      <c r="O142" s="41"/>
      <c r="P142" s="113">
        <v>2</v>
      </c>
      <c r="Q142" s="114">
        <v>6912.6</v>
      </c>
      <c r="R142" s="270">
        <v>3</v>
      </c>
      <c r="S142" s="43">
        <f t="shared" si="11"/>
        <v>9220.7999999999993</v>
      </c>
      <c r="T142" s="114">
        <f>2305.2+4226.2+2689.4</f>
        <v>9220.7999999999993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10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11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6</v>
      </c>
      <c r="I144" s="37">
        <v>3</v>
      </c>
      <c r="J144" s="37">
        <v>3</v>
      </c>
      <c r="K144" s="68">
        <v>3710.1</v>
      </c>
      <c r="L144" s="40"/>
      <c r="M144" s="39">
        <f t="shared" si="10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285">
        <v>2</v>
      </c>
      <c r="S144" s="39">
        <f t="shared" si="11"/>
        <v>2400.9499999999998</v>
      </c>
      <c r="T144" s="39">
        <f>1056.55+1344.4</f>
        <v>2400.9499999999998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8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10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11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285">
        <v>4</v>
      </c>
      <c r="M146" s="39">
        <f t="shared" si="10"/>
        <v>5220.5999999999995</v>
      </c>
      <c r="N146" s="39">
        <f>1578.8+1152.6+1152.6+1336.6</f>
        <v>5220.5999999999995</v>
      </c>
      <c r="O146" s="41"/>
      <c r="P146" s="115">
        <v>2</v>
      </c>
      <c r="Q146" s="68">
        <v>15088</v>
      </c>
      <c r="R146" s="285">
        <v>2</v>
      </c>
      <c r="S146" s="39">
        <f t="shared" si="11"/>
        <v>15088</v>
      </c>
      <c r="T146" s="39">
        <f>4034.1+11053.9</f>
        <v>15088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1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1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10"/>
        <v>0</v>
      </c>
      <c r="N148" s="43"/>
      <c r="O148" s="41"/>
      <c r="P148" s="103"/>
      <c r="Q148" s="43"/>
      <c r="R148" s="44"/>
      <c r="S148" s="43">
        <f t="shared" si="11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6</v>
      </c>
      <c r="I149" s="62">
        <v>2</v>
      </c>
      <c r="J149" s="62">
        <v>2</v>
      </c>
      <c r="K149" s="30">
        <v>2935.73</v>
      </c>
      <c r="L149" s="205">
        <v>2</v>
      </c>
      <c r="M149" s="26">
        <f t="shared" si="10"/>
        <v>2935.73</v>
      </c>
      <c r="N149" s="30">
        <v>2935.73</v>
      </c>
      <c r="O149" s="31"/>
      <c r="P149" s="53">
        <v>4</v>
      </c>
      <c r="Q149" s="30">
        <v>22885.21</v>
      </c>
      <c r="R149" s="205">
        <v>3</v>
      </c>
      <c r="S149" s="26">
        <f t="shared" si="11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3</v>
      </c>
      <c r="J150" s="130">
        <v>3</v>
      </c>
      <c r="K150" s="114">
        <v>2783</v>
      </c>
      <c r="L150" s="270">
        <v>2</v>
      </c>
      <c r="M150" s="114">
        <v>1728.9</v>
      </c>
      <c r="N150" s="114">
        <v>1728.9</v>
      </c>
      <c r="O150" s="234"/>
      <c r="P150" s="113">
        <v>3</v>
      </c>
      <c r="Q150" s="114">
        <v>7539.8</v>
      </c>
      <c r="R150" s="270">
        <v>3</v>
      </c>
      <c r="S150" s="114">
        <v>7539.8</v>
      </c>
      <c r="T150" s="114">
        <v>7539.8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10</v>
      </c>
      <c r="I151" s="62">
        <v>8</v>
      </c>
      <c r="J151" s="62">
        <v>10</v>
      </c>
      <c r="K151" s="30">
        <v>13129.56</v>
      </c>
      <c r="L151" s="205">
        <v>10</v>
      </c>
      <c r="M151" s="26">
        <f t="shared" ref="M151:M227" si="12">N151+O151</f>
        <v>13129.56</v>
      </c>
      <c r="N151" s="30">
        <v>13129.56</v>
      </c>
      <c r="O151" s="225"/>
      <c r="P151" s="53">
        <v>12</v>
      </c>
      <c r="Q151" s="30">
        <v>41109.72</v>
      </c>
      <c r="R151" s="205">
        <v>11</v>
      </c>
      <c r="S151" s="26">
        <f t="shared" ref="S151:S183" si="13">T151+U151</f>
        <v>39894.660000000003</v>
      </c>
      <c r="T151" s="30">
        <v>39894.660000000003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9</v>
      </c>
      <c r="I152" s="271">
        <v>4</v>
      </c>
      <c r="J152" s="271">
        <v>4</v>
      </c>
      <c r="K152" s="239">
        <v>9412.9</v>
      </c>
      <c r="L152" s="316">
        <v>3</v>
      </c>
      <c r="M152" s="129">
        <f t="shared" si="12"/>
        <v>4610.3999999999996</v>
      </c>
      <c r="N152" s="129">
        <f>1728.9+2305.2+576.3</f>
        <v>4610.3999999999996</v>
      </c>
      <c r="O152" s="45"/>
      <c r="P152" s="238">
        <v>7</v>
      </c>
      <c r="Q152" s="239">
        <v>11775.73</v>
      </c>
      <c r="R152" s="316">
        <v>6</v>
      </c>
      <c r="S152" s="129">
        <f t="shared" si="13"/>
        <v>10296.56</v>
      </c>
      <c r="T152" s="239">
        <f>288.15+6934.81+3073.6</f>
        <v>10296.56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12"/>
        <v>0</v>
      </c>
      <c r="N153" s="43"/>
      <c r="O153" s="41"/>
      <c r="P153" s="103"/>
      <c r="Q153" s="43"/>
      <c r="R153" s="44"/>
      <c r="S153" s="43">
        <f t="shared" si="1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 t="s">
        <v>39</v>
      </c>
      <c r="D154" s="374" t="s">
        <v>448</v>
      </c>
      <c r="E154" s="381" t="s">
        <v>23</v>
      </c>
      <c r="F154" s="232" t="s">
        <v>449</v>
      </c>
      <c r="G154" s="23" t="s">
        <v>24</v>
      </c>
      <c r="H154" s="61">
        <v>9</v>
      </c>
      <c r="I154" s="62">
        <v>6</v>
      </c>
      <c r="J154" s="62">
        <v>6</v>
      </c>
      <c r="K154" s="30">
        <v>16306.8</v>
      </c>
      <c r="L154" s="205">
        <v>6</v>
      </c>
      <c r="M154" s="26">
        <f t="shared" si="12"/>
        <v>16306.8</v>
      </c>
      <c r="N154" s="30">
        <v>16306.8</v>
      </c>
      <c r="O154" s="31"/>
      <c r="P154" s="53">
        <v>1</v>
      </c>
      <c r="Q154" s="30">
        <v>1415.78</v>
      </c>
      <c r="R154" s="205">
        <v>1</v>
      </c>
      <c r="S154" s="26">
        <f t="shared" si="13"/>
        <v>1415.78</v>
      </c>
      <c r="T154" s="30">
        <v>1415.78</v>
      </c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12"/>
        <v>0</v>
      </c>
      <c r="N155" s="39"/>
      <c r="O155" s="41"/>
      <c r="P155" s="59"/>
      <c r="Q155" s="39"/>
      <c r="R155" s="40"/>
      <c r="S155" s="39">
        <f t="shared" si="1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10</v>
      </c>
      <c r="I156" s="203">
        <v>6</v>
      </c>
      <c r="J156" s="203">
        <v>6</v>
      </c>
      <c r="K156" s="65">
        <v>8949.17</v>
      </c>
      <c r="L156" s="224">
        <v>8</v>
      </c>
      <c r="M156" s="50">
        <f t="shared" si="12"/>
        <v>9644.25</v>
      </c>
      <c r="N156" s="65">
        <v>9644.25</v>
      </c>
      <c r="O156" s="225"/>
      <c r="P156" s="108">
        <v>5</v>
      </c>
      <c r="Q156" s="65">
        <v>27150.720000000001</v>
      </c>
      <c r="R156" s="224">
        <v>5</v>
      </c>
      <c r="S156" s="50">
        <f t="shared" si="13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9</v>
      </c>
      <c r="I157" s="246">
        <v>3</v>
      </c>
      <c r="J157" s="246">
        <v>3</v>
      </c>
      <c r="K157" s="158">
        <v>7437.4</v>
      </c>
      <c r="L157" s="317">
        <v>2</v>
      </c>
      <c r="M157" s="142">
        <f t="shared" si="12"/>
        <v>4226.2</v>
      </c>
      <c r="N157" s="142">
        <f>1921+2305.2</f>
        <v>4226.2</v>
      </c>
      <c r="O157" s="45"/>
      <c r="P157" s="157">
        <v>4</v>
      </c>
      <c r="Q157" s="158">
        <v>8625.2900000000009</v>
      </c>
      <c r="R157" s="224">
        <v>5</v>
      </c>
      <c r="S157" s="50">
        <f t="shared" si="13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12"/>
        <v>0</v>
      </c>
      <c r="N158" s="43"/>
      <c r="O158" s="41"/>
      <c r="P158" s="103"/>
      <c r="Q158" s="43"/>
      <c r="R158" s="44"/>
      <c r="S158" s="43">
        <f t="shared" si="1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11</v>
      </c>
      <c r="I159" s="62">
        <v>5</v>
      </c>
      <c r="J159" s="62">
        <v>6</v>
      </c>
      <c r="K159" s="30">
        <v>13009.58</v>
      </c>
      <c r="L159" s="205">
        <v>5</v>
      </c>
      <c r="M159" s="26">
        <f t="shared" si="12"/>
        <v>8972.02</v>
      </c>
      <c r="N159" s="30">
        <v>8972.02</v>
      </c>
      <c r="O159" s="31"/>
      <c r="P159" s="53">
        <v>1</v>
      </c>
      <c r="Q159" s="30">
        <v>576.29999999999995</v>
      </c>
      <c r="R159" s="205">
        <v>2</v>
      </c>
      <c r="S159" s="26">
        <f t="shared" si="13"/>
        <v>3779.47</v>
      </c>
      <c r="T159" s="30">
        <v>3779.47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7</v>
      </c>
      <c r="I160" s="37">
        <v>3</v>
      </c>
      <c r="J160" s="37">
        <v>3</v>
      </c>
      <c r="K160" s="68">
        <v>3637.8</v>
      </c>
      <c r="L160" s="285">
        <v>1</v>
      </c>
      <c r="M160" s="39">
        <f t="shared" si="12"/>
        <v>576.29999999999995</v>
      </c>
      <c r="N160" s="39">
        <f>576.3</f>
        <v>576.29999999999995</v>
      </c>
      <c r="O160" s="41"/>
      <c r="P160" s="115">
        <v>2</v>
      </c>
      <c r="Q160" s="68">
        <v>3265.7</v>
      </c>
      <c r="R160" s="285">
        <v>2</v>
      </c>
      <c r="S160" s="39">
        <f t="shared" si="13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7</v>
      </c>
      <c r="I161" s="203">
        <v>5</v>
      </c>
      <c r="J161" s="203">
        <v>6</v>
      </c>
      <c r="K161" s="65">
        <v>13186.17</v>
      </c>
      <c r="L161" s="224">
        <v>6</v>
      </c>
      <c r="M161" s="50">
        <f t="shared" si="12"/>
        <v>13186.17</v>
      </c>
      <c r="N161" s="65">
        <v>13186.17</v>
      </c>
      <c r="O161" s="31"/>
      <c r="P161" s="108">
        <v>8</v>
      </c>
      <c r="Q161" s="65">
        <v>16335.71</v>
      </c>
      <c r="R161" s="224">
        <v>8</v>
      </c>
      <c r="S161" s="50">
        <f t="shared" si="13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3</v>
      </c>
      <c r="J162" s="130">
        <v>3</v>
      </c>
      <c r="K162" s="114">
        <v>5993.52</v>
      </c>
      <c r="L162" s="270">
        <v>4</v>
      </c>
      <c r="M162" s="43">
        <f t="shared" si="12"/>
        <v>7146.12</v>
      </c>
      <c r="N162" s="43">
        <f>3880.42+1344.7+1921</f>
        <v>7146.12</v>
      </c>
      <c r="O162" s="41"/>
      <c r="P162" s="113">
        <v>5</v>
      </c>
      <c r="Q162" s="114">
        <v>11814.15</v>
      </c>
      <c r="R162" s="270">
        <v>4</v>
      </c>
      <c r="S162" s="43">
        <f t="shared" si="13"/>
        <v>9893.15</v>
      </c>
      <c r="T162" s="114">
        <f>4802.5+2401.25+2689.4</f>
        <v>9893.15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13798.74</v>
      </c>
      <c r="L163" s="205">
        <v>6</v>
      </c>
      <c r="M163" s="26">
        <f t="shared" si="12"/>
        <v>13798.74</v>
      </c>
      <c r="N163" s="30">
        <v>13798.74</v>
      </c>
      <c r="O163" s="225"/>
      <c r="P163" s="53">
        <v>13</v>
      </c>
      <c r="Q163" s="30">
        <v>42590.99</v>
      </c>
      <c r="R163" s="205">
        <v>13</v>
      </c>
      <c r="S163" s="26">
        <f t="shared" si="13"/>
        <v>42590.99</v>
      </c>
      <c r="T163" s="30">
        <v>42590.99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6</v>
      </c>
      <c r="I164" s="130">
        <v>2</v>
      </c>
      <c r="J164" s="130">
        <v>2</v>
      </c>
      <c r="K164" s="114">
        <v>2331</v>
      </c>
      <c r="L164" s="270">
        <v>1</v>
      </c>
      <c r="M164" s="43">
        <f t="shared" si="12"/>
        <v>1728.9</v>
      </c>
      <c r="N164" s="43">
        <f>1728.9</f>
        <v>1728.9</v>
      </c>
      <c r="O164" s="45"/>
      <c r="P164" s="113">
        <v>4</v>
      </c>
      <c r="Q164" s="114">
        <v>9785.2000000000007</v>
      </c>
      <c r="R164" s="44"/>
      <c r="S164" s="43">
        <f t="shared" si="13"/>
        <v>10253.700000000001</v>
      </c>
      <c r="T164" s="114">
        <f>6269.7+3984</f>
        <v>10253.700000000001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8</v>
      </c>
      <c r="I165" s="62">
        <v>5</v>
      </c>
      <c r="J165" s="62">
        <v>6</v>
      </c>
      <c r="K165" s="30">
        <v>16681.05</v>
      </c>
      <c r="L165" s="205">
        <v>6</v>
      </c>
      <c r="M165" s="26">
        <f t="shared" si="12"/>
        <v>16681.05</v>
      </c>
      <c r="N165" s="30">
        <v>16681.05</v>
      </c>
      <c r="O165" s="159"/>
      <c r="P165" s="53">
        <v>3</v>
      </c>
      <c r="Q165" s="30">
        <v>20168.78</v>
      </c>
      <c r="R165" s="205">
        <v>3</v>
      </c>
      <c r="S165" s="26">
        <f t="shared" si="1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5</v>
      </c>
      <c r="I166" s="208">
        <v>1</v>
      </c>
      <c r="J166" s="208">
        <v>1</v>
      </c>
      <c r="K166" s="209">
        <v>1728</v>
      </c>
      <c r="L166" s="210"/>
      <c r="M166" s="211">
        <f t="shared" si="12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90">
        <v>5</v>
      </c>
      <c r="S166" s="211">
        <f t="shared" si="13"/>
        <v>13447</v>
      </c>
      <c r="T166" s="211">
        <f>4034.1+3073.6+5071.44+1267.86</f>
        <v>13447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3</v>
      </c>
      <c r="I167" s="62">
        <v>2</v>
      </c>
      <c r="J167" s="62">
        <v>4</v>
      </c>
      <c r="K167" s="30">
        <v>11800.29</v>
      </c>
      <c r="L167" s="205">
        <v>5</v>
      </c>
      <c r="M167" s="26">
        <f t="shared" si="12"/>
        <v>15627.55</v>
      </c>
      <c r="N167" s="30">
        <v>15627.55</v>
      </c>
      <c r="O167" s="28"/>
      <c r="P167" s="214"/>
      <c r="Q167" s="30"/>
      <c r="R167" s="205"/>
      <c r="S167" s="26">
        <f t="shared" si="1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12"/>
        <v>0</v>
      </c>
      <c r="N168" s="39"/>
      <c r="O168" s="41"/>
      <c r="P168" s="217"/>
      <c r="Q168" s="68"/>
      <c r="R168" s="285"/>
      <c r="S168" s="39">
        <f t="shared" si="1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7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12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13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12"/>
        <v>0</v>
      </c>
      <c r="N170" s="43"/>
      <c r="O170" s="45"/>
      <c r="P170" s="103"/>
      <c r="Q170" s="43"/>
      <c r="R170" s="44"/>
      <c r="S170" s="43">
        <f t="shared" si="1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4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12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13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12"/>
        <v>0</v>
      </c>
      <c r="N172" s="211"/>
      <c r="O172" s="212"/>
      <c r="P172" s="273"/>
      <c r="Q172" s="211"/>
      <c r="R172" s="210"/>
      <c r="S172" s="211">
        <f t="shared" si="1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>
        <v>3</v>
      </c>
      <c r="I173" s="62">
        <v>1</v>
      </c>
      <c r="J173" s="62">
        <v>1</v>
      </c>
      <c r="K173" s="30">
        <v>1285.1500000000001</v>
      </c>
      <c r="L173" s="205">
        <v>1</v>
      </c>
      <c r="M173" s="26">
        <f t="shared" si="12"/>
        <v>1285.1500000000001</v>
      </c>
      <c r="N173" s="30">
        <v>1285.1500000000001</v>
      </c>
      <c r="O173" s="28"/>
      <c r="P173" s="214"/>
      <c r="Q173" s="30"/>
      <c r="R173" s="205"/>
      <c r="S173" s="26">
        <f t="shared" si="1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12"/>
        <v>0</v>
      </c>
      <c r="N174" s="39"/>
      <c r="O174" s="41"/>
      <c r="P174" s="217"/>
      <c r="Q174" s="68"/>
      <c r="R174" s="285"/>
      <c r="S174" s="39">
        <f t="shared" si="1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3</v>
      </c>
      <c r="J175" s="266">
        <v>3</v>
      </c>
      <c r="K175" s="79">
        <v>3521.24</v>
      </c>
      <c r="L175" s="268">
        <v>3</v>
      </c>
      <c r="M175" s="81">
        <f t="shared" si="12"/>
        <v>3521.24</v>
      </c>
      <c r="N175" s="79">
        <v>3521.24</v>
      </c>
      <c r="O175" s="219"/>
      <c r="P175" s="267">
        <v>15</v>
      </c>
      <c r="Q175" s="79">
        <v>43575.18</v>
      </c>
      <c r="R175" s="268">
        <v>15</v>
      </c>
      <c r="S175" s="81">
        <f t="shared" si="13"/>
        <v>43575.18</v>
      </c>
      <c r="T175" s="79">
        <v>43575.18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3</v>
      </c>
      <c r="J176" s="130">
        <v>3</v>
      </c>
      <c r="K176" s="114">
        <v>10338.32</v>
      </c>
      <c r="L176" s="316">
        <v>1</v>
      </c>
      <c r="M176" s="50">
        <f t="shared" si="12"/>
        <v>2497.3000000000002</v>
      </c>
      <c r="N176" s="43">
        <f>2497.3</f>
        <v>2497.3000000000002</v>
      </c>
      <c r="O176" s="41"/>
      <c r="P176" s="113">
        <v>2</v>
      </c>
      <c r="Q176" s="114">
        <v>7924</v>
      </c>
      <c r="R176" s="270">
        <v>3</v>
      </c>
      <c r="S176" s="43">
        <f t="shared" si="13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8</v>
      </c>
      <c r="I177" s="62">
        <v>5</v>
      </c>
      <c r="J177" s="62">
        <v>5</v>
      </c>
      <c r="K177" s="30">
        <v>21141.24</v>
      </c>
      <c r="L177" s="205">
        <v>5</v>
      </c>
      <c r="M177" s="26">
        <f t="shared" si="12"/>
        <v>21141.24</v>
      </c>
      <c r="N177" s="30">
        <v>21141.24</v>
      </c>
      <c r="O177" s="225"/>
      <c r="P177" s="53">
        <v>10</v>
      </c>
      <c r="Q177" s="30">
        <v>30372.12</v>
      </c>
      <c r="R177" s="205">
        <v>10</v>
      </c>
      <c r="S177" s="26">
        <f t="shared" si="13"/>
        <v>30372.12</v>
      </c>
      <c r="T177" s="30">
        <v>30372.12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12"/>
        <v>0</v>
      </c>
      <c r="N178" s="43"/>
      <c r="O178" s="41"/>
      <c r="P178" s="115">
        <v>6</v>
      </c>
      <c r="Q178" s="68">
        <v>27573.17</v>
      </c>
      <c r="R178" s="285">
        <v>5</v>
      </c>
      <c r="S178" s="39">
        <f t="shared" si="13"/>
        <v>19344.469999999998</v>
      </c>
      <c r="T178" s="68">
        <f>576.3+15944.3+1479.17+1344.7</f>
        <v>19344.469999999998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15</v>
      </c>
      <c r="I179" s="62">
        <v>14</v>
      </c>
      <c r="J179" s="204">
        <v>17</v>
      </c>
      <c r="K179" s="30">
        <v>33571.980000000003</v>
      </c>
      <c r="L179" s="205">
        <v>17</v>
      </c>
      <c r="M179" s="26">
        <f t="shared" si="12"/>
        <v>33571.980000000003</v>
      </c>
      <c r="N179" s="30">
        <v>33571.980000000003</v>
      </c>
      <c r="O179" s="225"/>
      <c r="P179" s="108">
        <v>23</v>
      </c>
      <c r="Q179" s="65">
        <v>81517.899999999994</v>
      </c>
      <c r="R179" s="224">
        <v>22</v>
      </c>
      <c r="S179" s="50">
        <f t="shared" si="13"/>
        <v>79924.350000000006</v>
      </c>
      <c r="T179" s="65">
        <v>79924.350000000006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08">
        <v>1</v>
      </c>
      <c r="J180" s="208">
        <v>1</v>
      </c>
      <c r="K180" s="209">
        <v>3010.5</v>
      </c>
      <c r="L180" s="210"/>
      <c r="M180" s="211">
        <f t="shared" si="12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13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62">
        <v>1</v>
      </c>
      <c r="J181" s="62">
        <v>1</v>
      </c>
      <c r="K181" s="326">
        <v>662.31</v>
      </c>
      <c r="L181" s="327">
        <v>1</v>
      </c>
      <c r="M181" s="162">
        <f t="shared" si="12"/>
        <v>662.31</v>
      </c>
      <c r="N181" s="326">
        <v>662.31</v>
      </c>
      <c r="O181" s="28"/>
      <c r="P181" s="275"/>
      <c r="Q181" s="26"/>
      <c r="R181" s="27"/>
      <c r="S181" s="26">
        <f t="shared" si="1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4</v>
      </c>
      <c r="I182" s="37">
        <v>1</v>
      </c>
      <c r="J182" s="37">
        <v>1</v>
      </c>
      <c r="K182" s="318">
        <v>1056.22</v>
      </c>
      <c r="L182" s="165"/>
      <c r="M182" s="164">
        <f t="shared" si="12"/>
        <v>0</v>
      </c>
      <c r="N182" s="164"/>
      <c r="O182" s="41"/>
      <c r="P182" s="276"/>
      <c r="Q182" s="39"/>
      <c r="R182" s="40"/>
      <c r="S182" s="39">
        <f t="shared" si="1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12"/>
        <v>0</v>
      </c>
      <c r="N183" s="293"/>
      <c r="O183" s="82"/>
      <c r="P183" s="295"/>
      <c r="Q183" s="81"/>
      <c r="R183" s="80"/>
      <c r="S183" s="81">
        <f t="shared" si="1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12"/>
        <v>0</v>
      </c>
      <c r="N184" s="164"/>
      <c r="O184" s="41"/>
      <c r="P184" s="67">
        <v>4</v>
      </c>
      <c r="Q184" s="68">
        <v>19199.810000000001</v>
      </c>
      <c r="R184" s="285">
        <v>4</v>
      </c>
      <c r="S184" s="68">
        <v>19199.810000000001</v>
      </c>
      <c r="T184" s="68">
        <v>19199.810000000001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15</v>
      </c>
      <c r="I185" s="203">
        <v>13</v>
      </c>
      <c r="J185" s="203">
        <v>18</v>
      </c>
      <c r="K185" s="242">
        <v>41848.25</v>
      </c>
      <c r="L185" s="320">
        <v>19</v>
      </c>
      <c r="M185" s="166">
        <f t="shared" si="12"/>
        <v>42473.63</v>
      </c>
      <c r="N185" s="242">
        <v>42473.63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4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270">
        <v>1</v>
      </c>
      <c r="M186" s="43">
        <f t="shared" si="12"/>
        <v>1152.5999999999999</v>
      </c>
      <c r="N186" s="43">
        <f>1152.6</f>
        <v>1152.5999999999999</v>
      </c>
      <c r="O186" s="41"/>
      <c r="P186" s="113">
        <v>2</v>
      </c>
      <c r="Q186" s="114">
        <v>16904.8</v>
      </c>
      <c r="R186" s="270">
        <v>2</v>
      </c>
      <c r="S186" s="43">
        <f t="shared" si="14"/>
        <v>13639.1</v>
      </c>
      <c r="T186" s="114">
        <f>1921+11718.1</f>
        <v>13639.1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5</v>
      </c>
      <c r="I187" s="62">
        <v>4</v>
      </c>
      <c r="J187" s="62">
        <v>4</v>
      </c>
      <c r="K187" s="30">
        <v>5891.75</v>
      </c>
      <c r="L187" s="205">
        <v>4</v>
      </c>
      <c r="M187" s="26">
        <f t="shared" si="12"/>
        <v>5891.75</v>
      </c>
      <c r="N187" s="30">
        <v>5891.75</v>
      </c>
      <c r="O187" s="31"/>
      <c r="P187" s="53">
        <v>7</v>
      </c>
      <c r="Q187" s="30">
        <v>16748.509999999998</v>
      </c>
      <c r="R187" s="205">
        <v>7</v>
      </c>
      <c r="S187" s="26">
        <f t="shared" si="14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12"/>
        <v>0</v>
      </c>
      <c r="N188" s="39"/>
      <c r="O188" s="41"/>
      <c r="P188" s="59"/>
      <c r="Q188" s="39"/>
      <c r="R188" s="40"/>
      <c r="S188" s="39">
        <f t="shared" si="1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12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4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12"/>
        <v>0</v>
      </c>
      <c r="N190" s="43"/>
      <c r="O190" s="41"/>
      <c r="P190" s="113">
        <v>1</v>
      </c>
      <c r="Q190" s="114">
        <v>0</v>
      </c>
      <c r="R190" s="44"/>
      <c r="S190" s="43">
        <f t="shared" si="1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12"/>
        <v>0</v>
      </c>
      <c r="N191" s="26"/>
      <c r="O191" s="31"/>
      <c r="P191" s="120"/>
      <c r="Q191" s="26"/>
      <c r="R191" s="27"/>
      <c r="S191" s="26">
        <f t="shared" si="1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12"/>
        <v>0</v>
      </c>
      <c r="N192" s="39"/>
      <c r="O192" s="41"/>
      <c r="P192" s="6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9</v>
      </c>
      <c r="M193" s="50">
        <f t="shared" si="12"/>
        <v>22982.49</v>
      </c>
      <c r="N193" s="65">
        <v>22982.49</v>
      </c>
      <c r="O193" s="225"/>
      <c r="P193" s="108">
        <v>8</v>
      </c>
      <c r="Q193" s="65">
        <v>20431.349999999999</v>
      </c>
      <c r="R193" s="224">
        <v>8</v>
      </c>
      <c r="S193" s="50">
        <f t="shared" si="14"/>
        <v>20431.349999999999</v>
      </c>
      <c r="T193" s="65">
        <v>20431.349999999999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3</v>
      </c>
      <c r="I194" s="37">
        <v>3</v>
      </c>
      <c r="J194" s="37">
        <v>3</v>
      </c>
      <c r="K194" s="68">
        <v>4329.3999999999996</v>
      </c>
      <c r="L194" s="285">
        <v>1</v>
      </c>
      <c r="M194" s="39">
        <f t="shared" si="12"/>
        <v>1921</v>
      </c>
      <c r="N194" s="39">
        <f>1921</f>
        <v>1921</v>
      </c>
      <c r="O194" s="41"/>
      <c r="P194" s="59"/>
      <c r="Q194" s="39"/>
      <c r="R194" s="40"/>
      <c r="S194" s="39">
        <f t="shared" si="1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16</v>
      </c>
      <c r="I195" s="203">
        <v>16</v>
      </c>
      <c r="J195" s="203">
        <v>24</v>
      </c>
      <c r="K195" s="65">
        <v>46779.08</v>
      </c>
      <c r="L195" s="224">
        <v>24</v>
      </c>
      <c r="M195" s="50">
        <f t="shared" si="12"/>
        <v>46779.08</v>
      </c>
      <c r="N195" s="65">
        <v>46779.08</v>
      </c>
      <c r="O195" s="225"/>
      <c r="P195" s="108">
        <v>27</v>
      </c>
      <c r="Q195" s="65">
        <v>43490.11</v>
      </c>
      <c r="R195" s="224">
        <v>26</v>
      </c>
      <c r="S195" s="50">
        <f t="shared" si="14"/>
        <v>42356.26</v>
      </c>
      <c r="T195" s="65">
        <v>42356.26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6</v>
      </c>
      <c r="I196" s="130">
        <v>2</v>
      </c>
      <c r="J196" s="130">
        <v>2</v>
      </c>
      <c r="K196" s="114">
        <v>2401.25</v>
      </c>
      <c r="L196" s="316">
        <v>2</v>
      </c>
      <c r="M196" s="50">
        <f t="shared" si="12"/>
        <v>2401.25</v>
      </c>
      <c r="N196" s="43">
        <f>1056.55+1344.7</f>
        <v>2401.25</v>
      </c>
      <c r="O196" s="41"/>
      <c r="P196" s="113">
        <v>3</v>
      </c>
      <c r="Q196" s="114">
        <v>5551.69</v>
      </c>
      <c r="R196" s="270">
        <v>3</v>
      </c>
      <c r="S196" s="43">
        <f t="shared" si="14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7" t="s">
        <v>22</v>
      </c>
      <c r="D197" s="374"/>
      <c r="E197" s="374" t="s">
        <v>450</v>
      </c>
      <c r="F197" s="204" t="s">
        <v>451</v>
      </c>
      <c r="G197" s="23" t="s">
        <v>24</v>
      </c>
      <c r="H197" s="24">
        <v>8</v>
      </c>
      <c r="I197" s="25"/>
      <c r="J197" s="25"/>
      <c r="K197" s="26"/>
      <c r="L197" s="205">
        <v>2</v>
      </c>
      <c r="M197" s="26">
        <f t="shared" si="12"/>
        <v>3016.65</v>
      </c>
      <c r="N197" s="30">
        <v>3016.65</v>
      </c>
      <c r="O197" s="31"/>
      <c r="P197" s="53">
        <v>3</v>
      </c>
      <c r="Q197" s="30">
        <v>14217.44</v>
      </c>
      <c r="R197" s="205">
        <v>11</v>
      </c>
      <c r="S197" s="26">
        <f t="shared" si="14"/>
        <v>35207.21</v>
      </c>
      <c r="T197" s="30">
        <v>35207.21</v>
      </c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12"/>
        <v>0</v>
      </c>
      <c r="N198" s="39"/>
      <c r="O198" s="41"/>
      <c r="P198" s="59"/>
      <c r="Q198" s="39"/>
      <c r="R198" s="40"/>
      <c r="S198" s="39">
        <f t="shared" si="1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12"/>
        <v>0</v>
      </c>
      <c r="N199" s="50"/>
      <c r="O199" s="31"/>
      <c r="P199" s="123"/>
      <c r="Q199" s="50"/>
      <c r="R199" s="51"/>
      <c r="S199" s="50">
        <f t="shared" si="1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12"/>
        <v>0</v>
      </c>
      <c r="N200" s="50"/>
      <c r="O200" s="45"/>
      <c r="P200" s="123"/>
      <c r="Q200" s="50"/>
      <c r="R200" s="51"/>
      <c r="S200" s="50">
        <f t="shared" si="1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12"/>
        <v>0</v>
      </c>
      <c r="N201" s="43"/>
      <c r="O201" s="41"/>
      <c r="P201" s="113">
        <v>1</v>
      </c>
      <c r="Q201" s="114">
        <v>4602.5</v>
      </c>
      <c r="R201" s="270">
        <v>1</v>
      </c>
      <c r="S201" s="43">
        <f t="shared" si="1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12"/>
        <v>0</v>
      </c>
      <c r="N202" s="26"/>
      <c r="O202" s="31"/>
      <c r="P202" s="99"/>
      <c r="Q202" s="26"/>
      <c r="R202" s="27"/>
      <c r="S202" s="26">
        <f t="shared" si="1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4</v>
      </c>
      <c r="I203" s="57"/>
      <c r="J203" s="57"/>
      <c r="K203" s="43"/>
      <c r="L203" s="44"/>
      <c r="M203" s="43">
        <f t="shared" si="12"/>
        <v>0</v>
      </c>
      <c r="N203" s="43"/>
      <c r="O203" s="41"/>
      <c r="P203" s="113">
        <v>4</v>
      </c>
      <c r="Q203" s="114">
        <v>7395.85</v>
      </c>
      <c r="R203" s="270">
        <v>5</v>
      </c>
      <c r="S203" s="43">
        <f t="shared" si="14"/>
        <v>8452.4000000000015</v>
      </c>
      <c r="T203" s="114">
        <f>4034.1+1921+2497.3</f>
        <v>8452.4000000000015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12"/>
        <v>0</v>
      </c>
      <c r="N204" s="26"/>
      <c r="O204" s="31"/>
      <c r="P204" s="99"/>
      <c r="Q204" s="26"/>
      <c r="R204" s="27"/>
      <c r="S204" s="26">
        <f t="shared" si="1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12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454</v>
      </c>
      <c r="C206" s="377" t="s">
        <v>39</v>
      </c>
      <c r="D206" s="405" t="s">
        <v>455</v>
      </c>
      <c r="E206" s="381" t="s">
        <v>27</v>
      </c>
      <c r="F206" s="305"/>
      <c r="G206" s="23" t="s">
        <v>24</v>
      </c>
      <c r="H206" s="328"/>
      <c r="I206" s="71"/>
      <c r="J206" s="71"/>
      <c r="K206" s="93"/>
      <c r="L206" s="92"/>
      <c r="M206" s="26">
        <f t="shared" si="12"/>
        <v>0</v>
      </c>
      <c r="N206" s="93"/>
      <c r="O206" s="94"/>
      <c r="P206" s="329"/>
      <c r="Q206" s="91"/>
      <c r="R206" s="330"/>
      <c r="S206" s="26">
        <f t="shared" ref="S206:S222" si="15">T206+U206</f>
        <v>0</v>
      </c>
      <c r="T206" s="91"/>
      <c r="U206" s="3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406"/>
      <c r="E207" s="375"/>
      <c r="F207" s="235"/>
      <c r="G207" s="332" t="s">
        <v>28</v>
      </c>
      <c r="H207" s="333">
        <v>2</v>
      </c>
      <c r="I207" s="139"/>
      <c r="J207" s="139"/>
      <c r="K207" s="142"/>
      <c r="L207" s="143"/>
      <c r="M207" s="26">
        <f t="shared" si="12"/>
        <v>0</v>
      </c>
      <c r="N207" s="142"/>
      <c r="O207" s="142"/>
      <c r="P207" s="246"/>
      <c r="Q207" s="158"/>
      <c r="R207" s="317"/>
      <c r="S207" s="26">
        <f t="shared" si="15"/>
        <v>0</v>
      </c>
      <c r="T207" s="91"/>
      <c r="U207" s="3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166</v>
      </c>
      <c r="C208" s="381" t="s">
        <v>22</v>
      </c>
      <c r="D208" s="377"/>
      <c r="E208" s="381" t="s">
        <v>27</v>
      </c>
      <c r="F208" s="235" t="s">
        <v>420</v>
      </c>
      <c r="G208" s="332" t="s">
        <v>24</v>
      </c>
      <c r="H208" s="333">
        <v>1</v>
      </c>
      <c r="I208" s="139"/>
      <c r="J208" s="139"/>
      <c r="K208" s="142"/>
      <c r="L208" s="143"/>
      <c r="M208" s="142">
        <f t="shared" si="12"/>
        <v>0</v>
      </c>
      <c r="N208" s="142"/>
      <c r="O208" s="142"/>
      <c r="P208" s="246">
        <v>3</v>
      </c>
      <c r="Q208" s="158">
        <v>12689.15</v>
      </c>
      <c r="R208" s="317">
        <v>3</v>
      </c>
      <c r="S208" s="50">
        <f t="shared" si="15"/>
        <v>12689.15</v>
      </c>
      <c r="T208" s="65">
        <v>12689.15</v>
      </c>
      <c r="U208" s="225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6"/>
      <c r="G209" s="227" t="s">
        <v>28</v>
      </c>
      <c r="H209" s="334"/>
      <c r="I209" s="57"/>
      <c r="J209" s="57"/>
      <c r="K209" s="43"/>
      <c r="L209" s="44"/>
      <c r="M209" s="43">
        <f t="shared" si="12"/>
        <v>0</v>
      </c>
      <c r="N209" s="43"/>
      <c r="O209" s="45"/>
      <c r="P209" s="273"/>
      <c r="Q209" s="211"/>
      <c r="R209" s="210"/>
      <c r="S209" s="211">
        <f t="shared" si="15"/>
        <v>0</v>
      </c>
      <c r="T209" s="211"/>
      <c r="U209" s="21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167</v>
      </c>
      <c r="C210" s="374" t="s">
        <v>46</v>
      </c>
      <c r="D210" s="374" t="s">
        <v>168</v>
      </c>
      <c r="E210" s="374" t="s">
        <v>27</v>
      </c>
      <c r="F210" s="204" t="s">
        <v>421</v>
      </c>
      <c r="G210" s="176" t="s">
        <v>24</v>
      </c>
      <c r="H210" s="248">
        <v>4</v>
      </c>
      <c r="I210" s="62">
        <v>3</v>
      </c>
      <c r="J210" s="62">
        <v>3</v>
      </c>
      <c r="K210" s="30">
        <v>2022.81</v>
      </c>
      <c r="L210" s="205">
        <v>3</v>
      </c>
      <c r="M210" s="26">
        <f t="shared" si="12"/>
        <v>2022.81</v>
      </c>
      <c r="N210" s="30">
        <v>2022.81</v>
      </c>
      <c r="O210" s="308"/>
      <c r="P210" s="99"/>
      <c r="Q210" s="26"/>
      <c r="R210" s="27"/>
      <c r="S210" s="26">
        <f t="shared" si="15"/>
        <v>0</v>
      </c>
      <c r="T210" s="26"/>
      <c r="U210" s="28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247</v>
      </c>
      <c r="G211" s="229" t="s">
        <v>28</v>
      </c>
      <c r="H211" s="258">
        <v>5</v>
      </c>
      <c r="I211" s="37">
        <v>4</v>
      </c>
      <c r="J211" s="37">
        <v>4</v>
      </c>
      <c r="K211" s="68">
        <v>9389.9500000000007</v>
      </c>
      <c r="L211" s="285">
        <v>1</v>
      </c>
      <c r="M211" s="39">
        <f t="shared" si="12"/>
        <v>9086.33</v>
      </c>
      <c r="N211" s="39">
        <f>1985.09+7101.24</f>
        <v>9086.33</v>
      </c>
      <c r="O211" s="309"/>
      <c r="P211" s="310">
        <v>6</v>
      </c>
      <c r="Q211" s="245">
        <v>28151.200000000001</v>
      </c>
      <c r="R211" s="285">
        <v>5</v>
      </c>
      <c r="S211" s="39">
        <f t="shared" si="15"/>
        <v>12486.5</v>
      </c>
      <c r="T211" s="68">
        <f>4034.1+1152.6+2881.5+2497.3+1921</f>
        <v>12486.5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6"/>
      <c r="B212" s="377" t="s">
        <v>169</v>
      </c>
      <c r="C212" s="377" t="s">
        <v>39</v>
      </c>
      <c r="D212" s="377"/>
      <c r="E212" s="377" t="s">
        <v>27</v>
      </c>
      <c r="F212" s="72"/>
      <c r="G212" s="291" t="s">
        <v>24</v>
      </c>
      <c r="H212" s="98"/>
      <c r="I212" s="49"/>
      <c r="J212" s="49"/>
      <c r="K212" s="50"/>
      <c r="L212" s="51"/>
      <c r="M212" s="50">
        <f t="shared" si="12"/>
        <v>0</v>
      </c>
      <c r="N212" s="50"/>
      <c r="O212" s="31"/>
      <c r="P212" s="277"/>
      <c r="Q212" s="81"/>
      <c r="R212" s="80"/>
      <c r="S212" s="81">
        <f t="shared" si="15"/>
        <v>0</v>
      </c>
      <c r="T212" s="81"/>
      <c r="U212" s="21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0" t="s">
        <v>336</v>
      </c>
      <c r="G213" s="229" t="s">
        <v>28</v>
      </c>
      <c r="H213" s="153">
        <v>3</v>
      </c>
      <c r="I213" s="57"/>
      <c r="J213" s="57"/>
      <c r="K213" s="43"/>
      <c r="L213" s="44"/>
      <c r="M213" s="43">
        <f t="shared" si="12"/>
        <v>0</v>
      </c>
      <c r="N213" s="43"/>
      <c r="O213" s="41"/>
      <c r="P213" s="113">
        <v>1</v>
      </c>
      <c r="Q213" s="114">
        <v>3842</v>
      </c>
      <c r="R213" s="316">
        <v>1</v>
      </c>
      <c r="S213" s="50">
        <f t="shared" si="15"/>
        <v>3842</v>
      </c>
      <c r="T213" s="43">
        <f>3842</f>
        <v>3842</v>
      </c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170</v>
      </c>
      <c r="C214" s="374" t="s">
        <v>22</v>
      </c>
      <c r="D214" s="374"/>
      <c r="E214" s="374" t="s">
        <v>160</v>
      </c>
      <c r="F214" s="232" t="s">
        <v>248</v>
      </c>
      <c r="G214" s="23" t="s">
        <v>24</v>
      </c>
      <c r="H214" s="48">
        <v>15</v>
      </c>
      <c r="I214" s="62">
        <v>13</v>
      </c>
      <c r="J214" s="62">
        <v>20</v>
      </c>
      <c r="K214" s="30">
        <v>45826.94</v>
      </c>
      <c r="L214" s="205">
        <v>20</v>
      </c>
      <c r="M214" s="26">
        <f t="shared" si="12"/>
        <v>45826.94</v>
      </c>
      <c r="N214" s="30">
        <v>45826.94</v>
      </c>
      <c r="O214" s="225"/>
      <c r="P214" s="53">
        <v>20</v>
      </c>
      <c r="Q214" s="30">
        <v>64727.57</v>
      </c>
      <c r="R214" s="205">
        <v>20</v>
      </c>
      <c r="S214" s="26">
        <f t="shared" si="15"/>
        <v>64727.57</v>
      </c>
      <c r="T214" s="30">
        <v>64727.57</v>
      </c>
      <c r="U214" s="225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105"/>
      <c r="G215" s="35" t="s">
        <v>28</v>
      </c>
      <c r="H215" s="116"/>
      <c r="I215" s="38"/>
      <c r="J215" s="38"/>
      <c r="K215" s="39"/>
      <c r="L215" s="40"/>
      <c r="M215" s="39">
        <f t="shared" si="12"/>
        <v>0</v>
      </c>
      <c r="N215" s="39"/>
      <c r="O215" s="41"/>
      <c r="P215" s="59"/>
      <c r="Q215" s="39"/>
      <c r="R215" s="40"/>
      <c r="S215" s="39">
        <f t="shared" si="15"/>
        <v>0</v>
      </c>
      <c r="T215" s="39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171</v>
      </c>
      <c r="C216" s="374" t="s">
        <v>39</v>
      </c>
      <c r="D216" s="374" t="s">
        <v>374</v>
      </c>
      <c r="E216" s="374" t="s">
        <v>27</v>
      </c>
      <c r="F216" s="223" t="s">
        <v>375</v>
      </c>
      <c r="G216" s="176" t="s">
        <v>24</v>
      </c>
      <c r="H216" s="48">
        <v>4</v>
      </c>
      <c r="I216" s="203">
        <v>2</v>
      </c>
      <c r="J216" s="203">
        <v>2</v>
      </c>
      <c r="K216" s="65">
        <v>3169.65</v>
      </c>
      <c r="L216" s="224">
        <v>2</v>
      </c>
      <c r="M216" s="50">
        <f t="shared" si="12"/>
        <v>3169.65</v>
      </c>
      <c r="N216" s="65">
        <v>3169.65</v>
      </c>
      <c r="O216" s="31"/>
      <c r="P216" s="108">
        <v>6</v>
      </c>
      <c r="Q216" s="65">
        <v>16741.060000000001</v>
      </c>
      <c r="R216" s="224">
        <v>6</v>
      </c>
      <c r="S216" s="50">
        <f t="shared" si="15"/>
        <v>16741.060000000001</v>
      </c>
      <c r="T216" s="65">
        <v>16741.060000000001</v>
      </c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337</v>
      </c>
      <c r="G217" s="229" t="s">
        <v>28</v>
      </c>
      <c r="H217" s="133">
        <v>3</v>
      </c>
      <c r="I217" s="130">
        <v>1</v>
      </c>
      <c r="J217" s="130">
        <v>1</v>
      </c>
      <c r="K217" s="114">
        <v>3457.8</v>
      </c>
      <c r="L217" s="128"/>
      <c r="M217" s="50">
        <f t="shared" si="12"/>
        <v>0</v>
      </c>
      <c r="N217" s="43"/>
      <c r="O217" s="41"/>
      <c r="P217" s="113">
        <v>2</v>
      </c>
      <c r="Q217" s="114">
        <v>7299.8</v>
      </c>
      <c r="R217" s="270">
        <v>2</v>
      </c>
      <c r="S217" s="43">
        <f t="shared" si="15"/>
        <v>7299.7999999999993</v>
      </c>
      <c r="T217" s="43">
        <f>3073.6+4226.2</f>
        <v>7299.7999999999993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172</v>
      </c>
      <c r="C218" s="374" t="s">
        <v>39</v>
      </c>
      <c r="D218" s="374" t="s">
        <v>303</v>
      </c>
      <c r="E218" s="374" t="s">
        <v>121</v>
      </c>
      <c r="F218" s="204" t="s">
        <v>304</v>
      </c>
      <c r="G218" s="176" t="s">
        <v>24</v>
      </c>
      <c r="H218" s="48">
        <v>18</v>
      </c>
      <c r="I218" s="62">
        <v>9</v>
      </c>
      <c r="J218" s="62">
        <v>10</v>
      </c>
      <c r="K218" s="30">
        <v>7339.68</v>
      </c>
      <c r="L218" s="205">
        <v>10</v>
      </c>
      <c r="M218" s="26">
        <f t="shared" si="12"/>
        <v>7339.68</v>
      </c>
      <c r="N218" s="30">
        <v>7339.68</v>
      </c>
      <c r="O218" s="225"/>
      <c r="P218" s="53">
        <v>28</v>
      </c>
      <c r="Q218" s="30">
        <v>74352.649999999994</v>
      </c>
      <c r="R218" s="205">
        <v>26</v>
      </c>
      <c r="S218" s="26">
        <f t="shared" si="15"/>
        <v>73507.41</v>
      </c>
      <c r="T218" s="30">
        <v>73507.41</v>
      </c>
      <c r="U218" s="30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229" t="s">
        <v>25</v>
      </c>
      <c r="H219" s="102"/>
      <c r="I219" s="57"/>
      <c r="J219" s="57"/>
      <c r="K219" s="43"/>
      <c r="L219" s="44"/>
      <c r="M219" s="43">
        <f t="shared" si="12"/>
        <v>0</v>
      </c>
      <c r="N219" s="43"/>
      <c r="O219" s="41"/>
      <c r="P219" s="113">
        <v>1</v>
      </c>
      <c r="Q219" s="114">
        <v>1728.9</v>
      </c>
      <c r="R219" s="270">
        <v>1</v>
      </c>
      <c r="S219" s="43">
        <f t="shared" si="15"/>
        <v>1728.9</v>
      </c>
      <c r="T219" s="114">
        <v>1728.9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173</v>
      </c>
      <c r="C220" s="374" t="s">
        <v>39</v>
      </c>
      <c r="D220" s="374" t="s">
        <v>338</v>
      </c>
      <c r="E220" s="374" t="s">
        <v>121</v>
      </c>
      <c r="F220" s="232" t="s">
        <v>376</v>
      </c>
      <c r="G220" s="23" t="s">
        <v>24</v>
      </c>
      <c r="H220" s="61">
        <v>29</v>
      </c>
      <c r="I220" s="25"/>
      <c r="J220" s="25"/>
      <c r="K220" s="26"/>
      <c r="L220" s="27"/>
      <c r="M220" s="26">
        <f t="shared" si="12"/>
        <v>0</v>
      </c>
      <c r="N220" s="26"/>
      <c r="O220" s="31"/>
      <c r="P220" s="53">
        <v>6</v>
      </c>
      <c r="Q220" s="30">
        <v>5292.88</v>
      </c>
      <c r="R220" s="205">
        <v>5</v>
      </c>
      <c r="S220" s="26">
        <f t="shared" si="15"/>
        <v>4887.8599999999997</v>
      </c>
      <c r="T220" s="30">
        <v>4887.8599999999997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339</v>
      </c>
      <c r="G221" s="35" t="s">
        <v>25</v>
      </c>
      <c r="H221" s="117">
        <v>11</v>
      </c>
      <c r="I221" s="37">
        <v>1</v>
      </c>
      <c r="J221" s="37">
        <v>1</v>
      </c>
      <c r="K221" s="68">
        <v>1152.5999999999999</v>
      </c>
      <c r="L221" s="285">
        <v>1</v>
      </c>
      <c r="M221" s="39">
        <f t="shared" si="12"/>
        <v>1152.5999999999999</v>
      </c>
      <c r="N221" s="68">
        <v>1152.5999999999999</v>
      </c>
      <c r="O221" s="234"/>
      <c r="P221" s="115">
        <v>2</v>
      </c>
      <c r="Q221" s="68">
        <v>4942.5</v>
      </c>
      <c r="R221" s="285">
        <v>2</v>
      </c>
      <c r="S221" s="39">
        <f t="shared" si="15"/>
        <v>4942.5</v>
      </c>
      <c r="T221" s="68">
        <v>4942.5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174</v>
      </c>
      <c r="C222" s="374" t="s">
        <v>39</v>
      </c>
      <c r="D222" s="374" t="s">
        <v>175</v>
      </c>
      <c r="E222" s="374" t="s">
        <v>176</v>
      </c>
      <c r="F222" s="204" t="s">
        <v>377</v>
      </c>
      <c r="G222" s="176" t="s">
        <v>24</v>
      </c>
      <c r="H222" s="48">
        <v>12</v>
      </c>
      <c r="I222" s="203">
        <v>10</v>
      </c>
      <c r="J222" s="203">
        <v>11</v>
      </c>
      <c r="K222" s="65">
        <v>20832.330000000002</v>
      </c>
      <c r="L222" s="224">
        <v>11</v>
      </c>
      <c r="M222" s="50">
        <f t="shared" si="12"/>
        <v>20832.330000000002</v>
      </c>
      <c r="N222" s="65">
        <v>20832.330000000002</v>
      </c>
      <c r="O222" s="225"/>
      <c r="P222" s="108">
        <v>18</v>
      </c>
      <c r="Q222" s="65">
        <v>56598.95</v>
      </c>
      <c r="R222" s="224">
        <v>18</v>
      </c>
      <c r="S222" s="50">
        <f t="shared" si="15"/>
        <v>56598.95</v>
      </c>
      <c r="T222" s="65">
        <v>56598.95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220" t="s">
        <v>340</v>
      </c>
      <c r="G223" s="229" t="s">
        <v>25</v>
      </c>
      <c r="H223" s="153">
        <v>2</v>
      </c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9</v>
      </c>
      <c r="Q223" s="114">
        <v>44675.6</v>
      </c>
      <c r="R223" s="270">
        <v>9</v>
      </c>
      <c r="S223" s="114">
        <v>44675.6</v>
      </c>
      <c r="T223" s="114">
        <v>44675.6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177</v>
      </c>
      <c r="C224" s="377" t="s">
        <v>39</v>
      </c>
      <c r="D224" s="374" t="s">
        <v>226</v>
      </c>
      <c r="E224" s="374" t="s">
        <v>27</v>
      </c>
      <c r="F224" s="204" t="s">
        <v>227</v>
      </c>
      <c r="G224" s="23" t="s">
        <v>24</v>
      </c>
      <c r="H224" s="48">
        <v>5</v>
      </c>
      <c r="I224" s="62">
        <v>3</v>
      </c>
      <c r="J224" s="62">
        <v>3</v>
      </c>
      <c r="K224" s="30">
        <v>1969.94</v>
      </c>
      <c r="L224" s="205">
        <v>3</v>
      </c>
      <c r="M224" s="26">
        <f t="shared" si="12"/>
        <v>1969.94</v>
      </c>
      <c r="N224" s="30">
        <v>1969.94</v>
      </c>
      <c r="O224" s="225"/>
      <c r="P224" s="53">
        <v>16</v>
      </c>
      <c r="Q224" s="30">
        <v>53460.74</v>
      </c>
      <c r="R224" s="205">
        <v>16</v>
      </c>
      <c r="S224" s="26">
        <f t="shared" ref="S224:S227" si="16">T224+U224</f>
        <v>53460.74</v>
      </c>
      <c r="T224" s="30">
        <v>53460.74</v>
      </c>
      <c r="U224" s="225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80"/>
      <c r="D225" s="375"/>
      <c r="E225" s="375"/>
      <c r="F225" s="126"/>
      <c r="G225" s="55" t="s">
        <v>28</v>
      </c>
      <c r="H225" s="118"/>
      <c r="I225" s="57"/>
      <c r="J225" s="57"/>
      <c r="K225" s="43"/>
      <c r="L225" s="44"/>
      <c r="M225" s="43">
        <f t="shared" si="12"/>
        <v>0</v>
      </c>
      <c r="N225" s="43"/>
      <c r="O225" s="41"/>
      <c r="P225" s="103"/>
      <c r="Q225" s="43"/>
      <c r="R225" s="44"/>
      <c r="S225" s="43">
        <f t="shared" si="16"/>
        <v>0</v>
      </c>
      <c r="T225" s="43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178</v>
      </c>
      <c r="C226" s="374" t="s">
        <v>22</v>
      </c>
      <c r="D226" s="374"/>
      <c r="E226" s="374" t="s">
        <v>27</v>
      </c>
      <c r="F226" s="223" t="s">
        <v>452</v>
      </c>
      <c r="G226" s="176" t="s">
        <v>24</v>
      </c>
      <c r="H226" s="61">
        <v>3</v>
      </c>
      <c r="I226" s="62">
        <v>2</v>
      </c>
      <c r="J226" s="62">
        <v>2</v>
      </c>
      <c r="K226" s="30">
        <v>2387.8000000000002</v>
      </c>
      <c r="L226" s="205">
        <v>2</v>
      </c>
      <c r="M226" s="26">
        <f t="shared" si="12"/>
        <v>2387.8000000000002</v>
      </c>
      <c r="N226" s="30">
        <v>2387.8000000000002</v>
      </c>
      <c r="O226" s="31"/>
      <c r="P226" s="29">
        <v>1</v>
      </c>
      <c r="Q226" s="30">
        <v>2466.56</v>
      </c>
      <c r="R226" s="205">
        <v>1</v>
      </c>
      <c r="S226" s="26">
        <f t="shared" si="16"/>
        <v>2466.56</v>
      </c>
      <c r="T226" s="30">
        <v>2466.56</v>
      </c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21"/>
      <c r="G227" s="252" t="s">
        <v>28</v>
      </c>
      <c r="H227" s="322"/>
      <c r="I227" s="139"/>
      <c r="J227" s="139"/>
      <c r="K227" s="142"/>
      <c r="L227" s="143"/>
      <c r="M227" s="142">
        <f t="shared" si="12"/>
        <v>0</v>
      </c>
      <c r="N227" s="142"/>
      <c r="O227" s="323"/>
      <c r="P227" s="324"/>
      <c r="Q227" s="142"/>
      <c r="R227" s="143"/>
      <c r="S227" s="142">
        <f t="shared" si="16"/>
        <v>0</v>
      </c>
      <c r="T227" s="142"/>
      <c r="U227" s="323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445</v>
      </c>
      <c r="C228" s="374"/>
      <c r="D228" s="374"/>
      <c r="E228" s="374"/>
      <c r="F228" s="72"/>
      <c r="G228" s="176" t="s">
        <v>24</v>
      </c>
      <c r="H228" s="265"/>
      <c r="I228" s="266"/>
      <c r="J228" s="96"/>
      <c r="K228" s="81"/>
      <c r="L228" s="80"/>
      <c r="M228" s="81"/>
      <c r="N228" s="81"/>
      <c r="O228" s="82"/>
      <c r="P228" s="295"/>
      <c r="Q228" s="81"/>
      <c r="R228" s="80"/>
      <c r="S228" s="81"/>
      <c r="T228" s="81"/>
      <c r="U228" s="8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6"/>
      <c r="G229" s="252" t="s">
        <v>28</v>
      </c>
      <c r="H229" s="302">
        <v>1</v>
      </c>
      <c r="I229" s="261"/>
      <c r="J229" s="261"/>
      <c r="K229" s="211"/>
      <c r="L229" s="210"/>
      <c r="M229" s="211"/>
      <c r="N229" s="211"/>
      <c r="O229" s="212"/>
      <c r="P229" s="284"/>
      <c r="Q229" s="211"/>
      <c r="R229" s="210"/>
      <c r="S229" s="211"/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179</v>
      </c>
      <c r="C230" s="374"/>
      <c r="D230" s="374"/>
      <c r="E230" s="374" t="s">
        <v>27</v>
      </c>
      <c r="F230" s="22"/>
      <c r="G230" s="176" t="s">
        <v>24</v>
      </c>
      <c r="H230" s="61">
        <v>2</v>
      </c>
      <c r="I230" s="25"/>
      <c r="J230" s="25"/>
      <c r="K230" s="26"/>
      <c r="L230" s="27"/>
      <c r="M230" s="26">
        <f t="shared" ref="M230:M248" si="17">N230+O230</f>
        <v>0</v>
      </c>
      <c r="N230" s="26"/>
      <c r="O230" s="28"/>
      <c r="P230" s="120"/>
      <c r="Q230" s="26"/>
      <c r="R230" s="27"/>
      <c r="S230" s="26">
        <f t="shared" ref="S230:S248" si="18">T230+U230</f>
        <v>0</v>
      </c>
      <c r="T230" s="26"/>
      <c r="U230" s="28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29" t="s">
        <v>28</v>
      </c>
      <c r="H231" s="298"/>
      <c r="I231" s="261"/>
      <c r="J231" s="261"/>
      <c r="K231" s="211"/>
      <c r="L231" s="210"/>
      <c r="M231" s="211">
        <f t="shared" si="17"/>
        <v>0</v>
      </c>
      <c r="N231" s="211"/>
      <c r="O231" s="212"/>
      <c r="P231" s="284"/>
      <c r="Q231" s="211"/>
      <c r="R231" s="210"/>
      <c r="S231" s="211">
        <f t="shared" si="18"/>
        <v>0</v>
      </c>
      <c r="T231" s="211"/>
      <c r="U231" s="21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378</v>
      </c>
      <c r="C232" s="374" t="s">
        <v>46</v>
      </c>
      <c r="D232" s="374" t="s">
        <v>422</v>
      </c>
      <c r="E232" s="374" t="s">
        <v>27</v>
      </c>
      <c r="F232" s="232" t="s">
        <v>423</v>
      </c>
      <c r="G232" s="213" t="s">
        <v>24</v>
      </c>
      <c r="H232" s="61">
        <v>11</v>
      </c>
      <c r="I232" s="62">
        <v>7</v>
      </c>
      <c r="J232" s="62">
        <v>8</v>
      </c>
      <c r="K232" s="30">
        <v>8606.68</v>
      </c>
      <c r="L232" s="205">
        <v>8</v>
      </c>
      <c r="M232" s="26">
        <f t="shared" si="17"/>
        <v>8606.68</v>
      </c>
      <c r="N232" s="30">
        <v>8606.68</v>
      </c>
      <c r="O232" s="28"/>
      <c r="P232" s="214"/>
      <c r="Q232" s="30"/>
      <c r="R232" s="205"/>
      <c r="S232" s="26">
        <f t="shared" si="18"/>
        <v>0</v>
      </c>
      <c r="T232" s="30"/>
      <c r="U232" s="24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0"/>
      <c r="G233" s="215" t="s">
        <v>28</v>
      </c>
      <c r="H233" s="117">
        <v>5</v>
      </c>
      <c r="I233" s="37">
        <v>1</v>
      </c>
      <c r="J233" s="37">
        <v>1</v>
      </c>
      <c r="K233" s="68">
        <v>1152.5999999999999</v>
      </c>
      <c r="L233" s="40"/>
      <c r="M233" s="39">
        <f t="shared" si="17"/>
        <v>0</v>
      </c>
      <c r="N233" s="39"/>
      <c r="O233" s="41"/>
      <c r="P233" s="217"/>
      <c r="Q233" s="68"/>
      <c r="R233" s="285"/>
      <c r="S233" s="39">
        <f t="shared" si="18"/>
        <v>0</v>
      </c>
      <c r="T233" s="68"/>
      <c r="U233" s="23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6"/>
      <c r="B234" s="377" t="s">
        <v>180</v>
      </c>
      <c r="C234" s="377" t="s">
        <v>46</v>
      </c>
      <c r="D234" s="377" t="s">
        <v>181</v>
      </c>
      <c r="E234" s="377" t="s">
        <v>27</v>
      </c>
      <c r="F234" s="232" t="s">
        <v>228</v>
      </c>
      <c r="G234" s="95" t="s">
        <v>24</v>
      </c>
      <c r="H234" s="265">
        <v>12</v>
      </c>
      <c r="I234" s="266">
        <v>7</v>
      </c>
      <c r="J234" s="266">
        <v>8</v>
      </c>
      <c r="K234" s="79">
        <v>5763.01</v>
      </c>
      <c r="L234" s="268">
        <v>8</v>
      </c>
      <c r="M234" s="81">
        <f t="shared" si="17"/>
        <v>5763.01</v>
      </c>
      <c r="N234" s="79">
        <v>5763.01</v>
      </c>
      <c r="O234" s="219"/>
      <c r="P234" s="267">
        <v>14</v>
      </c>
      <c r="Q234" s="79">
        <v>65943.149999999994</v>
      </c>
      <c r="R234" s="268">
        <v>14</v>
      </c>
      <c r="S234" s="26">
        <f t="shared" si="18"/>
        <v>65943.149999999994</v>
      </c>
      <c r="T234" s="79">
        <v>65943.149999999994</v>
      </c>
      <c r="U234" s="269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9"/>
      <c r="B235" s="380"/>
      <c r="C235" s="380"/>
      <c r="D235" s="380"/>
      <c r="E235" s="380"/>
      <c r="F235" s="54"/>
      <c r="G235" s="55" t="s">
        <v>28</v>
      </c>
      <c r="H235" s="116"/>
      <c r="I235" s="57"/>
      <c r="J235" s="57"/>
      <c r="K235" s="43"/>
      <c r="L235" s="128"/>
      <c r="M235" s="50">
        <f t="shared" si="17"/>
        <v>0</v>
      </c>
      <c r="N235" s="43"/>
      <c r="O235" s="41"/>
      <c r="P235" s="113">
        <v>3</v>
      </c>
      <c r="Q235" s="114">
        <v>15175.95</v>
      </c>
      <c r="R235" s="270">
        <v>2</v>
      </c>
      <c r="S235" s="43">
        <f t="shared" si="18"/>
        <v>2209.1999999999998</v>
      </c>
      <c r="T235" s="114">
        <v>2209.1999999999998</v>
      </c>
      <c r="U235" s="4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182</v>
      </c>
      <c r="C236" s="374" t="s">
        <v>46</v>
      </c>
      <c r="D236" s="374" t="s">
        <v>181</v>
      </c>
      <c r="E236" s="374" t="s">
        <v>27</v>
      </c>
      <c r="F236" s="204" t="s">
        <v>379</v>
      </c>
      <c r="G236" s="23" t="s">
        <v>24</v>
      </c>
      <c r="H236" s="48">
        <v>16</v>
      </c>
      <c r="I236" s="62">
        <v>16</v>
      </c>
      <c r="J236" s="62">
        <v>18</v>
      </c>
      <c r="K236" s="30">
        <v>24999.53</v>
      </c>
      <c r="L236" s="205">
        <v>18</v>
      </c>
      <c r="M236" s="26">
        <f t="shared" si="17"/>
        <v>24999.53</v>
      </c>
      <c r="N236" s="30">
        <v>24999.53</v>
      </c>
      <c r="O236" s="31"/>
      <c r="P236" s="53">
        <v>11</v>
      </c>
      <c r="Q236" s="30">
        <v>66117.05</v>
      </c>
      <c r="R236" s="205">
        <v>10</v>
      </c>
      <c r="S236" s="26">
        <f t="shared" si="18"/>
        <v>58580.480000000003</v>
      </c>
      <c r="T236" s="30">
        <v>58580.480000000003</v>
      </c>
      <c r="U236" s="100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35" t="s">
        <v>28</v>
      </c>
      <c r="H237" s="116"/>
      <c r="I237" s="38"/>
      <c r="J237" s="38"/>
      <c r="K237" s="39"/>
      <c r="L237" s="40"/>
      <c r="M237" s="39">
        <f t="shared" si="17"/>
        <v>0</v>
      </c>
      <c r="N237" s="39"/>
      <c r="O237" s="41"/>
      <c r="P237" s="115">
        <v>2</v>
      </c>
      <c r="Q237" s="68">
        <v>4418.3</v>
      </c>
      <c r="R237" s="285">
        <v>1</v>
      </c>
      <c r="S237" s="39">
        <f t="shared" si="18"/>
        <v>3073.6</v>
      </c>
      <c r="T237" s="39">
        <f>3073.6</f>
        <v>3073.6</v>
      </c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82"/>
      <c r="B238" s="381" t="s">
        <v>183</v>
      </c>
      <c r="C238" s="381" t="s">
        <v>22</v>
      </c>
      <c r="D238" s="381"/>
      <c r="E238" s="381" t="s">
        <v>99</v>
      </c>
      <c r="F238" s="223" t="s">
        <v>380</v>
      </c>
      <c r="G238" s="23" t="s">
        <v>24</v>
      </c>
      <c r="H238" s="48">
        <v>6</v>
      </c>
      <c r="I238" s="203">
        <v>2</v>
      </c>
      <c r="J238" s="203">
        <v>3</v>
      </c>
      <c r="K238" s="65">
        <v>4599.43</v>
      </c>
      <c r="L238" s="224">
        <v>2</v>
      </c>
      <c r="M238" s="50">
        <f t="shared" si="17"/>
        <v>2320.1799999999998</v>
      </c>
      <c r="N238" s="65">
        <v>2320.1799999999998</v>
      </c>
      <c r="O238" s="31"/>
      <c r="P238" s="108">
        <v>11</v>
      </c>
      <c r="Q238" s="65">
        <v>20748.419999999998</v>
      </c>
      <c r="R238" s="224">
        <v>11</v>
      </c>
      <c r="S238" s="50">
        <f t="shared" si="18"/>
        <v>20748.419999999998</v>
      </c>
      <c r="T238" s="65">
        <v>20748.419999999998</v>
      </c>
      <c r="U238" s="225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252</v>
      </c>
      <c r="G239" s="227" t="s">
        <v>28</v>
      </c>
      <c r="H239" s="292">
        <v>6</v>
      </c>
      <c r="I239" s="208">
        <v>1</v>
      </c>
      <c r="J239" s="208">
        <v>1</v>
      </c>
      <c r="K239" s="209">
        <v>3073.6</v>
      </c>
      <c r="L239" s="210"/>
      <c r="M239" s="211">
        <f t="shared" si="17"/>
        <v>0</v>
      </c>
      <c r="N239" s="211"/>
      <c r="O239" s="212"/>
      <c r="P239" s="262">
        <v>3</v>
      </c>
      <c r="Q239" s="209">
        <v>7185.1</v>
      </c>
      <c r="R239" s="290">
        <v>1</v>
      </c>
      <c r="S239" s="211">
        <f t="shared" si="18"/>
        <v>4034.1</v>
      </c>
      <c r="T239" s="211">
        <f>4034.1</f>
        <v>4034.1</v>
      </c>
      <c r="U239" s="21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425</v>
      </c>
      <c r="C240" s="374" t="s">
        <v>22</v>
      </c>
      <c r="D240" s="374"/>
      <c r="E240" s="374" t="s">
        <v>131</v>
      </c>
      <c r="F240" s="204" t="s">
        <v>426</v>
      </c>
      <c r="G240" s="176" t="s">
        <v>24</v>
      </c>
      <c r="H240" s="61">
        <v>2</v>
      </c>
      <c r="I240" s="62">
        <v>1</v>
      </c>
      <c r="J240" s="62">
        <v>1</v>
      </c>
      <c r="K240" s="30">
        <v>2161.6999999999998</v>
      </c>
      <c r="L240" s="205">
        <v>2</v>
      </c>
      <c r="M240" s="26">
        <f t="shared" si="17"/>
        <v>3486.32</v>
      </c>
      <c r="N240" s="30">
        <v>3486.32</v>
      </c>
      <c r="O240" s="28"/>
      <c r="P240" s="275"/>
      <c r="Q240" s="26"/>
      <c r="R240" s="27"/>
      <c r="S240" s="26">
        <f t="shared" si="18"/>
        <v>0</v>
      </c>
      <c r="T240" s="26"/>
      <c r="U240" s="28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229" t="s">
        <v>25</v>
      </c>
      <c r="H241" s="106"/>
      <c r="I241" s="38"/>
      <c r="J241" s="38"/>
      <c r="K241" s="39"/>
      <c r="L241" s="40"/>
      <c r="M241" s="39">
        <f t="shared" si="17"/>
        <v>0</v>
      </c>
      <c r="N241" s="39"/>
      <c r="O241" s="41"/>
      <c r="P241" s="276"/>
      <c r="Q241" s="39"/>
      <c r="R241" s="40"/>
      <c r="S241" s="39">
        <f t="shared" si="18"/>
        <v>0</v>
      </c>
      <c r="T241" s="39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6"/>
      <c r="B242" s="377" t="s">
        <v>184</v>
      </c>
      <c r="C242" s="377" t="s">
        <v>22</v>
      </c>
      <c r="D242" s="377"/>
      <c r="E242" s="377" t="s">
        <v>27</v>
      </c>
      <c r="F242" s="223" t="s">
        <v>453</v>
      </c>
      <c r="G242" s="95" t="s">
        <v>24</v>
      </c>
      <c r="H242" s="265">
        <v>1</v>
      </c>
      <c r="I242" s="266">
        <v>1</v>
      </c>
      <c r="J242" s="266">
        <v>1</v>
      </c>
      <c r="K242" s="79">
        <v>950.9</v>
      </c>
      <c r="L242" s="268">
        <v>1</v>
      </c>
      <c r="M242" s="81">
        <f t="shared" si="17"/>
        <v>950.9</v>
      </c>
      <c r="N242" s="79">
        <v>950.9</v>
      </c>
      <c r="O242" s="219"/>
      <c r="P242" s="277"/>
      <c r="Q242" s="81"/>
      <c r="R242" s="80"/>
      <c r="S242" s="81">
        <f t="shared" si="18"/>
        <v>0</v>
      </c>
      <c r="T242" s="81"/>
      <c r="U242" s="219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253</v>
      </c>
      <c r="G243" s="227" t="s">
        <v>28</v>
      </c>
      <c r="H243" s="153">
        <v>4</v>
      </c>
      <c r="I243" s="130">
        <v>3</v>
      </c>
      <c r="J243" s="130">
        <v>3</v>
      </c>
      <c r="K243" s="114">
        <v>8675.82</v>
      </c>
      <c r="L243" s="270">
        <v>2</v>
      </c>
      <c r="M243" s="43">
        <f t="shared" si="17"/>
        <v>5301.96</v>
      </c>
      <c r="N243" s="43">
        <f>1921+3380.96</f>
        <v>5301.96</v>
      </c>
      <c r="O243" s="41"/>
      <c r="P243" s="113">
        <v>5</v>
      </c>
      <c r="Q243" s="114">
        <v>10565.5</v>
      </c>
      <c r="R243" s="270">
        <v>3</v>
      </c>
      <c r="S243" s="43">
        <f t="shared" si="18"/>
        <v>7684</v>
      </c>
      <c r="T243" s="114">
        <f>2958.34+3457.8+1267.86</f>
        <v>7684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185</v>
      </c>
      <c r="C244" s="374" t="s">
        <v>22</v>
      </c>
      <c r="D244" s="374"/>
      <c r="E244" s="374" t="s">
        <v>27</v>
      </c>
      <c r="F244" s="204" t="s">
        <v>341</v>
      </c>
      <c r="G244" s="176" t="s">
        <v>24</v>
      </c>
      <c r="H244" s="98"/>
      <c r="I244" s="25"/>
      <c r="J244" s="25"/>
      <c r="K244" s="26"/>
      <c r="L244" s="27"/>
      <c r="M244" s="26">
        <f t="shared" si="17"/>
        <v>0</v>
      </c>
      <c r="N244" s="26"/>
      <c r="O244" s="31"/>
      <c r="P244" s="53">
        <v>2</v>
      </c>
      <c r="Q244" s="30">
        <v>2633.4</v>
      </c>
      <c r="R244" s="205">
        <v>2</v>
      </c>
      <c r="S244" s="26">
        <f t="shared" si="18"/>
        <v>2633.4</v>
      </c>
      <c r="T244" s="30">
        <v>2633.4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342</v>
      </c>
      <c r="G245" s="229" t="s">
        <v>28</v>
      </c>
      <c r="H245" s="133">
        <v>3</v>
      </c>
      <c r="I245" s="57"/>
      <c r="J245" s="57"/>
      <c r="K245" s="43"/>
      <c r="L245" s="44"/>
      <c r="M245" s="43">
        <f t="shared" si="17"/>
        <v>0</v>
      </c>
      <c r="N245" s="43"/>
      <c r="O245" s="41"/>
      <c r="P245" s="113">
        <v>2</v>
      </c>
      <c r="Q245" s="114">
        <v>4198.67</v>
      </c>
      <c r="R245" s="270">
        <v>1</v>
      </c>
      <c r="S245" s="43">
        <f t="shared" si="18"/>
        <v>2994.47</v>
      </c>
      <c r="T245" s="43">
        <f>2994.47</f>
        <v>2994.47</v>
      </c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186</v>
      </c>
      <c r="C246" s="374" t="s">
        <v>22</v>
      </c>
      <c r="D246" s="374"/>
      <c r="E246" s="374" t="s">
        <v>99</v>
      </c>
      <c r="F246" s="232" t="s">
        <v>315</v>
      </c>
      <c r="G246" s="23" t="s">
        <v>24</v>
      </c>
      <c r="H246" s="48">
        <v>7</v>
      </c>
      <c r="I246" s="62">
        <v>4</v>
      </c>
      <c r="J246" s="62">
        <v>6</v>
      </c>
      <c r="K246" s="30">
        <v>15409.25</v>
      </c>
      <c r="L246" s="205">
        <v>5</v>
      </c>
      <c r="M246" s="26">
        <f t="shared" si="17"/>
        <v>12320.28</v>
      </c>
      <c r="N246" s="30">
        <v>12320.28</v>
      </c>
      <c r="O246" s="31"/>
      <c r="P246" s="53">
        <v>12</v>
      </c>
      <c r="Q246" s="30">
        <v>25258.31</v>
      </c>
      <c r="R246" s="205">
        <v>12</v>
      </c>
      <c r="S246" s="26">
        <f t="shared" si="18"/>
        <v>25258.31</v>
      </c>
      <c r="T246" s="30">
        <v>25258.31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254</v>
      </c>
      <c r="G247" s="35" t="s">
        <v>28</v>
      </c>
      <c r="H247" s="153">
        <v>8</v>
      </c>
      <c r="I247" s="38"/>
      <c r="J247" s="38"/>
      <c r="K247" s="39"/>
      <c r="L247" s="40"/>
      <c r="M247" s="39">
        <f t="shared" si="17"/>
        <v>0</v>
      </c>
      <c r="N247" s="39"/>
      <c r="O247" s="41"/>
      <c r="P247" s="59"/>
      <c r="Q247" s="39"/>
      <c r="R247" s="40"/>
      <c r="S247" s="39">
        <f t="shared" si="18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187</v>
      </c>
      <c r="C248" s="381" t="s">
        <v>22</v>
      </c>
      <c r="D248" s="381"/>
      <c r="E248" s="381" t="s">
        <v>131</v>
      </c>
      <c r="F248" s="223" t="s">
        <v>343</v>
      </c>
      <c r="G248" s="23" t="s">
        <v>24</v>
      </c>
      <c r="H248" s="48">
        <v>13</v>
      </c>
      <c r="I248" s="203">
        <v>11</v>
      </c>
      <c r="J248" s="203">
        <v>16</v>
      </c>
      <c r="K248" s="65">
        <v>32555.18</v>
      </c>
      <c r="L248" s="224">
        <v>13</v>
      </c>
      <c r="M248" s="50">
        <f t="shared" si="17"/>
        <v>25793.23</v>
      </c>
      <c r="N248" s="65">
        <v>25793.23</v>
      </c>
      <c r="O248" s="225"/>
      <c r="P248" s="108">
        <v>18</v>
      </c>
      <c r="Q248" s="65">
        <v>50634.13</v>
      </c>
      <c r="R248" s="224">
        <v>18</v>
      </c>
      <c r="S248" s="50">
        <f t="shared" si="18"/>
        <v>50634.13</v>
      </c>
      <c r="T248" s="65">
        <v>50634.13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9"/>
      <c r="B249" s="380"/>
      <c r="C249" s="380"/>
      <c r="D249" s="380"/>
      <c r="E249" s="380"/>
      <c r="F249" s="247"/>
      <c r="G249" s="227" t="s">
        <v>25</v>
      </c>
      <c r="H249" s="153">
        <v>1</v>
      </c>
      <c r="I249" s="130">
        <v>1</v>
      </c>
      <c r="J249" s="130">
        <v>1</v>
      </c>
      <c r="K249" s="114">
        <v>1728.9</v>
      </c>
      <c r="L249" s="270">
        <v>1</v>
      </c>
      <c r="M249" s="114">
        <v>1728.9</v>
      </c>
      <c r="N249" s="114">
        <v>1728.9</v>
      </c>
      <c r="O249" s="41"/>
      <c r="P249" s="113">
        <v>4</v>
      </c>
      <c r="Q249" s="114">
        <v>30582.32</v>
      </c>
      <c r="R249" s="270">
        <v>3</v>
      </c>
      <c r="S249" s="114">
        <v>23282.52</v>
      </c>
      <c r="T249" s="114">
        <v>23282.52</v>
      </c>
      <c r="U249" s="23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429</v>
      </c>
      <c r="C250" s="374" t="s">
        <v>22</v>
      </c>
      <c r="D250" s="374"/>
      <c r="E250" s="374" t="s">
        <v>27</v>
      </c>
      <c r="F250" s="204" t="s">
        <v>446</v>
      </c>
      <c r="G250" s="176" t="s">
        <v>24</v>
      </c>
      <c r="H250" s="151"/>
      <c r="I250" s="25"/>
      <c r="J250" s="25"/>
      <c r="K250" s="26"/>
      <c r="L250" s="27"/>
      <c r="M250" s="26">
        <f t="shared" ref="M250:M283" si="19">N250+O250</f>
        <v>0</v>
      </c>
      <c r="N250" s="30"/>
      <c r="O250" s="31"/>
      <c r="P250" s="53">
        <v>1</v>
      </c>
      <c r="Q250" s="30">
        <v>36784.050000000003</v>
      </c>
      <c r="R250" s="205">
        <v>1</v>
      </c>
      <c r="S250" s="26">
        <f t="shared" ref="S250:S276" si="20">T250+U250</f>
        <v>36784.050000000003</v>
      </c>
      <c r="T250" s="30">
        <v>36784.050000000003</v>
      </c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/>
      <c r="G251" s="229" t="s">
        <v>28</v>
      </c>
      <c r="H251" s="56"/>
      <c r="I251" s="57"/>
      <c r="J251" s="57"/>
      <c r="K251" s="43"/>
      <c r="L251" s="44"/>
      <c r="M251" s="43">
        <f t="shared" si="19"/>
        <v>0</v>
      </c>
      <c r="N251" s="43"/>
      <c r="O251" s="45"/>
      <c r="P251" s="113"/>
      <c r="Q251" s="114"/>
      <c r="R251" s="44"/>
      <c r="S251" s="43">
        <f t="shared" si="20"/>
        <v>0</v>
      </c>
      <c r="T251" s="114"/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188</v>
      </c>
      <c r="C252" s="374" t="s">
        <v>39</v>
      </c>
      <c r="D252" s="374"/>
      <c r="E252" s="374" t="s">
        <v>27</v>
      </c>
      <c r="F252" s="22"/>
      <c r="G252" s="176" t="s">
        <v>24</v>
      </c>
      <c r="H252" s="151">
        <v>2</v>
      </c>
      <c r="I252" s="25"/>
      <c r="J252" s="25"/>
      <c r="K252" s="26"/>
      <c r="L252" s="27"/>
      <c r="M252" s="26">
        <f t="shared" si="19"/>
        <v>0</v>
      </c>
      <c r="N252" s="26"/>
      <c r="O252" s="31"/>
      <c r="P252" s="53">
        <v>1</v>
      </c>
      <c r="Q252" s="30">
        <v>2000</v>
      </c>
      <c r="R252" s="27"/>
      <c r="S252" s="26">
        <f t="shared" si="20"/>
        <v>0</v>
      </c>
      <c r="T252" s="26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20.25" customHeight="1">
      <c r="A253" s="373"/>
      <c r="B253" s="375"/>
      <c r="C253" s="375"/>
      <c r="D253" s="375"/>
      <c r="E253" s="375"/>
      <c r="F253" s="220" t="s">
        <v>344</v>
      </c>
      <c r="G253" s="229" t="s">
        <v>28</v>
      </c>
      <c r="H253" s="56">
        <v>3</v>
      </c>
      <c r="I253" s="130">
        <v>1</v>
      </c>
      <c r="J253" s="130">
        <v>1</v>
      </c>
      <c r="K253" s="114">
        <v>1052.5999999999999</v>
      </c>
      <c r="L253" s="44"/>
      <c r="M253" s="43">
        <f t="shared" si="19"/>
        <v>0</v>
      </c>
      <c r="N253" s="43"/>
      <c r="O253" s="222">
        <v>0</v>
      </c>
      <c r="P253" s="113">
        <v>13</v>
      </c>
      <c r="Q253" s="114">
        <v>15160.1</v>
      </c>
      <c r="R253" s="44"/>
      <c r="S253" s="43">
        <f t="shared" si="20"/>
        <v>4050.2</v>
      </c>
      <c r="T253" s="114">
        <v>4050.2</v>
      </c>
      <c r="U253" s="222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189</v>
      </c>
      <c r="C254" s="374" t="s">
        <v>39</v>
      </c>
      <c r="D254" s="374" t="s">
        <v>427</v>
      </c>
      <c r="E254" s="374" t="s">
        <v>27</v>
      </c>
      <c r="F254" s="232" t="s">
        <v>428</v>
      </c>
      <c r="G254" s="23" t="s">
        <v>24</v>
      </c>
      <c r="H254" s="24">
        <v>15</v>
      </c>
      <c r="I254" s="62">
        <v>12</v>
      </c>
      <c r="J254" s="62">
        <v>16</v>
      </c>
      <c r="K254" s="30">
        <v>30360.41</v>
      </c>
      <c r="L254" s="205">
        <v>16</v>
      </c>
      <c r="M254" s="26">
        <f t="shared" si="19"/>
        <v>30275.46</v>
      </c>
      <c r="N254" s="30">
        <v>30275.46</v>
      </c>
      <c r="O254" s="241"/>
      <c r="P254" s="29">
        <v>2</v>
      </c>
      <c r="Q254" s="30">
        <v>1870.81</v>
      </c>
      <c r="R254" s="205">
        <v>2</v>
      </c>
      <c r="S254" s="26">
        <f t="shared" si="20"/>
        <v>1870.81</v>
      </c>
      <c r="T254" s="30">
        <v>1870.81</v>
      </c>
      <c r="U254" s="2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256</v>
      </c>
      <c r="G255" s="35" t="s">
        <v>28</v>
      </c>
      <c r="H255" s="66">
        <v>4</v>
      </c>
      <c r="I255" s="37">
        <v>1</v>
      </c>
      <c r="J255" s="37">
        <v>1</v>
      </c>
      <c r="K255" s="68">
        <v>1921</v>
      </c>
      <c r="L255" s="40"/>
      <c r="M255" s="39">
        <f t="shared" si="19"/>
        <v>0</v>
      </c>
      <c r="N255" s="39"/>
      <c r="O255" s="41"/>
      <c r="P255" s="69"/>
      <c r="Q255" s="39"/>
      <c r="R255" s="40"/>
      <c r="S255" s="39">
        <f t="shared" si="20"/>
        <v>0</v>
      </c>
      <c r="T255" s="39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190</v>
      </c>
      <c r="C256" s="381" t="s">
        <v>39</v>
      </c>
      <c r="D256" s="381" t="s">
        <v>191</v>
      </c>
      <c r="E256" s="381" t="s">
        <v>27</v>
      </c>
      <c r="F256" s="46"/>
      <c r="G256" s="47" t="s">
        <v>24</v>
      </c>
      <c r="H256" s="98"/>
      <c r="I256" s="49"/>
      <c r="J256" s="49"/>
      <c r="K256" s="50"/>
      <c r="L256" s="51"/>
      <c r="M256" s="50">
        <f t="shared" si="19"/>
        <v>0</v>
      </c>
      <c r="N256" s="50"/>
      <c r="O256" s="31"/>
      <c r="P256" s="123"/>
      <c r="Q256" s="50"/>
      <c r="R256" s="51"/>
      <c r="S256" s="50">
        <f t="shared" si="20"/>
        <v>0</v>
      </c>
      <c r="T256" s="50"/>
      <c r="U256" s="3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345</v>
      </c>
      <c r="G257" s="35" t="s">
        <v>28</v>
      </c>
      <c r="H257" s="112">
        <v>2</v>
      </c>
      <c r="I257" s="57"/>
      <c r="J257" s="57"/>
      <c r="K257" s="43"/>
      <c r="L257" s="44"/>
      <c r="M257" s="43">
        <f t="shared" si="19"/>
        <v>0</v>
      </c>
      <c r="N257" s="43"/>
      <c r="O257" s="45"/>
      <c r="P257" s="115">
        <v>4</v>
      </c>
      <c r="Q257" s="68">
        <v>5106.7</v>
      </c>
      <c r="R257" s="285">
        <v>5</v>
      </c>
      <c r="S257" s="39">
        <f t="shared" si="20"/>
        <v>6739.58</v>
      </c>
      <c r="T257" s="68">
        <f>3818+2921.58</f>
        <v>6739.58</v>
      </c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192</v>
      </c>
      <c r="C258" s="374" t="s">
        <v>22</v>
      </c>
      <c r="D258" s="374"/>
      <c r="E258" s="374" t="s">
        <v>193</v>
      </c>
      <c r="F258" s="204" t="s">
        <v>318</v>
      </c>
      <c r="G258" s="176" t="s">
        <v>24</v>
      </c>
      <c r="H258" s="61">
        <v>10</v>
      </c>
      <c r="I258" s="62">
        <v>8</v>
      </c>
      <c r="J258" s="62">
        <v>9</v>
      </c>
      <c r="K258" s="30">
        <v>9532.68</v>
      </c>
      <c r="L258" s="205">
        <v>10</v>
      </c>
      <c r="M258" s="26">
        <f t="shared" si="19"/>
        <v>12465.79</v>
      </c>
      <c r="N258" s="30">
        <v>12465.79</v>
      </c>
      <c r="O258" s="100"/>
      <c r="P258" s="64">
        <v>20</v>
      </c>
      <c r="Q258" s="65">
        <v>52299.07</v>
      </c>
      <c r="R258" s="224">
        <v>20</v>
      </c>
      <c r="S258" s="50">
        <f t="shared" si="20"/>
        <v>52584.43</v>
      </c>
      <c r="T258" s="65">
        <v>52584.43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346</v>
      </c>
      <c r="G259" s="229" t="s">
        <v>28</v>
      </c>
      <c r="H259" s="133">
        <v>1</v>
      </c>
      <c r="I259" s="37">
        <v>1</v>
      </c>
      <c r="J259" s="37">
        <v>1</v>
      </c>
      <c r="K259" s="68">
        <v>1728.9</v>
      </c>
      <c r="L259" s="285">
        <v>1</v>
      </c>
      <c r="M259" s="39">
        <f t="shared" si="19"/>
        <v>1728.9</v>
      </c>
      <c r="N259" s="39">
        <f>1728.9</f>
        <v>1728.9</v>
      </c>
      <c r="O259" s="41"/>
      <c r="P259" s="42"/>
      <c r="Q259" s="43"/>
      <c r="R259" s="44"/>
      <c r="S259" s="43">
        <f t="shared" si="20"/>
        <v>0</v>
      </c>
      <c r="T259" s="43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194</v>
      </c>
      <c r="C260" s="377" t="s">
        <v>39</v>
      </c>
      <c r="D260" s="377" t="s">
        <v>319</v>
      </c>
      <c r="E260" s="374" t="s">
        <v>160</v>
      </c>
      <c r="F260" s="232" t="s">
        <v>320</v>
      </c>
      <c r="G260" s="23" t="s">
        <v>24</v>
      </c>
      <c r="H260" s="48">
        <v>5</v>
      </c>
      <c r="I260" s="203">
        <v>4</v>
      </c>
      <c r="J260" s="203">
        <v>4</v>
      </c>
      <c r="K260" s="65">
        <v>2968.33</v>
      </c>
      <c r="L260" s="316">
        <v>4</v>
      </c>
      <c r="M260" s="129">
        <f t="shared" si="19"/>
        <v>2968.33</v>
      </c>
      <c r="N260" s="65">
        <v>2968.33</v>
      </c>
      <c r="O260" s="225"/>
      <c r="P260" s="29">
        <v>3</v>
      </c>
      <c r="Q260" s="30">
        <v>6107.21</v>
      </c>
      <c r="R260" s="205">
        <v>3</v>
      </c>
      <c r="S260" s="26">
        <f t="shared" si="20"/>
        <v>6107.21</v>
      </c>
      <c r="T260" s="30">
        <v>6107.21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347</v>
      </c>
      <c r="G261" s="35" t="s">
        <v>28</v>
      </c>
      <c r="H261" s="117">
        <v>2</v>
      </c>
      <c r="I261" s="37"/>
      <c r="J261" s="37"/>
      <c r="K261" s="39"/>
      <c r="L261" s="44"/>
      <c r="M261" s="43">
        <f t="shared" si="19"/>
        <v>0</v>
      </c>
      <c r="N261" s="39"/>
      <c r="O261" s="41"/>
      <c r="P261" s="37">
        <v>6</v>
      </c>
      <c r="Q261" s="37">
        <v>16253.33</v>
      </c>
      <c r="R261" s="285">
        <v>4</v>
      </c>
      <c r="S261" s="39">
        <f t="shared" si="20"/>
        <v>8529.17</v>
      </c>
      <c r="T261" s="68">
        <f>576.3+4045.34+3273.6+633.93</f>
        <v>8529.17</v>
      </c>
      <c r="U261" s="2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195</v>
      </c>
      <c r="C262" s="377" t="s">
        <v>39</v>
      </c>
      <c r="D262" s="377" t="s">
        <v>231</v>
      </c>
      <c r="E262" s="381" t="s">
        <v>27</v>
      </c>
      <c r="F262" s="204" t="s">
        <v>232</v>
      </c>
      <c r="G262" s="47" t="s">
        <v>24</v>
      </c>
      <c r="H262" s="61">
        <v>2</v>
      </c>
      <c r="I262" s="25"/>
      <c r="J262" s="25"/>
      <c r="K262" s="26"/>
      <c r="L262" s="205"/>
      <c r="M262" s="26">
        <f t="shared" si="19"/>
        <v>0</v>
      </c>
      <c r="N262" s="26"/>
      <c r="O262" s="31"/>
      <c r="P262" s="64">
        <v>7</v>
      </c>
      <c r="Q262" s="65">
        <v>46859.35</v>
      </c>
      <c r="R262" s="224">
        <v>7</v>
      </c>
      <c r="S262" s="50">
        <f t="shared" si="20"/>
        <v>46859.35</v>
      </c>
      <c r="T262" s="65">
        <v>46859.35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1" t="s">
        <v>260</v>
      </c>
      <c r="G263" s="55" t="s">
        <v>28</v>
      </c>
      <c r="H263" s="178">
        <v>5</v>
      </c>
      <c r="I263" s="130">
        <v>2</v>
      </c>
      <c r="J263" s="130">
        <v>2</v>
      </c>
      <c r="K263" s="114">
        <v>1997.84</v>
      </c>
      <c r="L263" s="270">
        <v>2</v>
      </c>
      <c r="M263" s="43">
        <f t="shared" si="19"/>
        <v>1997.84</v>
      </c>
      <c r="N263" s="43">
        <f>1152.6+845.24</f>
        <v>1997.84</v>
      </c>
      <c r="O263" s="222"/>
      <c r="P263" s="130">
        <v>7</v>
      </c>
      <c r="Q263" s="130">
        <v>24706.45</v>
      </c>
      <c r="R263" s="270">
        <v>10</v>
      </c>
      <c r="S263" s="43">
        <f t="shared" si="20"/>
        <v>34770.1</v>
      </c>
      <c r="T263" s="114">
        <f>4994.6+12678.6+576.3+6915.6+6915.6+576.3+2113.1</f>
        <v>34770.1</v>
      </c>
      <c r="U263" s="222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196</v>
      </c>
      <c r="C264" s="381" t="s">
        <v>22</v>
      </c>
      <c r="D264" s="374"/>
      <c r="E264" s="381" t="s">
        <v>27</v>
      </c>
      <c r="F264" s="22"/>
      <c r="G264" s="23" t="s">
        <v>24</v>
      </c>
      <c r="H264" s="119"/>
      <c r="I264" s="25"/>
      <c r="J264" s="25"/>
      <c r="K264" s="26"/>
      <c r="L264" s="27"/>
      <c r="M264" s="26">
        <f t="shared" si="19"/>
        <v>0</v>
      </c>
      <c r="N264" s="26"/>
      <c r="O264" s="28"/>
      <c r="P264" s="120"/>
      <c r="Q264" s="26"/>
      <c r="R264" s="27"/>
      <c r="S264" s="26">
        <f t="shared" si="20"/>
        <v>0</v>
      </c>
      <c r="T264" s="26"/>
      <c r="U264" s="28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348</v>
      </c>
      <c r="G265" s="35" t="s">
        <v>28</v>
      </c>
      <c r="H265" s="66">
        <v>5</v>
      </c>
      <c r="I265" s="38"/>
      <c r="J265" s="38"/>
      <c r="K265" s="39"/>
      <c r="L265" s="40"/>
      <c r="M265" s="39">
        <f t="shared" si="19"/>
        <v>0</v>
      </c>
      <c r="N265" s="39"/>
      <c r="O265" s="41"/>
      <c r="P265" s="67">
        <v>4</v>
      </c>
      <c r="Q265" s="68">
        <v>11282.42</v>
      </c>
      <c r="R265" s="285">
        <v>3</v>
      </c>
      <c r="S265" s="39">
        <f t="shared" si="20"/>
        <v>9655</v>
      </c>
      <c r="T265" s="39">
        <f>2547.3+4226.2+2881.5</f>
        <v>9655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197</v>
      </c>
      <c r="C266" s="381" t="s">
        <v>39</v>
      </c>
      <c r="D266" s="381" t="s">
        <v>381</v>
      </c>
      <c r="E266" s="381" t="s">
        <v>27</v>
      </c>
      <c r="F266" s="204" t="s">
        <v>382</v>
      </c>
      <c r="G266" s="47" t="s">
        <v>24</v>
      </c>
      <c r="H266" s="98"/>
      <c r="I266" s="49"/>
      <c r="J266" s="49"/>
      <c r="K266" s="50"/>
      <c r="L266" s="51"/>
      <c r="M266" s="50">
        <f t="shared" si="19"/>
        <v>0</v>
      </c>
      <c r="N266" s="50"/>
      <c r="O266" s="31"/>
      <c r="P266" s="108">
        <v>1</v>
      </c>
      <c r="Q266" s="65">
        <v>748.24</v>
      </c>
      <c r="R266" s="224">
        <v>1</v>
      </c>
      <c r="S266" s="50">
        <f t="shared" si="20"/>
        <v>748.24</v>
      </c>
      <c r="T266" s="65">
        <v>748.24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221" t="s">
        <v>349</v>
      </c>
      <c r="G267" s="55" t="s">
        <v>28</v>
      </c>
      <c r="H267" s="153">
        <v>4</v>
      </c>
      <c r="I267" s="130">
        <v>2</v>
      </c>
      <c r="J267" s="130">
        <v>2</v>
      </c>
      <c r="K267" s="114">
        <v>3265.7</v>
      </c>
      <c r="L267" s="270">
        <v>2</v>
      </c>
      <c r="M267" s="43">
        <f t="shared" si="19"/>
        <v>2977.55</v>
      </c>
      <c r="N267" s="43">
        <f>1056.55+1921</f>
        <v>2977.55</v>
      </c>
      <c r="O267" s="41"/>
      <c r="P267" s="103"/>
      <c r="Q267" s="43"/>
      <c r="R267" s="270">
        <v>2</v>
      </c>
      <c r="S267" s="43">
        <f t="shared" si="20"/>
        <v>3765.16</v>
      </c>
      <c r="T267" s="114">
        <f>1440.75+2324.41</f>
        <v>3765.16</v>
      </c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198</v>
      </c>
      <c r="C268" s="374" t="s">
        <v>22</v>
      </c>
      <c r="D268" s="374"/>
      <c r="E268" s="374" t="s">
        <v>112</v>
      </c>
      <c r="F268" s="204" t="s">
        <v>383</v>
      </c>
      <c r="G268" s="23" t="s">
        <v>24</v>
      </c>
      <c r="H268" s="48">
        <v>9</v>
      </c>
      <c r="I268" s="62">
        <v>5</v>
      </c>
      <c r="J268" s="62">
        <v>5</v>
      </c>
      <c r="K268" s="30">
        <v>5867.69</v>
      </c>
      <c r="L268" s="205">
        <v>4</v>
      </c>
      <c r="M268" s="26">
        <f t="shared" si="19"/>
        <v>2486.73</v>
      </c>
      <c r="N268" s="30">
        <v>2486.73</v>
      </c>
      <c r="O268" s="31"/>
      <c r="P268" s="53">
        <v>12</v>
      </c>
      <c r="Q268" s="30">
        <v>46848.4</v>
      </c>
      <c r="R268" s="205">
        <v>11</v>
      </c>
      <c r="S268" s="26">
        <f t="shared" si="20"/>
        <v>44151.34</v>
      </c>
      <c r="T268" s="30">
        <v>44151.34</v>
      </c>
      <c r="U268" s="225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350</v>
      </c>
      <c r="G269" s="35" t="s">
        <v>28</v>
      </c>
      <c r="H269" s="153">
        <v>1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59"/>
      <c r="Q269" s="39"/>
      <c r="R269" s="40"/>
      <c r="S269" s="39">
        <f t="shared" si="20"/>
        <v>0</v>
      </c>
      <c r="T269" s="39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199</v>
      </c>
      <c r="C270" s="381" t="s">
        <v>22</v>
      </c>
      <c r="D270" s="381"/>
      <c r="E270" s="381" t="s">
        <v>131</v>
      </c>
      <c r="F270" s="46"/>
      <c r="G270" s="23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23"/>
      <c r="Q270" s="50"/>
      <c r="R270" s="51"/>
      <c r="S270" s="50">
        <f t="shared" si="20"/>
        <v>0</v>
      </c>
      <c r="T270" s="50"/>
      <c r="U270" s="3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126"/>
      <c r="G271" s="55" t="s">
        <v>25</v>
      </c>
      <c r="H271" s="118"/>
      <c r="I271" s="57"/>
      <c r="J271" s="57"/>
      <c r="K271" s="43"/>
      <c r="L271" s="44"/>
      <c r="M271" s="43">
        <f t="shared" si="19"/>
        <v>0</v>
      </c>
      <c r="N271" s="43"/>
      <c r="O271" s="41"/>
      <c r="P271" s="103"/>
      <c r="Q271" s="43"/>
      <c r="R271" s="44"/>
      <c r="S271" s="43">
        <f t="shared" si="20"/>
        <v>0</v>
      </c>
      <c r="T271" s="43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200</v>
      </c>
      <c r="C272" s="374" t="s">
        <v>39</v>
      </c>
      <c r="D272" s="374" t="s">
        <v>456</v>
      </c>
      <c r="E272" s="374" t="s">
        <v>27</v>
      </c>
      <c r="F272" s="204" t="s">
        <v>457</v>
      </c>
      <c r="G272" s="23" t="s">
        <v>24</v>
      </c>
      <c r="H272" s="61">
        <v>3</v>
      </c>
      <c r="I272" s="62">
        <v>3</v>
      </c>
      <c r="J272" s="62">
        <v>4</v>
      </c>
      <c r="K272" s="30">
        <v>6297.38</v>
      </c>
      <c r="L272" s="205">
        <v>5</v>
      </c>
      <c r="M272" s="26">
        <f t="shared" si="19"/>
        <v>6859.34</v>
      </c>
      <c r="N272" s="30">
        <v>6859.34</v>
      </c>
      <c r="O272" s="31"/>
      <c r="P272" s="29">
        <v>6</v>
      </c>
      <c r="Q272" s="30">
        <v>21652.240000000002</v>
      </c>
      <c r="R272" s="205">
        <v>6</v>
      </c>
      <c r="S272" s="26">
        <f t="shared" si="20"/>
        <v>21652.240000000002</v>
      </c>
      <c r="T272" s="30">
        <v>21652.240000000002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33" t="s">
        <v>351</v>
      </c>
      <c r="G273" s="227" t="s">
        <v>28</v>
      </c>
      <c r="H273" s="207">
        <v>2</v>
      </c>
      <c r="I273" s="208">
        <v>1</v>
      </c>
      <c r="J273" s="208">
        <v>1</v>
      </c>
      <c r="K273" s="209">
        <v>1056.55</v>
      </c>
      <c r="L273" s="210"/>
      <c r="M273" s="211">
        <f t="shared" si="19"/>
        <v>0</v>
      </c>
      <c r="N273" s="211"/>
      <c r="O273" s="212"/>
      <c r="P273" s="284"/>
      <c r="Q273" s="211"/>
      <c r="R273" s="290">
        <v>1</v>
      </c>
      <c r="S273" s="211">
        <f t="shared" si="20"/>
        <v>1921</v>
      </c>
      <c r="T273" s="209">
        <v>1921</v>
      </c>
      <c r="U273" s="212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2"/>
      <c r="B274" s="374" t="s">
        <v>430</v>
      </c>
      <c r="C274" s="374" t="s">
        <v>39</v>
      </c>
      <c r="D274" s="374" t="s">
        <v>439</v>
      </c>
      <c r="E274" s="374" t="s">
        <v>27</v>
      </c>
      <c r="F274" s="204" t="s">
        <v>440</v>
      </c>
      <c r="G274" s="213" t="s">
        <v>24</v>
      </c>
      <c r="H274" s="61"/>
      <c r="I274" s="62"/>
      <c r="J274" s="62"/>
      <c r="K274" s="30"/>
      <c r="L274" s="27"/>
      <c r="M274" s="26">
        <f t="shared" si="19"/>
        <v>0</v>
      </c>
      <c r="N274" s="26"/>
      <c r="O274" s="241"/>
      <c r="P274" s="214"/>
      <c r="Q274" s="30"/>
      <c r="R274" s="205"/>
      <c r="S274" s="26">
        <f t="shared" si="20"/>
        <v>0</v>
      </c>
      <c r="T274" s="30"/>
      <c r="U274" s="28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0"/>
      <c r="G275" s="215" t="s">
        <v>28</v>
      </c>
      <c r="H275" s="117"/>
      <c r="I275" s="37"/>
      <c r="J275" s="37"/>
      <c r="K275" s="68"/>
      <c r="L275" s="40"/>
      <c r="M275" s="39">
        <f t="shared" si="19"/>
        <v>0</v>
      </c>
      <c r="N275" s="39"/>
      <c r="O275" s="234"/>
      <c r="P275" s="217"/>
      <c r="Q275" s="68"/>
      <c r="R275" s="285"/>
      <c r="S275" s="39">
        <f t="shared" si="20"/>
        <v>0</v>
      </c>
      <c r="T275" s="68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6"/>
      <c r="B276" s="377" t="s">
        <v>201</v>
      </c>
      <c r="C276" s="377" t="s">
        <v>39</v>
      </c>
      <c r="D276" s="377" t="s">
        <v>385</v>
      </c>
      <c r="E276" s="377" t="s">
        <v>386</v>
      </c>
      <c r="F276" s="232" t="s">
        <v>387</v>
      </c>
      <c r="G276" s="95" t="s">
        <v>24</v>
      </c>
      <c r="H276" s="265">
        <v>13</v>
      </c>
      <c r="I276" s="266">
        <v>12</v>
      </c>
      <c r="J276" s="266">
        <v>19</v>
      </c>
      <c r="K276" s="79">
        <v>27305.66</v>
      </c>
      <c r="L276" s="268">
        <v>19</v>
      </c>
      <c r="M276" s="81">
        <f t="shared" si="19"/>
        <v>27305.66</v>
      </c>
      <c r="N276" s="79">
        <v>27305.66</v>
      </c>
      <c r="O276" s="313"/>
      <c r="P276" s="267">
        <v>2</v>
      </c>
      <c r="Q276" s="79">
        <v>4356.83</v>
      </c>
      <c r="R276" s="268">
        <v>2</v>
      </c>
      <c r="S276" s="81">
        <f t="shared" si="20"/>
        <v>4356.83</v>
      </c>
      <c r="T276" s="79">
        <v>4356.83</v>
      </c>
      <c r="U276" s="82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105"/>
      <c r="G277" s="35" t="s">
        <v>25</v>
      </c>
      <c r="H277" s="117">
        <v>1</v>
      </c>
      <c r="I277" s="38"/>
      <c r="J277" s="38"/>
      <c r="K277" s="39"/>
      <c r="L277" s="40"/>
      <c r="M277" s="39">
        <f t="shared" si="19"/>
        <v>0</v>
      </c>
      <c r="N277" s="39"/>
      <c r="O277" s="58"/>
      <c r="P277" s="115">
        <v>2</v>
      </c>
      <c r="Q277" s="68">
        <v>4418.3</v>
      </c>
      <c r="R277" s="285">
        <v>2</v>
      </c>
      <c r="S277" s="68">
        <v>4418.3</v>
      </c>
      <c r="T277" s="68">
        <v>4418.3</v>
      </c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202</v>
      </c>
      <c r="C278" s="381" t="s">
        <v>39</v>
      </c>
      <c r="D278" s="377" t="s">
        <v>441</v>
      </c>
      <c r="E278" s="381" t="s">
        <v>27</v>
      </c>
      <c r="F278" s="204" t="s">
        <v>442</v>
      </c>
      <c r="G278" s="47" t="s">
        <v>24</v>
      </c>
      <c r="H278" s="48">
        <v>2</v>
      </c>
      <c r="I278" s="203">
        <v>2</v>
      </c>
      <c r="J278" s="203">
        <v>2</v>
      </c>
      <c r="K278" s="65">
        <v>2382.04</v>
      </c>
      <c r="L278" s="224">
        <v>2</v>
      </c>
      <c r="M278" s="50">
        <f t="shared" si="19"/>
        <v>2382.04</v>
      </c>
      <c r="N278" s="65">
        <v>2382.04</v>
      </c>
      <c r="O278" s="31"/>
      <c r="P278" s="108">
        <v>2</v>
      </c>
      <c r="Q278" s="65">
        <v>4082.51</v>
      </c>
      <c r="R278" s="224">
        <v>2</v>
      </c>
      <c r="S278" s="50">
        <f t="shared" ref="S278:S282" si="21">T278+U278</f>
        <v>4082.51</v>
      </c>
      <c r="T278" s="65">
        <v>4082.51</v>
      </c>
      <c r="U278" s="225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1" t="s">
        <v>262</v>
      </c>
      <c r="G279" s="55" t="s">
        <v>28</v>
      </c>
      <c r="H279" s="112">
        <v>2</v>
      </c>
      <c r="I279" s="130">
        <v>1</v>
      </c>
      <c r="J279" s="130">
        <v>1</v>
      </c>
      <c r="K279" s="114">
        <v>1479.17</v>
      </c>
      <c r="L279" s="316">
        <v>1</v>
      </c>
      <c r="M279" s="129">
        <f t="shared" si="19"/>
        <v>1479.17</v>
      </c>
      <c r="N279" s="43">
        <f>1479.17</f>
        <v>1479.17</v>
      </c>
      <c r="O279" s="45"/>
      <c r="P279" s="113">
        <v>4</v>
      </c>
      <c r="Q279" s="114">
        <v>17905.400000000001</v>
      </c>
      <c r="R279" s="316">
        <v>3</v>
      </c>
      <c r="S279" s="129">
        <f t="shared" si="21"/>
        <v>12102.3</v>
      </c>
      <c r="T279" s="114">
        <f>3649.9+1344.7+7107.7</f>
        <v>12102.3</v>
      </c>
      <c r="U279" s="4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2"/>
      <c r="B280" s="374" t="s">
        <v>203</v>
      </c>
      <c r="C280" s="374"/>
      <c r="D280" s="374"/>
      <c r="E280" s="374" t="s">
        <v>27</v>
      </c>
      <c r="F280" s="60"/>
      <c r="G280" s="23" t="s">
        <v>24</v>
      </c>
      <c r="H280" s="61">
        <v>2</v>
      </c>
      <c r="I280" s="25"/>
      <c r="J280" s="25"/>
      <c r="K280" s="26"/>
      <c r="L280" s="27"/>
      <c r="M280" s="26">
        <f t="shared" si="19"/>
        <v>0</v>
      </c>
      <c r="N280" s="26"/>
      <c r="O280" s="28"/>
      <c r="P280" s="120"/>
      <c r="Q280" s="26"/>
      <c r="R280" s="27"/>
      <c r="S280" s="26">
        <f t="shared" si="21"/>
        <v>0</v>
      </c>
      <c r="T280" s="26"/>
      <c r="U280" s="28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28</v>
      </c>
      <c r="H281" s="117"/>
      <c r="I281" s="38"/>
      <c r="J281" s="38"/>
      <c r="K281" s="39"/>
      <c r="L281" s="40"/>
      <c r="M281" s="39">
        <f t="shared" si="19"/>
        <v>0</v>
      </c>
      <c r="N281" s="39"/>
      <c r="O281" s="41"/>
      <c r="P281" s="69"/>
      <c r="Q281" s="39"/>
      <c r="R281" s="40"/>
      <c r="S281" s="39">
        <f t="shared" si="21"/>
        <v>0</v>
      </c>
      <c r="T281" s="39"/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204</v>
      </c>
      <c r="C282" s="381" t="s">
        <v>22</v>
      </c>
      <c r="D282" s="381"/>
      <c r="E282" s="381" t="s">
        <v>23</v>
      </c>
      <c r="F282" s="204" t="s">
        <v>431</v>
      </c>
      <c r="G282" s="47" t="s">
        <v>24</v>
      </c>
      <c r="H282" s="48">
        <v>9</v>
      </c>
      <c r="I282" s="203">
        <v>5</v>
      </c>
      <c r="J282" s="203">
        <v>6</v>
      </c>
      <c r="K282" s="65">
        <v>8254.93</v>
      </c>
      <c r="L282" s="224">
        <v>6</v>
      </c>
      <c r="M282" s="50">
        <f t="shared" si="19"/>
        <v>8254.93</v>
      </c>
      <c r="N282" s="65">
        <v>8254.93</v>
      </c>
      <c r="O282" s="225"/>
      <c r="P282" s="108">
        <v>4</v>
      </c>
      <c r="Q282" s="65">
        <v>3363.11</v>
      </c>
      <c r="R282" s="224">
        <v>4</v>
      </c>
      <c r="S282" s="50">
        <f t="shared" si="21"/>
        <v>3363.11</v>
      </c>
      <c r="T282" s="65">
        <v>3363.11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34"/>
      <c r="G283" s="35" t="s">
        <v>25</v>
      </c>
      <c r="H283" s="111"/>
      <c r="I283" s="38"/>
      <c r="J283" s="38"/>
      <c r="K283" s="39"/>
      <c r="L283" s="40"/>
      <c r="M283" s="39">
        <f t="shared" si="19"/>
        <v>0</v>
      </c>
      <c r="N283" s="39"/>
      <c r="O283" s="41"/>
      <c r="P283" s="115">
        <v>1</v>
      </c>
      <c r="Q283" s="68">
        <v>2305.1999999999998</v>
      </c>
      <c r="R283" s="285">
        <v>1</v>
      </c>
      <c r="S283" s="68">
        <v>2305.1999999999998</v>
      </c>
      <c r="T283" s="68">
        <v>2305.1999999999998</v>
      </c>
      <c r="U283" s="41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179"/>
      <c r="B284" s="180" t="s">
        <v>205</v>
      </c>
      <c r="C284" s="180"/>
      <c r="D284" s="180"/>
      <c r="E284" s="180"/>
      <c r="F284" s="180"/>
      <c r="G284" s="181"/>
      <c r="H284" s="182">
        <f t="shared" ref="H284:U284" si="22">SUM(H9:H283)</f>
        <v>1205</v>
      </c>
      <c r="I284" s="183">
        <f t="shared" si="22"/>
        <v>702</v>
      </c>
      <c r="J284" s="183">
        <f t="shared" si="22"/>
        <v>850</v>
      </c>
      <c r="K284" s="184">
        <f t="shared" si="22"/>
        <v>1478005.7199999995</v>
      </c>
      <c r="L284" s="185">
        <f t="shared" si="22"/>
        <v>798</v>
      </c>
      <c r="M284" s="184">
        <f t="shared" si="22"/>
        <v>1396447.9500000002</v>
      </c>
      <c r="N284" s="184">
        <f t="shared" si="22"/>
        <v>1396447.9500000002</v>
      </c>
      <c r="O284" s="186">
        <f t="shared" si="22"/>
        <v>0</v>
      </c>
      <c r="P284" s="187">
        <f t="shared" si="22"/>
        <v>1194</v>
      </c>
      <c r="Q284" s="188">
        <f t="shared" si="22"/>
        <v>4003139.9499999988</v>
      </c>
      <c r="R284" s="185">
        <f t="shared" si="22"/>
        <v>1118</v>
      </c>
      <c r="S284" s="188">
        <f t="shared" si="22"/>
        <v>3856135.4299999997</v>
      </c>
      <c r="T284" s="188">
        <f t="shared" si="22"/>
        <v>3856135.4299999997</v>
      </c>
      <c r="U284" s="189">
        <f t="shared" si="22"/>
        <v>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 t="s">
        <v>206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27.75" customHeight="1">
      <c r="A288" s="4"/>
      <c r="B288" s="4"/>
      <c r="C288" s="4"/>
      <c r="D288" s="4"/>
      <c r="E288" s="4"/>
      <c r="F288" s="394"/>
      <c r="G288" s="395" t="s">
        <v>5</v>
      </c>
      <c r="H288" s="396"/>
      <c r="I288" s="396"/>
      <c r="J288" s="396"/>
      <c r="K288" s="396"/>
      <c r="L288" s="396"/>
      <c r="M288" s="396"/>
      <c r="N288" s="397"/>
      <c r="O288" s="395" t="s">
        <v>6</v>
      </c>
      <c r="P288" s="396"/>
      <c r="Q288" s="396"/>
      <c r="R288" s="396"/>
      <c r="S288" s="396"/>
      <c r="T288" s="397"/>
      <c r="U288" s="393" t="s">
        <v>207</v>
      </c>
      <c r="V288" s="393" t="s">
        <v>208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386"/>
      <c r="G289" s="190" t="s">
        <v>13</v>
      </c>
      <c r="H289" s="190" t="s">
        <v>14</v>
      </c>
      <c r="I289" s="190" t="s">
        <v>15</v>
      </c>
      <c r="J289" s="190" t="s">
        <v>16</v>
      </c>
      <c r="K289" s="191" t="s">
        <v>17</v>
      </c>
      <c r="L289" s="190" t="s">
        <v>18</v>
      </c>
      <c r="M289" s="190" t="s">
        <v>19</v>
      </c>
      <c r="N289" s="190" t="s">
        <v>20</v>
      </c>
      <c r="O289" s="190" t="s">
        <v>15</v>
      </c>
      <c r="P289" s="190" t="s">
        <v>16</v>
      </c>
      <c r="Q289" s="191" t="s">
        <v>17</v>
      </c>
      <c r="R289" s="190" t="s">
        <v>18</v>
      </c>
      <c r="S289" s="190" t="s">
        <v>19</v>
      </c>
      <c r="T289" s="190" t="s">
        <v>20</v>
      </c>
      <c r="U289" s="392"/>
      <c r="V289" s="392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24</v>
      </c>
      <c r="G290" s="193">
        <f t="shared" ref="G290:I290" si="23">SUMIF($G$9:$G$283,$F$290,H9:H283)</f>
        <v>853</v>
      </c>
      <c r="H290" s="193">
        <f t="shared" si="23"/>
        <v>572</v>
      </c>
      <c r="I290" s="193">
        <f t="shared" si="23"/>
        <v>720</v>
      </c>
      <c r="J290" s="194">
        <f t="shared" ref="J290:J292" si="24">SUMIF($G$9:$G$283,F290,$K$9:$K$283)</f>
        <v>1258189.5699999996</v>
      </c>
      <c r="K290" s="195">
        <f t="shared" ref="K290:K292" si="25">SUMIF($G$9:$G$283,F290,$L$9:$L$283)</f>
        <v>720</v>
      </c>
      <c r="L290" s="194">
        <f t="shared" ref="L290:L292" si="26">SUMIF($G$9:$G$283,F290,$M$9:$M$283)</f>
        <v>1265242</v>
      </c>
      <c r="M290" s="194">
        <f t="shared" ref="M290:O290" si="27">SUMIF($G$9:$G$283,$F$290,N9:N283)</f>
        <v>1265242</v>
      </c>
      <c r="N290" s="194">
        <f t="shared" si="27"/>
        <v>0</v>
      </c>
      <c r="O290" s="193">
        <f t="shared" si="27"/>
        <v>972</v>
      </c>
      <c r="P290" s="194">
        <f t="shared" ref="P290:P292" si="28">SUMIF($G$9:$G$283,F290,$Q$9:$Q$283)</f>
        <v>3323402.379999999</v>
      </c>
      <c r="Q290" s="195">
        <f t="shared" ref="Q290:Q292" si="29">SUMIF($G$9:$G$283,F290,$R$9:$R$283)</f>
        <v>931</v>
      </c>
      <c r="R290" s="194">
        <f t="shared" ref="R290:R292" si="30">SUMIF($G$9:$G$283,F290,$S$9:$S$283)</f>
        <v>3244576.2999999993</v>
      </c>
      <c r="S290" s="194">
        <f t="shared" ref="S290:T290" si="31">SUMIF($G$9:$G$283,$F$290,T9:T283)</f>
        <v>3244576.2999999993</v>
      </c>
      <c r="T290" s="194">
        <f t="shared" si="31"/>
        <v>0</v>
      </c>
      <c r="U290" s="194">
        <f t="shared" ref="U290:U292" si="32">S290+M290</f>
        <v>4509818.2999999989</v>
      </c>
      <c r="V290" s="196">
        <f t="shared" ref="V290:V292" si="33">J290-M290+P290-S290</f>
        <v>71773.649999998976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192" t="s">
        <v>28</v>
      </c>
      <c r="G291" s="236">
        <f t="shared" ref="G291:I291" si="34">SUMIF($G$9:$G$283,$F$291,H9:H283)</f>
        <v>291</v>
      </c>
      <c r="H291" s="193">
        <f t="shared" si="34"/>
        <v>100</v>
      </c>
      <c r="I291" s="193">
        <f t="shared" si="34"/>
        <v>100</v>
      </c>
      <c r="J291" s="194">
        <f t="shared" si="24"/>
        <v>172144.03000000003</v>
      </c>
      <c r="K291" s="195">
        <f t="shared" si="25"/>
        <v>52</v>
      </c>
      <c r="L291" s="194">
        <f t="shared" si="26"/>
        <v>89645.950000000012</v>
      </c>
      <c r="M291" s="194">
        <f t="shared" ref="M291:O291" si="35">SUMIF($G$9:$G$283,$F$291,N9:N283)</f>
        <v>89645.950000000012</v>
      </c>
      <c r="N291" s="194">
        <f t="shared" si="35"/>
        <v>0</v>
      </c>
      <c r="O291" s="193">
        <f t="shared" si="35"/>
        <v>168</v>
      </c>
      <c r="P291" s="194">
        <f t="shared" si="28"/>
        <v>479972.47</v>
      </c>
      <c r="Q291" s="195">
        <f t="shared" si="29"/>
        <v>135</v>
      </c>
      <c r="R291" s="194">
        <f t="shared" si="30"/>
        <v>419093.8299999999</v>
      </c>
      <c r="S291" s="194">
        <f t="shared" ref="S291:T291" si="36">SUMIF($G$9:$G$283,$F$291,T9:T283)</f>
        <v>419093.8299999999</v>
      </c>
      <c r="T291" s="194">
        <f t="shared" si="36"/>
        <v>0</v>
      </c>
      <c r="U291" s="194">
        <f t="shared" si="32"/>
        <v>508739.77999999991</v>
      </c>
      <c r="V291" s="196">
        <f t="shared" si="33"/>
        <v>143376.72000000015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192" t="s">
        <v>25</v>
      </c>
      <c r="G292" s="193">
        <f t="shared" ref="G292:I292" si="37">SUMIF($G$9:$G$283,$F$292,H9:H283)</f>
        <v>61</v>
      </c>
      <c r="H292" s="193">
        <f t="shared" si="37"/>
        <v>30</v>
      </c>
      <c r="I292" s="193">
        <f t="shared" si="37"/>
        <v>30</v>
      </c>
      <c r="J292" s="194">
        <f t="shared" si="24"/>
        <v>47672.119999999995</v>
      </c>
      <c r="K292" s="195">
        <f t="shared" si="25"/>
        <v>26</v>
      </c>
      <c r="L292" s="194">
        <f t="shared" si="26"/>
        <v>41560.000000000007</v>
      </c>
      <c r="M292" s="194">
        <f t="shared" ref="M292:O292" si="38">SUMIF($G$9:$G$283,$F$292,N9:N283)</f>
        <v>41560.000000000007</v>
      </c>
      <c r="N292" s="194">
        <f t="shared" si="38"/>
        <v>0</v>
      </c>
      <c r="O292" s="193">
        <f t="shared" si="38"/>
        <v>54</v>
      </c>
      <c r="P292" s="194">
        <f t="shared" si="28"/>
        <v>199765.1</v>
      </c>
      <c r="Q292" s="195">
        <f t="shared" si="29"/>
        <v>52</v>
      </c>
      <c r="R292" s="194">
        <f t="shared" si="30"/>
        <v>192465.3</v>
      </c>
      <c r="S292" s="194">
        <f t="shared" ref="S292:T292" si="39">SUMIF($G$9:$G$283,$F$292,T9:T283)</f>
        <v>192465.3</v>
      </c>
      <c r="T292" s="194">
        <f t="shared" si="39"/>
        <v>0</v>
      </c>
      <c r="U292" s="194">
        <f t="shared" si="32"/>
        <v>234025.3</v>
      </c>
      <c r="V292" s="196">
        <f t="shared" si="33"/>
        <v>13411.920000000013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197">
        <f t="shared" ref="G293:V293" si="40">G292+G291+G290</f>
        <v>1205</v>
      </c>
      <c r="H293" s="197">
        <f t="shared" si="40"/>
        <v>702</v>
      </c>
      <c r="I293" s="197">
        <f t="shared" si="40"/>
        <v>850</v>
      </c>
      <c r="J293" s="198">
        <f t="shared" si="40"/>
        <v>1478005.7199999997</v>
      </c>
      <c r="K293" s="199">
        <f t="shared" si="40"/>
        <v>798</v>
      </c>
      <c r="L293" s="198">
        <f t="shared" si="40"/>
        <v>1396447.95</v>
      </c>
      <c r="M293" s="198">
        <f t="shared" si="40"/>
        <v>1396447.95</v>
      </c>
      <c r="N293" s="198">
        <f t="shared" si="40"/>
        <v>0</v>
      </c>
      <c r="O293" s="197">
        <f t="shared" si="40"/>
        <v>1194</v>
      </c>
      <c r="P293" s="198">
        <f t="shared" si="40"/>
        <v>4003139.9499999988</v>
      </c>
      <c r="Q293" s="200">
        <f t="shared" si="40"/>
        <v>1118</v>
      </c>
      <c r="R293" s="198">
        <f t="shared" si="40"/>
        <v>3856135.4299999992</v>
      </c>
      <c r="S293" s="198">
        <f t="shared" si="40"/>
        <v>3856135.4299999992</v>
      </c>
      <c r="T293" s="198">
        <f t="shared" si="40"/>
        <v>0</v>
      </c>
      <c r="U293" s="198">
        <f t="shared" si="40"/>
        <v>5252583.379999999</v>
      </c>
      <c r="V293" s="198">
        <f t="shared" si="40"/>
        <v>228562.28999999914</v>
      </c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</sheetData>
  <mergeCells count="68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A274:A275"/>
    <mergeCell ref="B274:B275"/>
    <mergeCell ref="C274:C275"/>
    <mergeCell ref="D274:D275"/>
    <mergeCell ref="E274:E275"/>
    <mergeCell ref="A276:A277"/>
    <mergeCell ref="A280:A281"/>
    <mergeCell ref="A282:A283"/>
    <mergeCell ref="B282:B283"/>
    <mergeCell ref="C282:C283"/>
    <mergeCell ref="D282:D283"/>
    <mergeCell ref="E282:E283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8:U289"/>
    <mergeCell ref="V288:V289"/>
    <mergeCell ref="D276:D277"/>
    <mergeCell ref="E276:E277"/>
    <mergeCell ref="D278:D279"/>
    <mergeCell ref="E278:E279"/>
    <mergeCell ref="D280:D281"/>
    <mergeCell ref="E280:E281"/>
    <mergeCell ref="F288:F289"/>
    <mergeCell ref="B276:B277"/>
    <mergeCell ref="C276:C277"/>
    <mergeCell ref="A278:A279"/>
    <mergeCell ref="B278:B279"/>
    <mergeCell ref="C278:C279"/>
    <mergeCell ref="B280:B281"/>
    <mergeCell ref="C280:C281"/>
    <mergeCell ref="G288:N288"/>
    <mergeCell ref="O288:T288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2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1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0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10</v>
      </c>
      <c r="I11" s="203">
        <v>10</v>
      </c>
      <c r="J11" s="203">
        <v>13</v>
      </c>
      <c r="K11" s="65">
        <v>27696.39</v>
      </c>
      <c r="L11" s="224">
        <v>13</v>
      </c>
      <c r="M11" s="50">
        <f t="shared" si="0"/>
        <v>27347.45</v>
      </c>
      <c r="N11" s="65">
        <v>27347.45</v>
      </c>
      <c r="O11" s="52"/>
      <c r="P11" s="53">
        <v>12</v>
      </c>
      <c r="Q11" s="30">
        <v>79204.2</v>
      </c>
      <c r="R11" s="205">
        <v>12</v>
      </c>
      <c r="S11" s="26">
        <f t="shared" si="1"/>
        <v>79204.2</v>
      </c>
      <c r="T11" s="30">
        <v>79204.2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130">
        <v>1</v>
      </c>
      <c r="J12" s="130">
        <v>1</v>
      </c>
      <c r="K12" s="114">
        <v>1152.5999999999999</v>
      </c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285">
        <v>1</v>
      </c>
      <c r="S12" s="39">
        <f t="shared" si="1"/>
        <v>11718.1</v>
      </c>
      <c r="T12" s="39">
        <f>11718.1</f>
        <v>11718.1</v>
      </c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12</v>
      </c>
      <c r="I13" s="62">
        <v>10</v>
      </c>
      <c r="J13" s="62">
        <v>16</v>
      </c>
      <c r="K13" s="30">
        <v>40078.93</v>
      </c>
      <c r="L13" s="205">
        <v>16</v>
      </c>
      <c r="M13" s="26">
        <f t="shared" si="0"/>
        <v>40078.93</v>
      </c>
      <c r="N13" s="30">
        <v>40078.93</v>
      </c>
      <c r="O13" s="299"/>
      <c r="P13" s="64">
        <v>18</v>
      </c>
      <c r="Q13" s="65">
        <v>80536.960000000006</v>
      </c>
      <c r="R13" s="224">
        <v>18</v>
      </c>
      <c r="S13" s="50">
        <f t="shared" si="1"/>
        <v>80536.960000000006</v>
      </c>
      <c r="T13" s="65">
        <v>80536.960000000006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4</v>
      </c>
      <c r="I14" s="37">
        <v>1</v>
      </c>
      <c r="J14" s="37">
        <v>1</v>
      </c>
      <c r="K14" s="68">
        <v>1344.7</v>
      </c>
      <c r="L14" s="285">
        <v>1</v>
      </c>
      <c r="M14" s="39">
        <f t="shared" si="0"/>
        <v>1344.7</v>
      </c>
      <c r="N14" s="68">
        <v>1344.7</v>
      </c>
      <c r="O14" s="41"/>
      <c r="P14" s="67">
        <v>4</v>
      </c>
      <c r="Q14" s="68">
        <v>24204.6</v>
      </c>
      <c r="R14" s="285">
        <v>4</v>
      </c>
      <c r="S14" s="39">
        <f t="shared" si="1"/>
        <v>24204.400000000001</v>
      </c>
      <c r="T14" s="68">
        <f>15752.2+1921+5378.6+1152.6</f>
        <v>24204.400000000001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90">
        <v>1</v>
      </c>
      <c r="M16" s="211">
        <f t="shared" si="0"/>
        <v>576.29999999999995</v>
      </c>
      <c r="N16" s="211">
        <f>576.3</f>
        <v>576.29999999999995</v>
      </c>
      <c r="O16" s="212"/>
      <c r="P16" s="262">
        <v>7</v>
      </c>
      <c r="Q16" s="209">
        <v>24148.51</v>
      </c>
      <c r="R16" s="290">
        <v>3</v>
      </c>
      <c r="S16" s="211">
        <f t="shared" si="1"/>
        <v>11446</v>
      </c>
      <c r="T16" s="209">
        <f>7027.7+4418.3</f>
        <v>11446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10</v>
      </c>
      <c r="I17" s="62">
        <v>4</v>
      </c>
      <c r="J17" s="62">
        <v>4</v>
      </c>
      <c r="K17" s="30">
        <v>4141.68</v>
      </c>
      <c r="L17" s="205">
        <v>4</v>
      </c>
      <c r="M17" s="26">
        <f t="shared" si="0"/>
        <v>4141.68</v>
      </c>
      <c r="N17" s="30">
        <v>4141.68</v>
      </c>
      <c r="O17" s="264"/>
      <c r="P17" s="53">
        <v>11</v>
      </c>
      <c r="Q17" s="30">
        <v>26586.84</v>
      </c>
      <c r="R17" s="205">
        <v>11</v>
      </c>
      <c r="S17" s="26">
        <f t="shared" si="1"/>
        <v>26586.84</v>
      </c>
      <c r="T17" s="30">
        <v>26586.84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5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8</v>
      </c>
      <c r="I19" s="266">
        <v>6</v>
      </c>
      <c r="J19" s="266">
        <v>9</v>
      </c>
      <c r="K19" s="79">
        <v>16872.189999999999</v>
      </c>
      <c r="L19" s="268">
        <v>9</v>
      </c>
      <c r="M19" s="81">
        <f t="shared" si="0"/>
        <v>16872.189999999999</v>
      </c>
      <c r="N19" s="79">
        <v>16872.189999999999</v>
      </c>
      <c r="O19" s="269"/>
      <c r="P19" s="267">
        <v>10</v>
      </c>
      <c r="Q19" s="79">
        <v>22605.93</v>
      </c>
      <c r="R19" s="268">
        <v>10</v>
      </c>
      <c r="S19" s="81">
        <f t="shared" si="1"/>
        <v>22605.93</v>
      </c>
      <c r="T19" s="79">
        <v>22605.93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285">
        <v>2</v>
      </c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9</v>
      </c>
      <c r="J21" s="203">
        <v>16</v>
      </c>
      <c r="K21" s="65">
        <v>23101.61</v>
      </c>
      <c r="L21" s="224">
        <v>16</v>
      </c>
      <c r="M21" s="50">
        <f t="shared" si="0"/>
        <v>23101.61</v>
      </c>
      <c r="N21" s="65">
        <v>23101.61</v>
      </c>
      <c r="O21" s="225"/>
      <c r="P21" s="53">
        <v>14</v>
      </c>
      <c r="Q21" s="30">
        <v>22822.54</v>
      </c>
      <c r="R21" s="205">
        <v>14</v>
      </c>
      <c r="S21" s="26">
        <f t="shared" si="1"/>
        <v>22822.54</v>
      </c>
      <c r="T21" s="30">
        <v>22822.54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4262.51</v>
      </c>
      <c r="L23" s="205">
        <v>6</v>
      </c>
      <c r="M23" s="26">
        <f t="shared" si="0"/>
        <v>4262.51</v>
      </c>
      <c r="N23" s="30">
        <v>4262.51</v>
      </c>
      <c r="O23" s="225"/>
      <c r="P23" s="53">
        <v>7</v>
      </c>
      <c r="Q23" s="30">
        <v>8390.39</v>
      </c>
      <c r="R23" s="205">
        <v>5</v>
      </c>
      <c r="S23" s="26">
        <f t="shared" si="1"/>
        <v>8390.39</v>
      </c>
      <c r="T23" s="30">
        <v>8390.39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3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16</v>
      </c>
      <c r="K25" s="65">
        <v>28621.200000000001</v>
      </c>
      <c r="L25" s="224">
        <v>16</v>
      </c>
      <c r="M25" s="50">
        <f t="shared" si="0"/>
        <v>28621.200000000001</v>
      </c>
      <c r="N25" s="65">
        <v>28621.200000000001</v>
      </c>
      <c r="O25" s="225"/>
      <c r="P25" s="53">
        <v>14</v>
      </c>
      <c r="Q25" s="30">
        <v>24633.09</v>
      </c>
      <c r="R25" s="205">
        <v>13</v>
      </c>
      <c r="S25" s="26">
        <f t="shared" si="1"/>
        <v>23258.73</v>
      </c>
      <c r="T25" s="30">
        <v>23258.73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33">
        <v>3</v>
      </c>
      <c r="I26" s="130">
        <v>1</v>
      </c>
      <c r="J26" s="130">
        <v>1</v>
      </c>
      <c r="K26" s="114">
        <v>1204.2</v>
      </c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5</v>
      </c>
      <c r="S26" s="39">
        <f t="shared" si="1"/>
        <v>18263.100000000002</v>
      </c>
      <c r="T26" s="68">
        <f>4302+3533.6+960.5+5240.8+4226.2</f>
        <v>18263.100000000002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3</v>
      </c>
      <c r="M28" s="43">
        <f t="shared" si="0"/>
        <v>4994.6000000000004</v>
      </c>
      <c r="N28" s="114">
        <f>3649.9+1344.7</f>
        <v>4994.6000000000004</v>
      </c>
      <c r="O28" s="45"/>
      <c r="P28" s="113">
        <v>6</v>
      </c>
      <c r="Q28" s="114">
        <v>13960.2</v>
      </c>
      <c r="R28" s="270">
        <v>3</v>
      </c>
      <c r="S28" s="43">
        <f t="shared" si="1"/>
        <v>18665.68</v>
      </c>
      <c r="T28" s="114">
        <f>14247.38+1921+2497.3</f>
        <v>18665.68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7</v>
      </c>
      <c r="I31" s="203">
        <v>4</v>
      </c>
      <c r="J31" s="203">
        <v>4</v>
      </c>
      <c r="K31" s="65">
        <v>6108.54</v>
      </c>
      <c r="L31" s="224">
        <v>4</v>
      </c>
      <c r="M31" s="50">
        <f t="shared" si="0"/>
        <v>6108.54</v>
      </c>
      <c r="N31" s="65">
        <v>6108.54</v>
      </c>
      <c r="O31" s="225"/>
      <c r="P31" s="108">
        <v>10</v>
      </c>
      <c r="Q31" s="65">
        <v>28852.58</v>
      </c>
      <c r="R31" s="224">
        <v>10</v>
      </c>
      <c r="S31" s="65">
        <v>28852.58</v>
      </c>
      <c r="T31" s="65">
        <v>28852.58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5</v>
      </c>
      <c r="M32" s="114">
        <v>13447</v>
      </c>
      <c r="N32" s="114">
        <v>13447</v>
      </c>
      <c r="O32" s="222"/>
      <c r="P32" s="113">
        <v>7</v>
      </c>
      <c r="Q32" s="114">
        <v>27092.02</v>
      </c>
      <c r="R32" s="270">
        <v>7</v>
      </c>
      <c r="S32" s="114">
        <v>27092.02</v>
      </c>
      <c r="T32" s="114">
        <v>27092.02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21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5</v>
      </c>
      <c r="J35" s="203">
        <v>5</v>
      </c>
      <c r="K35" s="65">
        <v>5443.67</v>
      </c>
      <c r="L35" s="224">
        <v>5</v>
      </c>
      <c r="M35" s="50">
        <f t="shared" si="2"/>
        <v>5443.67</v>
      </c>
      <c r="N35" s="65">
        <v>5443.67</v>
      </c>
      <c r="O35" s="31"/>
      <c r="P35" s="64">
        <v>4</v>
      </c>
      <c r="Q35" s="65">
        <v>14213.44</v>
      </c>
      <c r="R35" s="317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6</v>
      </c>
      <c r="I36" s="208">
        <v>3</v>
      </c>
      <c r="J36" s="208">
        <v>3</v>
      </c>
      <c r="K36" s="209">
        <v>4802.5</v>
      </c>
      <c r="L36" s="290">
        <v>3</v>
      </c>
      <c r="M36" s="211">
        <f t="shared" si="2"/>
        <v>4802.5</v>
      </c>
      <c r="N36" s="209">
        <f>1152.6+576.3+3073.6</f>
        <v>4802.5</v>
      </c>
      <c r="O36" s="212"/>
      <c r="P36" s="304">
        <v>2</v>
      </c>
      <c r="Q36" s="209">
        <v>9182.3799999999992</v>
      </c>
      <c r="R36" s="325">
        <v>3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2</v>
      </c>
      <c r="I41" s="62">
        <v>2</v>
      </c>
      <c r="J41" s="62">
        <v>2</v>
      </c>
      <c r="K41" s="30">
        <v>2895.26</v>
      </c>
      <c r="L41" s="205">
        <v>3</v>
      </c>
      <c r="M41" s="26">
        <f t="shared" si="2"/>
        <v>7453.76</v>
      </c>
      <c r="N41" s="30">
        <v>7453.76</v>
      </c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10</v>
      </c>
      <c r="I43" s="266">
        <v>9</v>
      </c>
      <c r="J43" s="266">
        <v>9</v>
      </c>
      <c r="K43" s="79">
        <v>10392.620000000001</v>
      </c>
      <c r="L43" s="268">
        <v>9</v>
      </c>
      <c r="M43" s="81">
        <f t="shared" si="2"/>
        <v>10392.620000000001</v>
      </c>
      <c r="N43" s="79">
        <v>10392.620000000001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14</v>
      </c>
      <c r="I45" s="62">
        <v>7</v>
      </c>
      <c r="J45" s="62">
        <v>8</v>
      </c>
      <c r="K45" s="30">
        <v>8567.49</v>
      </c>
      <c r="L45" s="205">
        <v>8</v>
      </c>
      <c r="M45" s="26">
        <f t="shared" si="2"/>
        <v>8567.49</v>
      </c>
      <c r="N45" s="30">
        <v>8567.49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6</v>
      </c>
      <c r="I46" s="208">
        <v>1</v>
      </c>
      <c r="J46" s="208">
        <v>1</v>
      </c>
      <c r="K46" s="209">
        <v>4728</v>
      </c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4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130">
        <v>2</v>
      </c>
      <c r="J52" s="130">
        <v>2</v>
      </c>
      <c r="K52" s="114">
        <v>3411.9</v>
      </c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7</v>
      </c>
      <c r="Q53" s="65">
        <v>15242.58</v>
      </c>
      <c r="R53" s="224">
        <v>7</v>
      </c>
      <c r="S53" s="50">
        <f t="shared" si="3"/>
        <v>15242.58</v>
      </c>
      <c r="T53" s="65">
        <v>15242.58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7">
        <v>1</v>
      </c>
      <c r="J54" s="37">
        <v>1</v>
      </c>
      <c r="K54" s="68">
        <v>2007</v>
      </c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12</v>
      </c>
      <c r="S54" s="39">
        <f t="shared" si="3"/>
        <v>26971.13</v>
      </c>
      <c r="T54" s="68">
        <f>2209.2+576.3+13639.1+1921+1921+3438.83+3265.7</f>
        <v>26971.13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4</v>
      </c>
      <c r="I55" s="203">
        <v>3</v>
      </c>
      <c r="J55" s="203">
        <v>5</v>
      </c>
      <c r="K55" s="65">
        <v>6927.86</v>
      </c>
      <c r="L55" s="224">
        <v>5</v>
      </c>
      <c r="M55" s="50">
        <f t="shared" si="2"/>
        <v>6927.86</v>
      </c>
      <c r="N55" s="65">
        <v>6927.86</v>
      </c>
      <c r="O55" s="31"/>
      <c r="P55" s="53">
        <v>4</v>
      </c>
      <c r="Q55" s="30">
        <v>12223.84</v>
      </c>
      <c r="R55" s="205">
        <v>4</v>
      </c>
      <c r="S55" s="26">
        <f t="shared" si="3"/>
        <v>12223.84</v>
      </c>
      <c r="T55" s="30">
        <v>12223.84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11</v>
      </c>
      <c r="I57" s="62">
        <v>8</v>
      </c>
      <c r="J57" s="62">
        <v>9</v>
      </c>
      <c r="K57" s="30">
        <v>16490.21</v>
      </c>
      <c r="L57" s="205">
        <v>11</v>
      </c>
      <c r="M57" s="26">
        <f t="shared" si="2"/>
        <v>20141.560000000001</v>
      </c>
      <c r="N57" s="30">
        <v>20141.560000000001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3</v>
      </c>
      <c r="J58" s="37">
        <v>3</v>
      </c>
      <c r="K58" s="68">
        <v>3099.46</v>
      </c>
      <c r="L58" s="285">
        <v>2</v>
      </c>
      <c r="M58" s="39">
        <f t="shared" si="2"/>
        <v>2497.3000000000002</v>
      </c>
      <c r="N58" s="39">
        <f>1921+576.3</f>
        <v>2497.3000000000002</v>
      </c>
      <c r="O58" s="41"/>
      <c r="P58" s="115">
        <v>1</v>
      </c>
      <c r="Q58" s="68">
        <v>576.29999999999995</v>
      </c>
      <c r="R58" s="285">
        <v>1</v>
      </c>
      <c r="S58" s="39">
        <f t="shared" si="3"/>
        <v>144.08000000000001</v>
      </c>
      <c r="T58" s="39">
        <f>144.08</f>
        <v>144.08000000000001</v>
      </c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14</v>
      </c>
      <c r="K59" s="65">
        <v>21010.75</v>
      </c>
      <c r="L59" s="224">
        <v>14</v>
      </c>
      <c r="M59" s="50">
        <f t="shared" si="2"/>
        <v>21010.75</v>
      </c>
      <c r="N59" s="65">
        <v>21010.75</v>
      </c>
      <c r="O59" s="225"/>
      <c r="P59" s="53">
        <v>35</v>
      </c>
      <c r="Q59" s="30">
        <v>84174.76</v>
      </c>
      <c r="R59" s="205">
        <v>34</v>
      </c>
      <c r="S59" s="26">
        <f t="shared" si="3"/>
        <v>83293.759999999995</v>
      </c>
      <c r="T59" s="30">
        <v>83293.759999999995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7</v>
      </c>
      <c r="I61" s="62">
        <v>3</v>
      </c>
      <c r="J61" s="62">
        <v>3</v>
      </c>
      <c r="K61" s="30">
        <v>5443.83</v>
      </c>
      <c r="L61" s="205">
        <v>3</v>
      </c>
      <c r="M61" s="26">
        <f t="shared" si="2"/>
        <v>5443.83</v>
      </c>
      <c r="N61" s="30">
        <v>5443.83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5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5</v>
      </c>
      <c r="I63" s="62">
        <v>1</v>
      </c>
      <c r="J63" s="62">
        <v>1</v>
      </c>
      <c r="K63" s="30">
        <v>2531.11</v>
      </c>
      <c r="L63" s="205">
        <v>3</v>
      </c>
      <c r="M63" s="26">
        <f t="shared" si="2"/>
        <v>6733.37</v>
      </c>
      <c r="N63" s="30">
        <v>6733.37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6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5</v>
      </c>
      <c r="I65" s="266">
        <v>3</v>
      </c>
      <c r="J65" s="266">
        <v>3</v>
      </c>
      <c r="K65" s="79">
        <v>10543.17</v>
      </c>
      <c r="L65" s="268">
        <v>3</v>
      </c>
      <c r="M65" s="81">
        <f t="shared" si="2"/>
        <v>10543.17</v>
      </c>
      <c r="N65" s="79">
        <v>10543.17</v>
      </c>
      <c r="O65" s="219"/>
      <c r="P65" s="267">
        <v>3</v>
      </c>
      <c r="Q65" s="79">
        <v>4835.93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6</v>
      </c>
      <c r="I66" s="130">
        <v>4</v>
      </c>
      <c r="J66" s="130">
        <v>4</v>
      </c>
      <c r="K66" s="114">
        <v>6601.18</v>
      </c>
      <c r="L66" s="316">
        <v>3</v>
      </c>
      <c r="M66" s="129">
        <f t="shared" si="2"/>
        <v>5196.2800000000007</v>
      </c>
      <c r="N66" s="43">
        <f>1344.7+1738.48+2113.1</f>
        <v>5196.2800000000007</v>
      </c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15</v>
      </c>
      <c r="S69" s="50">
        <f t="shared" si="3"/>
        <v>73353.95</v>
      </c>
      <c r="T69" s="65">
        <v>73353.95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5</v>
      </c>
      <c r="I70" s="130">
        <v>1</v>
      </c>
      <c r="J70" s="130">
        <v>1</v>
      </c>
      <c r="K70" s="114">
        <v>1056.5999999999999</v>
      </c>
      <c r="L70" s="270">
        <v>1</v>
      </c>
      <c r="M70" s="43">
        <f t="shared" si="2"/>
        <v>1152.5999999999999</v>
      </c>
      <c r="N70" s="43">
        <f>1152.6</f>
        <v>1152.5999999999999</v>
      </c>
      <c r="O70" s="41"/>
      <c r="P70" s="113">
        <v>1</v>
      </c>
      <c r="Q70" s="114">
        <v>2881.5</v>
      </c>
      <c r="R70" s="270">
        <v>1</v>
      </c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8</v>
      </c>
      <c r="J71" s="62">
        <v>9</v>
      </c>
      <c r="K71" s="30">
        <v>21654.32</v>
      </c>
      <c r="L71" s="205">
        <v>9</v>
      </c>
      <c r="M71" s="26">
        <f t="shared" si="2"/>
        <v>21654.32</v>
      </c>
      <c r="N71" s="30">
        <v>21654.32</v>
      </c>
      <c r="O71" s="225"/>
      <c r="P71" s="29">
        <v>5</v>
      </c>
      <c r="Q71" s="30">
        <v>10539.19</v>
      </c>
      <c r="R71" s="205">
        <v>5</v>
      </c>
      <c r="S71" s="26">
        <f t="shared" si="3"/>
        <v>10539.19</v>
      </c>
      <c r="T71" s="30">
        <v>10539.19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4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7</v>
      </c>
      <c r="I75" s="62">
        <v>6</v>
      </c>
      <c r="J75" s="62">
        <v>9</v>
      </c>
      <c r="K75" s="30">
        <v>14971.8</v>
      </c>
      <c r="L75" s="205">
        <v>9</v>
      </c>
      <c r="M75" s="26">
        <f t="shared" si="2"/>
        <v>14971.8</v>
      </c>
      <c r="N75" s="30">
        <v>14971.8</v>
      </c>
      <c r="O75" s="31"/>
      <c r="P75" s="53">
        <v>3</v>
      </c>
      <c r="Q75" s="30">
        <v>6608.53</v>
      </c>
      <c r="R75" s="205">
        <v>2</v>
      </c>
      <c r="S75" s="26">
        <f t="shared" si="3"/>
        <v>4729.9799999999996</v>
      </c>
      <c r="T75" s="30">
        <v>4729.9799999999996</v>
      </c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2</v>
      </c>
      <c r="J76" s="37">
        <v>2</v>
      </c>
      <c r="K76" s="68">
        <v>1479.45</v>
      </c>
      <c r="L76" s="285">
        <v>2</v>
      </c>
      <c r="M76" s="68">
        <v>1479.45</v>
      </c>
      <c r="N76" s="68">
        <v>1479.45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6</v>
      </c>
      <c r="J77" s="203">
        <v>9</v>
      </c>
      <c r="K77" s="114">
        <v>12064.84</v>
      </c>
      <c r="L77" s="224">
        <v>9</v>
      </c>
      <c r="M77" s="50">
        <f t="shared" ref="M77:M93" si="4">N77+O77</f>
        <v>12064.84</v>
      </c>
      <c r="N77" s="65">
        <v>12064.84</v>
      </c>
      <c r="O77" s="225"/>
      <c r="P77" s="108">
        <v>10</v>
      </c>
      <c r="Q77" s="65">
        <v>40632.5</v>
      </c>
      <c r="R77" s="224">
        <v>10</v>
      </c>
      <c r="S77" s="50">
        <f t="shared" si="3"/>
        <v>40632.5</v>
      </c>
      <c r="T77" s="65">
        <v>40632.5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30</v>
      </c>
      <c r="I79" s="62">
        <v>25</v>
      </c>
      <c r="J79" s="62">
        <v>38</v>
      </c>
      <c r="K79" s="30">
        <v>75742.87</v>
      </c>
      <c r="L79" s="205">
        <v>38</v>
      </c>
      <c r="M79" s="26">
        <f t="shared" si="4"/>
        <v>75742.87</v>
      </c>
      <c r="N79" s="30">
        <v>75742.87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6</v>
      </c>
      <c r="I81" s="62">
        <v>3</v>
      </c>
      <c r="J81" s="62">
        <v>3</v>
      </c>
      <c r="K81" s="30">
        <v>4115.55</v>
      </c>
      <c r="L81" s="205">
        <v>3</v>
      </c>
      <c r="M81" s="26">
        <f t="shared" si="4"/>
        <v>4115.55</v>
      </c>
      <c r="N81" s="30">
        <v>4115.55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>
        <v>1</v>
      </c>
      <c r="J82" s="208">
        <v>1</v>
      </c>
      <c r="K82" s="209">
        <v>2305.1999999999998</v>
      </c>
      <c r="L82" s="290">
        <v>1</v>
      </c>
      <c r="M82" s="211">
        <f t="shared" si="4"/>
        <v>2305.1999999999998</v>
      </c>
      <c r="N82" s="211">
        <f>2305.2</f>
        <v>2305.1999999999998</v>
      </c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13</v>
      </c>
      <c r="K85" s="79">
        <v>22197.56</v>
      </c>
      <c r="L85" s="268">
        <v>13</v>
      </c>
      <c r="M85" s="81">
        <f t="shared" si="4"/>
        <v>22197.56</v>
      </c>
      <c r="N85" s="79">
        <v>22197.56</v>
      </c>
      <c r="O85" s="269"/>
      <c r="P85" s="267">
        <v>10</v>
      </c>
      <c r="Q85" s="79">
        <v>23116.35</v>
      </c>
      <c r="R85" s="268">
        <v>9</v>
      </c>
      <c r="S85" s="81">
        <f t="shared" si="3"/>
        <v>22011.75</v>
      </c>
      <c r="T85" s="79">
        <v>22011.75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2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151">
        <v>2</v>
      </c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8</v>
      </c>
      <c r="S91" s="26">
        <f t="shared" si="3"/>
        <v>23413.73</v>
      </c>
      <c r="T91" s="30">
        <v>23413.73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12</v>
      </c>
      <c r="J93" s="62">
        <v>15</v>
      </c>
      <c r="K93" s="30">
        <v>25934.49</v>
      </c>
      <c r="L93" s="205">
        <v>15</v>
      </c>
      <c r="M93" s="26">
        <f t="shared" si="4"/>
        <v>25934.49</v>
      </c>
      <c r="N93" s="30">
        <v>25934.49</v>
      </c>
      <c r="O93" s="31"/>
      <c r="P93" s="53">
        <v>10</v>
      </c>
      <c r="Q93" s="30">
        <v>37445.699999999997</v>
      </c>
      <c r="R93" s="205">
        <v>9</v>
      </c>
      <c r="S93" s="26">
        <f t="shared" si="3"/>
        <v>32936.699999999997</v>
      </c>
      <c r="T93" s="30">
        <v>32936.699999999997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7</v>
      </c>
      <c r="I94" s="37">
        <v>5</v>
      </c>
      <c r="J94" s="37">
        <v>5</v>
      </c>
      <c r="K94" s="68">
        <v>8538.9599999999991</v>
      </c>
      <c r="L94" s="285">
        <v>3</v>
      </c>
      <c r="M94" s="68">
        <v>4303.04</v>
      </c>
      <c r="N94" s="68">
        <v>4303.04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5</v>
      </c>
      <c r="I95" s="203">
        <v>2</v>
      </c>
      <c r="J95" s="203">
        <v>2</v>
      </c>
      <c r="K95" s="65">
        <v>2539.56</v>
      </c>
      <c r="L95" s="224">
        <v>2</v>
      </c>
      <c r="M95" s="50">
        <f t="shared" ref="M95:M101" si="5">N95+O95</f>
        <v>2539.56</v>
      </c>
      <c r="N95" s="65">
        <v>2539.56</v>
      </c>
      <c r="O95" s="31"/>
      <c r="P95" s="108">
        <v>8</v>
      </c>
      <c r="Q95" s="65">
        <v>93924.24</v>
      </c>
      <c r="R95" s="224">
        <v>8</v>
      </c>
      <c r="S95" s="50">
        <f t="shared" ref="S95:S101" si="6">T95+U95</f>
        <v>93924.24</v>
      </c>
      <c r="T95" s="65">
        <v>93924.24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2</v>
      </c>
      <c r="I96" s="130">
        <v>1</v>
      </c>
      <c r="J96" s="130">
        <v>1</v>
      </c>
      <c r="K96" s="114">
        <v>1344.7</v>
      </c>
      <c r="L96" s="270">
        <v>1</v>
      </c>
      <c r="M96" s="43">
        <f t="shared" si="5"/>
        <v>1344.7</v>
      </c>
      <c r="N96" s="43">
        <f>1344.7</f>
        <v>1344.7</v>
      </c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3</v>
      </c>
      <c r="I97" s="62">
        <v>2</v>
      </c>
      <c r="J97" s="62">
        <v>2</v>
      </c>
      <c r="K97" s="30">
        <v>6064.6</v>
      </c>
      <c r="L97" s="205">
        <v>2</v>
      </c>
      <c r="M97" s="26">
        <f t="shared" si="5"/>
        <v>6064.6</v>
      </c>
      <c r="N97" s="30">
        <v>6064.6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2</v>
      </c>
      <c r="I98" s="130">
        <v>2</v>
      </c>
      <c r="J98" s="130">
        <v>2</v>
      </c>
      <c r="K98" s="114">
        <v>1756.5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3</v>
      </c>
      <c r="I99" s="62">
        <v>2</v>
      </c>
      <c r="J99" s="62">
        <v>3</v>
      </c>
      <c r="K99" s="30">
        <v>4738.63</v>
      </c>
      <c r="L99" s="205">
        <v>3</v>
      </c>
      <c r="M99" s="26">
        <f t="shared" si="5"/>
        <v>4738.63</v>
      </c>
      <c r="N99" s="30">
        <v>4738.63</v>
      </c>
      <c r="O99" s="225"/>
      <c r="P99" s="53">
        <v>3</v>
      </c>
      <c r="Q99" s="30">
        <v>15479.57</v>
      </c>
      <c r="R99" s="205">
        <v>3</v>
      </c>
      <c r="S99" s="26">
        <f t="shared" si="6"/>
        <v>15479.57</v>
      </c>
      <c r="T99" s="30">
        <v>15479.57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6</v>
      </c>
      <c r="I101" s="62">
        <v>4</v>
      </c>
      <c r="J101" s="62">
        <v>4</v>
      </c>
      <c r="K101" s="30">
        <v>11188.97</v>
      </c>
      <c r="L101" s="205">
        <v>4</v>
      </c>
      <c r="M101" s="26">
        <f t="shared" si="5"/>
        <v>11188.97</v>
      </c>
      <c r="N101" s="30">
        <v>11188.97</v>
      </c>
      <c r="O101" s="31"/>
      <c r="P101" s="53">
        <v>21</v>
      </c>
      <c r="Q101" s="30">
        <v>51104.07</v>
      </c>
      <c r="R101" s="205">
        <v>21</v>
      </c>
      <c r="S101" s="26">
        <f t="shared" si="6"/>
        <v>53290.5</v>
      </c>
      <c r="T101" s="30">
        <v>53290.5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7</v>
      </c>
      <c r="J102" s="130">
        <v>7</v>
      </c>
      <c r="K102" s="114">
        <v>9494.5</v>
      </c>
      <c r="L102" s="270">
        <v>6</v>
      </c>
      <c r="M102" s="114">
        <v>8672.4</v>
      </c>
      <c r="N102" s="114">
        <v>8672.4</v>
      </c>
      <c r="O102" s="234"/>
      <c r="P102" s="113">
        <v>8</v>
      </c>
      <c r="Q102" s="114">
        <v>20762.439999999999</v>
      </c>
      <c r="R102" s="270">
        <v>8</v>
      </c>
      <c r="S102" s="114">
        <v>20762.439999999999</v>
      </c>
      <c r="T102" s="114">
        <v>20762.439999999999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6</v>
      </c>
      <c r="I103" s="62">
        <v>6</v>
      </c>
      <c r="J103" s="62">
        <v>6</v>
      </c>
      <c r="K103" s="30">
        <v>4786.25</v>
      </c>
      <c r="L103" s="205">
        <v>6</v>
      </c>
      <c r="M103" s="26">
        <f t="shared" ref="M103:M118" si="7">N103+O103</f>
        <v>4786.25</v>
      </c>
      <c r="N103" s="30">
        <v>4786.25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8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6</v>
      </c>
      <c r="I104" s="208">
        <v>4</v>
      </c>
      <c r="J104" s="208">
        <v>4</v>
      </c>
      <c r="K104" s="209">
        <v>5955.1</v>
      </c>
      <c r="L104" s="290">
        <v>3</v>
      </c>
      <c r="M104" s="211">
        <f t="shared" si="7"/>
        <v>4610.3999999999996</v>
      </c>
      <c r="N104" s="209">
        <f>1344.7+3265.7</f>
        <v>4610.3999999999996</v>
      </c>
      <c r="O104" s="212"/>
      <c r="P104" s="103"/>
      <c r="Q104" s="43"/>
      <c r="R104" s="270">
        <v>1</v>
      </c>
      <c r="S104" s="43">
        <f t="shared" si="8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10</v>
      </c>
      <c r="I105" s="62">
        <v>6</v>
      </c>
      <c r="J105" s="62">
        <v>8</v>
      </c>
      <c r="K105" s="30">
        <v>17278.02</v>
      </c>
      <c r="L105" s="205">
        <v>8</v>
      </c>
      <c r="M105" s="26">
        <f t="shared" si="7"/>
        <v>17278.02</v>
      </c>
      <c r="N105" s="30">
        <v>17278.02</v>
      </c>
      <c r="O105" s="241"/>
      <c r="P105" s="214">
        <v>12</v>
      </c>
      <c r="Q105" s="30">
        <v>50650.69</v>
      </c>
      <c r="R105" s="205">
        <v>12</v>
      </c>
      <c r="S105" s="26">
        <f t="shared" si="8"/>
        <v>50650.69</v>
      </c>
      <c r="T105" s="30">
        <v>50650.69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7</v>
      </c>
      <c r="I106" s="286">
        <v>5</v>
      </c>
      <c r="J106" s="286">
        <v>5</v>
      </c>
      <c r="K106" s="287">
        <v>11331</v>
      </c>
      <c r="L106" s="315">
        <v>3</v>
      </c>
      <c r="M106" s="39">
        <f t="shared" si="7"/>
        <v>6915.6</v>
      </c>
      <c r="N106" s="39">
        <f>1921+3073.6+1921</f>
        <v>6915.6</v>
      </c>
      <c r="O106" s="41"/>
      <c r="P106" s="217">
        <v>3</v>
      </c>
      <c r="Q106" s="37">
        <v>7587.95</v>
      </c>
      <c r="R106" s="285">
        <v>3</v>
      </c>
      <c r="S106" s="39">
        <f t="shared" si="8"/>
        <v>8740.5499999999993</v>
      </c>
      <c r="T106" s="68">
        <f>1056.55+3457.8+4226.2</f>
        <v>8740.5499999999993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7"/>
        <v>0</v>
      </c>
      <c r="N107" s="81"/>
      <c r="O107" s="219"/>
      <c r="P107" s="108">
        <v>5</v>
      </c>
      <c r="Q107" s="65">
        <v>33607.81</v>
      </c>
      <c r="R107" s="224">
        <v>4</v>
      </c>
      <c r="S107" s="50">
        <f t="shared" si="8"/>
        <v>17684.7</v>
      </c>
      <c r="T107" s="65">
        <v>17684.7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285">
        <v>1</v>
      </c>
      <c r="M108" s="39">
        <f t="shared" si="7"/>
        <v>864.15</v>
      </c>
      <c r="N108" s="39">
        <f>864.15</f>
        <v>864.15</v>
      </c>
      <c r="O108" s="41"/>
      <c r="P108" s="115">
        <v>1</v>
      </c>
      <c r="Q108" s="68">
        <v>1152.5999999999999</v>
      </c>
      <c r="R108" s="40"/>
      <c r="S108" s="39">
        <f t="shared" si="8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6</v>
      </c>
      <c r="M109" s="50">
        <f t="shared" si="7"/>
        <v>10235.59</v>
      </c>
      <c r="N109" s="65">
        <v>10235.59</v>
      </c>
      <c r="O109" s="225"/>
      <c r="P109" s="108">
        <v>9</v>
      </c>
      <c r="Q109" s="65">
        <v>19656.830000000002</v>
      </c>
      <c r="R109" s="224">
        <v>9</v>
      </c>
      <c r="S109" s="50">
        <f t="shared" si="8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4</v>
      </c>
      <c r="M110" s="50">
        <f t="shared" si="7"/>
        <v>4428.0999999999995</v>
      </c>
      <c r="N110" s="43">
        <f>1290.6+1152.6+1290.6+694.3</f>
        <v>4428.0999999999995</v>
      </c>
      <c r="O110" s="41"/>
      <c r="P110" s="113">
        <v>3</v>
      </c>
      <c r="Q110" s="114">
        <v>14347.1</v>
      </c>
      <c r="R110" s="270">
        <v>4</v>
      </c>
      <c r="S110" s="43">
        <f t="shared" si="8"/>
        <v>19149.900000000001</v>
      </c>
      <c r="T110" s="114">
        <f>4358.2+3649.9+4802.5+6339.3</f>
        <v>19149.900000000001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5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7"/>
        <v>3538.71</v>
      </c>
      <c r="N111" s="30">
        <v>3538.71</v>
      </c>
      <c r="O111" s="225"/>
      <c r="P111" s="53">
        <v>6</v>
      </c>
      <c r="Q111" s="30">
        <v>12782.06</v>
      </c>
      <c r="R111" s="205">
        <v>6</v>
      </c>
      <c r="S111" s="26">
        <f t="shared" si="8"/>
        <v>12782.06</v>
      </c>
      <c r="T111" s="30">
        <v>12782.06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5</v>
      </c>
      <c r="I112" s="37">
        <v>5</v>
      </c>
      <c r="J112" s="37">
        <v>6</v>
      </c>
      <c r="K112" s="68">
        <v>12151</v>
      </c>
      <c r="L112" s="285">
        <v>2</v>
      </c>
      <c r="M112" s="39">
        <f t="shared" si="7"/>
        <v>4934.5</v>
      </c>
      <c r="N112" s="39">
        <f>1580.8+3353.7</f>
        <v>4934.5</v>
      </c>
      <c r="O112" s="41"/>
      <c r="P112" s="115">
        <v>2</v>
      </c>
      <c r="Q112" s="68">
        <v>3490.8</v>
      </c>
      <c r="R112" s="285">
        <v>3</v>
      </c>
      <c r="S112" s="39">
        <f t="shared" si="8"/>
        <v>8836.6</v>
      </c>
      <c r="T112" s="39">
        <f>5378.8+1344.7+2113.1</f>
        <v>8836.6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17</v>
      </c>
      <c r="I113" s="203">
        <v>8</v>
      </c>
      <c r="J113" s="203">
        <v>8</v>
      </c>
      <c r="K113" s="65">
        <v>20025.38</v>
      </c>
      <c r="L113" s="224">
        <v>8</v>
      </c>
      <c r="M113" s="50">
        <f t="shared" si="7"/>
        <v>20025.38</v>
      </c>
      <c r="N113" s="65">
        <v>20025.38</v>
      </c>
      <c r="O113" s="225"/>
      <c r="P113" s="108">
        <v>20</v>
      </c>
      <c r="Q113" s="65">
        <v>59066.38</v>
      </c>
      <c r="R113" s="224">
        <v>16</v>
      </c>
      <c r="S113" s="50">
        <f t="shared" si="8"/>
        <v>54023.4</v>
      </c>
      <c r="T113" s="65">
        <v>54023.4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7"/>
        <v>0</v>
      </c>
      <c r="N114" s="43"/>
      <c r="O114" s="41"/>
      <c r="P114" s="103"/>
      <c r="Q114" s="43"/>
      <c r="R114" s="44"/>
      <c r="S114" s="43">
        <f t="shared" si="8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8</v>
      </c>
      <c r="I115" s="62">
        <v>7</v>
      </c>
      <c r="J115" s="62">
        <v>7</v>
      </c>
      <c r="K115" s="30">
        <v>5591.09</v>
      </c>
      <c r="L115" s="205">
        <v>7</v>
      </c>
      <c r="M115" s="26">
        <f t="shared" si="7"/>
        <v>5591.09</v>
      </c>
      <c r="N115" s="30">
        <v>5591.09</v>
      </c>
      <c r="O115" s="31"/>
      <c r="P115" s="53">
        <v>9</v>
      </c>
      <c r="Q115" s="30">
        <v>63620.18</v>
      </c>
      <c r="R115" s="205">
        <v>9</v>
      </c>
      <c r="S115" s="26">
        <f t="shared" si="8"/>
        <v>63620.18</v>
      </c>
      <c r="T115" s="30">
        <v>63620.18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5</v>
      </c>
      <c r="I116" s="57"/>
      <c r="J116" s="57"/>
      <c r="K116" s="43"/>
      <c r="L116" s="270">
        <v>1</v>
      </c>
      <c r="M116" s="43">
        <f t="shared" si="7"/>
        <v>576.29999999999995</v>
      </c>
      <c r="N116" s="43">
        <f>576.3</f>
        <v>576.29999999999995</v>
      </c>
      <c r="O116" s="41"/>
      <c r="P116" s="113">
        <v>2</v>
      </c>
      <c r="Q116" s="114">
        <v>2881.5</v>
      </c>
      <c r="R116" s="270">
        <v>2</v>
      </c>
      <c r="S116" s="43">
        <f t="shared" si="8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10</v>
      </c>
      <c r="I117" s="62">
        <v>9</v>
      </c>
      <c r="J117" s="62">
        <v>9</v>
      </c>
      <c r="K117" s="30">
        <v>8773.83</v>
      </c>
      <c r="L117" s="205">
        <v>9</v>
      </c>
      <c r="M117" s="26">
        <f t="shared" si="7"/>
        <v>8773.83</v>
      </c>
      <c r="N117" s="30">
        <v>8773.83</v>
      </c>
      <c r="O117" s="31"/>
      <c r="P117" s="53">
        <v>7</v>
      </c>
      <c r="Q117" s="30">
        <v>28154.06</v>
      </c>
      <c r="R117" s="205">
        <v>8</v>
      </c>
      <c r="S117" s="26">
        <f t="shared" si="8"/>
        <v>32433.51</v>
      </c>
      <c r="T117" s="30">
        <v>32433.51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7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317">
        <v>5</v>
      </c>
      <c r="S118" s="142">
        <f t="shared" si="8"/>
        <v>13044.61</v>
      </c>
      <c r="T118" s="142">
        <f>288.15+576.3+5648.76+3649.9+2881.5</f>
        <v>13044.61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285">
        <v>1</v>
      </c>
      <c r="M119" s="68">
        <v>2881.5</v>
      </c>
      <c r="N119" s="68">
        <v>2881.5</v>
      </c>
      <c r="O119" s="41"/>
      <c r="P119" s="59"/>
      <c r="Q119" s="39"/>
      <c r="R119" s="40"/>
      <c r="S119" s="39">
        <f t="shared" si="8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4022.19</v>
      </c>
      <c r="L120" s="224">
        <v>2</v>
      </c>
      <c r="M120" s="50">
        <f t="shared" ref="M120:M134" si="9">N120+O120</f>
        <v>4022.19</v>
      </c>
      <c r="N120" s="65">
        <v>4022.19</v>
      </c>
      <c r="O120" s="31"/>
      <c r="P120" s="108">
        <v>6</v>
      </c>
      <c r="Q120" s="65">
        <v>21203.8</v>
      </c>
      <c r="R120" s="224">
        <v>5</v>
      </c>
      <c r="S120" s="50">
        <f t="shared" si="8"/>
        <v>20499</v>
      </c>
      <c r="T120" s="65">
        <v>20499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9"/>
        <v>0</v>
      </c>
      <c r="N121" s="43"/>
      <c r="O121" s="41"/>
      <c r="P121" s="103"/>
      <c r="Q121" s="43"/>
      <c r="R121" s="44"/>
      <c r="S121" s="43">
        <f t="shared" si="8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7</v>
      </c>
      <c r="I122" s="62">
        <v>4</v>
      </c>
      <c r="J122" s="62">
        <v>5</v>
      </c>
      <c r="K122" s="30">
        <v>5109.87</v>
      </c>
      <c r="L122" s="205">
        <v>5</v>
      </c>
      <c r="M122" s="26">
        <f t="shared" si="9"/>
        <v>5109.87</v>
      </c>
      <c r="N122" s="30">
        <v>5109.87</v>
      </c>
      <c r="O122" s="31"/>
      <c r="P122" s="53">
        <v>4</v>
      </c>
      <c r="Q122" s="30">
        <v>3732.5</v>
      </c>
      <c r="R122" s="205">
        <v>4</v>
      </c>
      <c r="S122" s="26">
        <f t="shared" si="8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12</v>
      </c>
      <c r="I124" s="62">
        <v>12</v>
      </c>
      <c r="J124" s="62">
        <v>18</v>
      </c>
      <c r="K124" s="30">
        <v>38332.99</v>
      </c>
      <c r="L124" s="205">
        <v>18</v>
      </c>
      <c r="M124" s="26">
        <f t="shared" si="9"/>
        <v>38332.99</v>
      </c>
      <c r="N124" s="30">
        <v>38332.99</v>
      </c>
      <c r="O124" s="225"/>
      <c r="P124" s="53">
        <v>10</v>
      </c>
      <c r="Q124" s="30">
        <v>25611.57</v>
      </c>
      <c r="R124" s="205">
        <v>10</v>
      </c>
      <c r="S124" s="26">
        <f t="shared" si="8"/>
        <v>25611.57</v>
      </c>
      <c r="T124" s="30">
        <v>25611.57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3</v>
      </c>
      <c r="I125" s="130">
        <v>2</v>
      </c>
      <c r="J125" s="130">
        <v>2</v>
      </c>
      <c r="K125" s="114">
        <v>2497.3000000000002</v>
      </c>
      <c r="L125" s="270">
        <v>2</v>
      </c>
      <c r="M125" s="43">
        <f t="shared" si="9"/>
        <v>2497.3000000000002</v>
      </c>
      <c r="N125" s="43">
        <f>1152.6+1344.7</f>
        <v>2497.3000000000002</v>
      </c>
      <c r="O125" s="45"/>
      <c r="P125" s="113">
        <v>2</v>
      </c>
      <c r="Q125" s="114">
        <v>5186.7</v>
      </c>
      <c r="R125" s="270">
        <v>2</v>
      </c>
      <c r="S125" s="43">
        <f t="shared" si="8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9"/>
        <v>0</v>
      </c>
      <c r="N126" s="26"/>
      <c r="O126" s="100"/>
      <c r="P126" s="120"/>
      <c r="Q126" s="26"/>
      <c r="R126" s="27"/>
      <c r="S126" s="26">
        <f t="shared" si="8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9"/>
        <v>0</v>
      </c>
      <c r="N127" s="39"/>
      <c r="O127" s="41"/>
      <c r="P127" s="69"/>
      <c r="Q127" s="39"/>
      <c r="R127" s="40"/>
      <c r="S127" s="39">
        <f t="shared" si="8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7</v>
      </c>
      <c r="I128" s="62">
        <v>3</v>
      </c>
      <c r="J128" s="62">
        <v>4</v>
      </c>
      <c r="K128" s="30">
        <v>5641.85</v>
      </c>
      <c r="L128" s="205">
        <v>4</v>
      </c>
      <c r="M128" s="26">
        <f t="shared" si="9"/>
        <v>5641.85</v>
      </c>
      <c r="N128" s="30">
        <v>5641.85</v>
      </c>
      <c r="O128" s="243"/>
      <c r="P128" s="64">
        <v>4</v>
      </c>
      <c r="Q128" s="65">
        <v>10597.93</v>
      </c>
      <c r="R128" s="224">
        <v>4</v>
      </c>
      <c r="S128" s="50">
        <f t="shared" si="8"/>
        <v>10597.93</v>
      </c>
      <c r="T128" s="65">
        <v>10597.93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33">
        <v>3</v>
      </c>
      <c r="I129" s="38"/>
      <c r="J129" s="38"/>
      <c r="K129" s="39"/>
      <c r="L129" s="40"/>
      <c r="M129" s="39">
        <f t="shared" si="9"/>
        <v>0</v>
      </c>
      <c r="N129" s="39"/>
      <c r="O129" s="41"/>
      <c r="P129" s="67">
        <v>1</v>
      </c>
      <c r="Q129" s="68">
        <v>2305.1999999999998</v>
      </c>
      <c r="R129" s="285">
        <v>1</v>
      </c>
      <c r="S129" s="39">
        <f t="shared" si="8"/>
        <v>2305.1999999999998</v>
      </c>
      <c r="T129" s="39">
        <f>2305.2</f>
        <v>2305.1999999999998</v>
      </c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14</v>
      </c>
      <c r="I130" s="203">
        <v>9</v>
      </c>
      <c r="J130" s="203">
        <v>11</v>
      </c>
      <c r="K130" s="65">
        <v>26414.7</v>
      </c>
      <c r="L130" s="224">
        <v>10</v>
      </c>
      <c r="M130" s="50">
        <f t="shared" si="9"/>
        <v>25838.400000000001</v>
      </c>
      <c r="N130" s="65">
        <v>25838.400000000001</v>
      </c>
      <c r="O130" s="225"/>
      <c r="P130" s="108">
        <v>28</v>
      </c>
      <c r="Q130" s="65">
        <v>105938.63</v>
      </c>
      <c r="R130" s="224">
        <v>23</v>
      </c>
      <c r="S130" s="50">
        <f t="shared" si="8"/>
        <v>79211.47</v>
      </c>
      <c r="T130" s="65">
        <v>79211.47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9"/>
        <v>0</v>
      </c>
      <c r="N131" s="43"/>
      <c r="O131" s="41"/>
      <c r="P131" s="103"/>
      <c r="Q131" s="43"/>
      <c r="R131" s="44"/>
      <c r="S131" s="43">
        <f t="shared" si="8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11</v>
      </c>
      <c r="I132" s="62">
        <v>5</v>
      </c>
      <c r="J132" s="62">
        <v>6</v>
      </c>
      <c r="K132" s="30">
        <v>11483.56</v>
      </c>
      <c r="L132" s="205">
        <v>6</v>
      </c>
      <c r="M132" s="26">
        <f t="shared" si="9"/>
        <v>11483.56</v>
      </c>
      <c r="N132" s="30">
        <v>11483.56</v>
      </c>
      <c r="O132" s="31"/>
      <c r="P132" s="53">
        <v>14</v>
      </c>
      <c r="Q132" s="30">
        <v>53062.44</v>
      </c>
      <c r="R132" s="205">
        <v>13</v>
      </c>
      <c r="S132" s="26">
        <f t="shared" si="8"/>
        <v>52477.24</v>
      </c>
      <c r="T132" s="30">
        <v>52477.24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9"/>
        <v>0</v>
      </c>
      <c r="N133" s="39"/>
      <c r="O133" s="41"/>
      <c r="P133" s="59"/>
      <c r="Q133" s="39"/>
      <c r="R133" s="40"/>
      <c r="S133" s="39">
        <f t="shared" si="8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13</v>
      </c>
      <c r="I134" s="62">
        <v>9</v>
      </c>
      <c r="J134" s="62">
        <v>10</v>
      </c>
      <c r="K134" s="30">
        <v>16506.099999999999</v>
      </c>
      <c r="L134" s="205">
        <v>8</v>
      </c>
      <c r="M134" s="26">
        <f t="shared" si="9"/>
        <v>10751.27</v>
      </c>
      <c r="N134" s="30">
        <v>10751.27</v>
      </c>
      <c r="O134" s="31"/>
      <c r="P134" s="53">
        <v>25</v>
      </c>
      <c r="Q134" s="30">
        <v>40527.589999999997</v>
      </c>
      <c r="R134" s="205">
        <v>24</v>
      </c>
      <c r="S134" s="26">
        <f t="shared" si="8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5</v>
      </c>
      <c r="I135" s="208">
        <v>3</v>
      </c>
      <c r="J135" s="208">
        <v>3</v>
      </c>
      <c r="K135" s="209">
        <v>3668.91</v>
      </c>
      <c r="L135" s="290">
        <v>3</v>
      </c>
      <c r="M135" s="209">
        <v>3668.91</v>
      </c>
      <c r="N135" s="209">
        <v>3668.91</v>
      </c>
      <c r="O135" s="263"/>
      <c r="P135" s="262">
        <v>4</v>
      </c>
      <c r="Q135" s="209">
        <v>16712.7</v>
      </c>
      <c r="R135" s="290">
        <v>4</v>
      </c>
      <c r="S135" s="209">
        <v>16712.7</v>
      </c>
      <c r="T135" s="209">
        <v>16712.7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ref="M136:M149" si="10">N136+O136</f>
        <v>0</v>
      </c>
      <c r="N136" s="26"/>
      <c r="O136" s="28"/>
      <c r="P136" s="214"/>
      <c r="Q136" s="30"/>
      <c r="R136" s="205"/>
      <c r="S136" s="26">
        <f t="shared" ref="S136:S149" si="11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4</v>
      </c>
      <c r="I137" s="37"/>
      <c r="J137" s="37"/>
      <c r="K137" s="68"/>
      <c r="L137" s="40"/>
      <c r="M137" s="39">
        <f t="shared" si="10"/>
        <v>0</v>
      </c>
      <c r="N137" s="39"/>
      <c r="O137" s="41"/>
      <c r="P137" s="217"/>
      <c r="Q137" s="68"/>
      <c r="R137" s="285"/>
      <c r="S137" s="39">
        <f t="shared" si="11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19</v>
      </c>
      <c r="I138" s="266">
        <v>18</v>
      </c>
      <c r="J138" s="266">
        <v>23</v>
      </c>
      <c r="K138" s="79">
        <v>36303.949999999997</v>
      </c>
      <c r="L138" s="268">
        <v>21</v>
      </c>
      <c r="M138" s="81">
        <f t="shared" si="10"/>
        <v>34306.980000000003</v>
      </c>
      <c r="N138" s="79">
        <v>34306.980000000003</v>
      </c>
      <c r="O138" s="269"/>
      <c r="P138" s="267">
        <v>17</v>
      </c>
      <c r="Q138" s="79">
        <v>78816.3</v>
      </c>
      <c r="R138" s="268">
        <v>16</v>
      </c>
      <c r="S138" s="81">
        <f t="shared" si="11"/>
        <v>76490.14</v>
      </c>
      <c r="T138" s="79">
        <v>76490.14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10"/>
        <v>0</v>
      </c>
      <c r="N139" s="39"/>
      <c r="O139" s="41"/>
      <c r="P139" s="59"/>
      <c r="Q139" s="39"/>
      <c r="R139" s="40"/>
      <c r="S139" s="39">
        <f t="shared" si="11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14</v>
      </c>
      <c r="I140" s="203">
        <v>6</v>
      </c>
      <c r="J140" s="203">
        <v>9</v>
      </c>
      <c r="K140" s="65">
        <v>19328.72</v>
      </c>
      <c r="L140" s="224">
        <v>8</v>
      </c>
      <c r="M140" s="50">
        <f t="shared" si="10"/>
        <v>19328.72</v>
      </c>
      <c r="N140" s="65">
        <v>19328.72</v>
      </c>
      <c r="O140" s="225"/>
      <c r="P140" s="108">
        <v>52</v>
      </c>
      <c r="Q140" s="65">
        <v>311364.90999999997</v>
      </c>
      <c r="R140" s="224">
        <v>51</v>
      </c>
      <c r="S140" s="50">
        <f t="shared" si="11"/>
        <v>310160.71000000002</v>
      </c>
      <c r="T140" s="65">
        <v>310160.71000000002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10"/>
        <v>0</v>
      </c>
      <c r="N141" s="129"/>
      <c r="O141" s="45"/>
      <c r="P141" s="156"/>
      <c r="Q141" s="129"/>
      <c r="R141" s="128"/>
      <c r="S141" s="129">
        <f t="shared" si="11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10"/>
        <v>0</v>
      </c>
      <c r="N142" s="43"/>
      <c r="O142" s="41"/>
      <c r="P142" s="113">
        <v>3</v>
      </c>
      <c r="Q142" s="114">
        <v>8317.5</v>
      </c>
      <c r="R142" s="270">
        <v>3</v>
      </c>
      <c r="S142" s="43">
        <f t="shared" si="11"/>
        <v>9220.7999999999993</v>
      </c>
      <c r="T142" s="114">
        <f>2305.2+4226.2+2689.4</f>
        <v>9220.7999999999993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10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11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6</v>
      </c>
      <c r="I144" s="37">
        <v>3</v>
      </c>
      <c r="J144" s="37">
        <v>3</v>
      </c>
      <c r="K144" s="68">
        <v>3710.1</v>
      </c>
      <c r="L144" s="40"/>
      <c r="M144" s="39">
        <f t="shared" si="10"/>
        <v>2305.1999999999998</v>
      </c>
      <c r="N144" s="39">
        <f>2305.2</f>
        <v>2305.1999999999998</v>
      </c>
      <c r="O144" s="41"/>
      <c r="P144" s="115">
        <v>3</v>
      </c>
      <c r="Q144" s="68">
        <v>7062.2</v>
      </c>
      <c r="R144" s="285">
        <v>2</v>
      </c>
      <c r="S144" s="39">
        <f t="shared" si="11"/>
        <v>2400.9499999999998</v>
      </c>
      <c r="T144" s="39">
        <f>1056.55+1344.4</f>
        <v>2400.9499999999998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8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10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11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285">
        <v>4</v>
      </c>
      <c r="M146" s="39">
        <f t="shared" si="10"/>
        <v>5220.5999999999995</v>
      </c>
      <c r="N146" s="39">
        <f>1578.8+1152.6+1152.6+1336.6</f>
        <v>5220.5999999999995</v>
      </c>
      <c r="O146" s="41"/>
      <c r="P146" s="115">
        <v>2</v>
      </c>
      <c r="Q146" s="68">
        <v>15088</v>
      </c>
      <c r="R146" s="285">
        <v>2</v>
      </c>
      <c r="S146" s="39">
        <f t="shared" si="11"/>
        <v>15088</v>
      </c>
      <c r="T146" s="39">
        <f>4034.1+11053.9</f>
        <v>15088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1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1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10"/>
        <v>0</v>
      </c>
      <c r="N148" s="43"/>
      <c r="O148" s="41"/>
      <c r="P148" s="103"/>
      <c r="Q148" s="43"/>
      <c r="R148" s="44"/>
      <c r="S148" s="43">
        <f t="shared" si="11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6</v>
      </c>
      <c r="I149" s="62">
        <v>2</v>
      </c>
      <c r="J149" s="62">
        <v>2</v>
      </c>
      <c r="K149" s="30">
        <v>2935.73</v>
      </c>
      <c r="L149" s="205">
        <v>2</v>
      </c>
      <c r="M149" s="26">
        <f t="shared" si="10"/>
        <v>2935.73</v>
      </c>
      <c r="N149" s="30">
        <v>2935.73</v>
      </c>
      <c r="O149" s="31"/>
      <c r="P149" s="53">
        <v>4</v>
      </c>
      <c r="Q149" s="30">
        <v>22885.21</v>
      </c>
      <c r="R149" s="205">
        <v>3</v>
      </c>
      <c r="S149" s="26">
        <f t="shared" si="11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7</v>
      </c>
      <c r="I150" s="130">
        <v>3</v>
      </c>
      <c r="J150" s="130">
        <v>3</v>
      </c>
      <c r="K150" s="114">
        <v>2783</v>
      </c>
      <c r="L150" s="270">
        <v>2</v>
      </c>
      <c r="M150" s="114">
        <v>1728.9</v>
      </c>
      <c r="N150" s="114">
        <v>1728.9</v>
      </c>
      <c r="O150" s="234"/>
      <c r="P150" s="113">
        <v>3</v>
      </c>
      <c r="Q150" s="114">
        <v>7539.8</v>
      </c>
      <c r="R150" s="270">
        <v>3</v>
      </c>
      <c r="S150" s="114">
        <v>7539.8</v>
      </c>
      <c r="T150" s="114">
        <v>7539.8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10</v>
      </c>
      <c r="I151" s="62">
        <v>8</v>
      </c>
      <c r="J151" s="62">
        <v>10</v>
      </c>
      <c r="K151" s="30">
        <v>13129.56</v>
      </c>
      <c r="L151" s="205">
        <v>10</v>
      </c>
      <c r="M151" s="26">
        <f t="shared" ref="M151:M227" si="12">N151+O151</f>
        <v>13129.56</v>
      </c>
      <c r="N151" s="30">
        <v>13129.56</v>
      </c>
      <c r="O151" s="225"/>
      <c r="P151" s="53">
        <v>12</v>
      </c>
      <c r="Q151" s="30">
        <v>41109.72</v>
      </c>
      <c r="R151" s="205">
        <v>11</v>
      </c>
      <c r="S151" s="26">
        <f t="shared" ref="S151:S183" si="13">T151+U151</f>
        <v>39894.660000000003</v>
      </c>
      <c r="T151" s="30">
        <v>39894.660000000003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10</v>
      </c>
      <c r="I152" s="271">
        <v>4</v>
      </c>
      <c r="J152" s="271">
        <v>4</v>
      </c>
      <c r="K152" s="239">
        <v>9412.9</v>
      </c>
      <c r="L152" s="316">
        <v>4</v>
      </c>
      <c r="M152" s="129">
        <f t="shared" si="12"/>
        <v>9412.9</v>
      </c>
      <c r="N152" s="129">
        <f>1728.9+2305.2+576.3+4802.5</f>
        <v>9412.9</v>
      </c>
      <c r="O152" s="45"/>
      <c r="P152" s="238">
        <v>7</v>
      </c>
      <c r="Q152" s="239">
        <v>11775.73</v>
      </c>
      <c r="R152" s="316">
        <v>8</v>
      </c>
      <c r="S152" s="129">
        <f t="shared" si="13"/>
        <v>12985.960000000001</v>
      </c>
      <c r="T152" s="239">
        <f>288.15+6934.81+3073.6+1344.7+1344.7</f>
        <v>12985.960000000001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12"/>
        <v>0</v>
      </c>
      <c r="N153" s="43"/>
      <c r="O153" s="41"/>
      <c r="P153" s="103"/>
      <c r="Q153" s="43"/>
      <c r="R153" s="44"/>
      <c r="S153" s="43">
        <f t="shared" si="1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 t="s">
        <v>39</v>
      </c>
      <c r="D154" s="374" t="s">
        <v>448</v>
      </c>
      <c r="E154" s="381" t="s">
        <v>23</v>
      </c>
      <c r="F154" s="232" t="s">
        <v>449</v>
      </c>
      <c r="G154" s="23" t="s">
        <v>24</v>
      </c>
      <c r="H154" s="61">
        <v>9</v>
      </c>
      <c r="I154" s="62">
        <v>6</v>
      </c>
      <c r="J154" s="62">
        <v>6</v>
      </c>
      <c r="K154" s="30">
        <v>16306.8</v>
      </c>
      <c r="L154" s="205">
        <v>6</v>
      </c>
      <c r="M154" s="26">
        <f t="shared" si="12"/>
        <v>16306.8</v>
      </c>
      <c r="N154" s="30">
        <v>16306.8</v>
      </c>
      <c r="O154" s="31"/>
      <c r="P154" s="53">
        <v>1</v>
      </c>
      <c r="Q154" s="30">
        <v>1415.78</v>
      </c>
      <c r="R154" s="205">
        <v>1</v>
      </c>
      <c r="S154" s="26">
        <f t="shared" si="13"/>
        <v>1415.78</v>
      </c>
      <c r="T154" s="30">
        <v>1415.78</v>
      </c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12"/>
        <v>0</v>
      </c>
      <c r="N155" s="39"/>
      <c r="O155" s="41"/>
      <c r="P155" s="59"/>
      <c r="Q155" s="39"/>
      <c r="R155" s="40"/>
      <c r="S155" s="39">
        <f t="shared" si="1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10</v>
      </c>
      <c r="I156" s="203">
        <v>6</v>
      </c>
      <c r="J156" s="203">
        <v>6</v>
      </c>
      <c r="K156" s="65">
        <v>8949.17</v>
      </c>
      <c r="L156" s="224">
        <v>8</v>
      </c>
      <c r="M156" s="50">
        <f t="shared" si="12"/>
        <v>9644.25</v>
      </c>
      <c r="N156" s="65">
        <v>9644.25</v>
      </c>
      <c r="O156" s="225"/>
      <c r="P156" s="108">
        <v>5</v>
      </c>
      <c r="Q156" s="65">
        <v>27150.720000000001</v>
      </c>
      <c r="R156" s="224">
        <v>5</v>
      </c>
      <c r="S156" s="50">
        <f t="shared" si="13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9</v>
      </c>
      <c r="I157" s="246">
        <v>3</v>
      </c>
      <c r="J157" s="246">
        <v>3</v>
      </c>
      <c r="K157" s="158">
        <v>7437.4</v>
      </c>
      <c r="L157" s="317">
        <v>2</v>
      </c>
      <c r="M157" s="142">
        <f t="shared" si="12"/>
        <v>4226.2</v>
      </c>
      <c r="N157" s="142">
        <f>1921+2305.2</f>
        <v>4226.2</v>
      </c>
      <c r="O157" s="45"/>
      <c r="P157" s="157">
        <v>4</v>
      </c>
      <c r="Q157" s="158">
        <v>8625.2900000000009</v>
      </c>
      <c r="R157" s="224">
        <v>5</v>
      </c>
      <c r="S157" s="50">
        <f t="shared" si="13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12"/>
        <v>0</v>
      </c>
      <c r="N158" s="43"/>
      <c r="O158" s="41"/>
      <c r="P158" s="103"/>
      <c r="Q158" s="43"/>
      <c r="R158" s="44"/>
      <c r="S158" s="43">
        <f t="shared" si="1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11</v>
      </c>
      <c r="I159" s="62">
        <v>5</v>
      </c>
      <c r="J159" s="62">
        <v>6</v>
      </c>
      <c r="K159" s="30">
        <v>13009.58</v>
      </c>
      <c r="L159" s="205">
        <v>5</v>
      </c>
      <c r="M159" s="26">
        <f t="shared" si="12"/>
        <v>8972.02</v>
      </c>
      <c r="N159" s="30">
        <v>8972.02</v>
      </c>
      <c r="O159" s="31"/>
      <c r="P159" s="53">
        <v>1</v>
      </c>
      <c r="Q159" s="30">
        <v>576.29999999999995</v>
      </c>
      <c r="R159" s="205">
        <v>2</v>
      </c>
      <c r="S159" s="26">
        <f t="shared" si="13"/>
        <v>3779.47</v>
      </c>
      <c r="T159" s="30">
        <v>3779.47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7</v>
      </c>
      <c r="I160" s="37">
        <v>3</v>
      </c>
      <c r="J160" s="37">
        <v>3</v>
      </c>
      <c r="K160" s="68">
        <v>3637.8</v>
      </c>
      <c r="L160" s="285">
        <v>3</v>
      </c>
      <c r="M160" s="39">
        <f t="shared" si="12"/>
        <v>3637.8</v>
      </c>
      <c r="N160" s="39">
        <f>576.3+1716.8+1344.7</f>
        <v>3637.8</v>
      </c>
      <c r="O160" s="41"/>
      <c r="P160" s="115">
        <v>2</v>
      </c>
      <c r="Q160" s="68">
        <v>3265.7</v>
      </c>
      <c r="R160" s="285">
        <v>2</v>
      </c>
      <c r="S160" s="39">
        <f t="shared" si="13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7</v>
      </c>
      <c r="I161" s="203">
        <v>5</v>
      </c>
      <c r="J161" s="203">
        <v>6</v>
      </c>
      <c r="K161" s="65">
        <v>13186.17</v>
      </c>
      <c r="L161" s="224">
        <v>6</v>
      </c>
      <c r="M161" s="50">
        <f t="shared" si="12"/>
        <v>13186.17</v>
      </c>
      <c r="N161" s="65">
        <v>13186.17</v>
      </c>
      <c r="O161" s="31"/>
      <c r="P161" s="108">
        <v>8</v>
      </c>
      <c r="Q161" s="65">
        <v>16335.71</v>
      </c>
      <c r="R161" s="224">
        <v>8</v>
      </c>
      <c r="S161" s="50">
        <f t="shared" si="13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4</v>
      </c>
      <c r="J162" s="130">
        <v>4</v>
      </c>
      <c r="K162" s="114">
        <v>12616.62</v>
      </c>
      <c r="L162" s="270">
        <v>4</v>
      </c>
      <c r="M162" s="43">
        <f t="shared" si="12"/>
        <v>7146.12</v>
      </c>
      <c r="N162" s="43">
        <f>3880.42+1344.7+1921</f>
        <v>7146.12</v>
      </c>
      <c r="O162" s="41"/>
      <c r="P162" s="113">
        <v>5</v>
      </c>
      <c r="Q162" s="114">
        <v>11814.15</v>
      </c>
      <c r="R162" s="270">
        <v>4</v>
      </c>
      <c r="S162" s="43">
        <f t="shared" si="13"/>
        <v>9893.15</v>
      </c>
      <c r="T162" s="114">
        <f>4802.5+2401.25+2689.4</f>
        <v>9893.15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13798.74</v>
      </c>
      <c r="L163" s="205">
        <v>6</v>
      </c>
      <c r="M163" s="26">
        <f t="shared" si="12"/>
        <v>13798.74</v>
      </c>
      <c r="N163" s="30">
        <v>13798.74</v>
      </c>
      <c r="O163" s="225"/>
      <c r="P163" s="53">
        <v>13</v>
      </c>
      <c r="Q163" s="30">
        <v>42590.99</v>
      </c>
      <c r="R163" s="205">
        <v>13</v>
      </c>
      <c r="S163" s="26">
        <f t="shared" si="13"/>
        <v>42590.99</v>
      </c>
      <c r="T163" s="30">
        <v>42590.99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6</v>
      </c>
      <c r="I164" s="130">
        <v>2</v>
      </c>
      <c r="J164" s="130">
        <v>2</v>
      </c>
      <c r="K164" s="114">
        <v>2331</v>
      </c>
      <c r="L164" s="270">
        <v>1</v>
      </c>
      <c r="M164" s="43">
        <f t="shared" si="12"/>
        <v>1728.9</v>
      </c>
      <c r="N164" s="43">
        <f>1728.9</f>
        <v>1728.9</v>
      </c>
      <c r="O164" s="45"/>
      <c r="P164" s="113">
        <v>4</v>
      </c>
      <c r="Q164" s="114">
        <v>9785.2000000000007</v>
      </c>
      <c r="R164" s="270">
        <v>5</v>
      </c>
      <c r="S164" s="43">
        <f t="shared" si="13"/>
        <v>12558.900000000001</v>
      </c>
      <c r="T164" s="114">
        <f>6269.7+3984+2305.2</f>
        <v>12558.900000000001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8</v>
      </c>
      <c r="I165" s="62">
        <v>5</v>
      </c>
      <c r="J165" s="62">
        <v>6</v>
      </c>
      <c r="K165" s="30">
        <v>16681.05</v>
      </c>
      <c r="L165" s="205">
        <v>6</v>
      </c>
      <c r="M165" s="26">
        <f t="shared" si="12"/>
        <v>16681.05</v>
      </c>
      <c r="N165" s="30">
        <v>16681.05</v>
      </c>
      <c r="O165" s="159"/>
      <c r="P165" s="53">
        <v>3</v>
      </c>
      <c r="Q165" s="30">
        <v>20168.78</v>
      </c>
      <c r="R165" s="205">
        <v>3</v>
      </c>
      <c r="S165" s="26">
        <f t="shared" si="1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5</v>
      </c>
      <c r="I166" s="208">
        <v>1</v>
      </c>
      <c r="J166" s="208">
        <v>1</v>
      </c>
      <c r="K166" s="209">
        <v>1728</v>
      </c>
      <c r="L166" s="210"/>
      <c r="M166" s="211">
        <f t="shared" si="12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90">
        <v>5</v>
      </c>
      <c r="S166" s="211">
        <f t="shared" si="13"/>
        <v>13447</v>
      </c>
      <c r="T166" s="211">
        <f>4034.1+3073.6+5071.44+1267.86</f>
        <v>13447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3</v>
      </c>
      <c r="I167" s="62">
        <v>2</v>
      </c>
      <c r="J167" s="62">
        <v>4</v>
      </c>
      <c r="K167" s="30">
        <v>11800.29</v>
      </c>
      <c r="L167" s="205">
        <v>5</v>
      </c>
      <c r="M167" s="26">
        <f t="shared" si="12"/>
        <v>15627.55</v>
      </c>
      <c r="N167" s="30">
        <v>15627.55</v>
      </c>
      <c r="O167" s="28"/>
      <c r="P167" s="214"/>
      <c r="Q167" s="30"/>
      <c r="R167" s="205"/>
      <c r="S167" s="26">
        <f t="shared" si="1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12"/>
        <v>0</v>
      </c>
      <c r="N168" s="39"/>
      <c r="O168" s="41"/>
      <c r="P168" s="217"/>
      <c r="Q168" s="68"/>
      <c r="R168" s="285"/>
      <c r="S168" s="39">
        <f t="shared" si="1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7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12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13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12"/>
        <v>0</v>
      </c>
      <c r="N170" s="43"/>
      <c r="O170" s="45"/>
      <c r="P170" s="103"/>
      <c r="Q170" s="43"/>
      <c r="R170" s="44"/>
      <c r="S170" s="43">
        <f t="shared" si="1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4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12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13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12"/>
        <v>0</v>
      </c>
      <c r="N172" s="211"/>
      <c r="O172" s="212"/>
      <c r="P172" s="273"/>
      <c r="Q172" s="211"/>
      <c r="R172" s="210"/>
      <c r="S172" s="211">
        <f t="shared" si="1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>
        <v>3</v>
      </c>
      <c r="I173" s="62">
        <v>1</v>
      </c>
      <c r="J173" s="62">
        <v>1</v>
      </c>
      <c r="K173" s="30">
        <v>1285.1500000000001</v>
      </c>
      <c r="L173" s="205">
        <v>1</v>
      </c>
      <c r="M173" s="26">
        <f t="shared" si="12"/>
        <v>1285.1500000000001</v>
      </c>
      <c r="N173" s="30">
        <v>1285.1500000000001</v>
      </c>
      <c r="O173" s="28"/>
      <c r="P173" s="214"/>
      <c r="Q173" s="30"/>
      <c r="R173" s="205"/>
      <c r="S173" s="26">
        <f t="shared" si="1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12"/>
        <v>0</v>
      </c>
      <c r="N174" s="39"/>
      <c r="O174" s="41"/>
      <c r="P174" s="217"/>
      <c r="Q174" s="68"/>
      <c r="R174" s="285"/>
      <c r="S174" s="39">
        <f t="shared" si="1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3</v>
      </c>
      <c r="J175" s="266">
        <v>3</v>
      </c>
      <c r="K175" s="79">
        <v>3521.24</v>
      </c>
      <c r="L175" s="268">
        <v>3</v>
      </c>
      <c r="M175" s="81">
        <f t="shared" si="12"/>
        <v>3521.24</v>
      </c>
      <c r="N175" s="79">
        <v>3521.24</v>
      </c>
      <c r="O175" s="219"/>
      <c r="P175" s="267">
        <v>15</v>
      </c>
      <c r="Q175" s="79">
        <v>43575.18</v>
      </c>
      <c r="R175" s="268">
        <v>15</v>
      </c>
      <c r="S175" s="81">
        <f t="shared" si="13"/>
        <v>43575.18</v>
      </c>
      <c r="T175" s="79">
        <v>43575.18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9</v>
      </c>
      <c r="I176" s="130">
        <v>4</v>
      </c>
      <c r="J176" s="130">
        <v>4</v>
      </c>
      <c r="K176" s="114">
        <v>14993.72</v>
      </c>
      <c r="L176" s="316">
        <v>2</v>
      </c>
      <c r="M176" s="50">
        <f t="shared" si="12"/>
        <v>3649.9</v>
      </c>
      <c r="N176" s="43">
        <f>2497.3+1152.6</f>
        <v>3649.9</v>
      </c>
      <c r="O176" s="41"/>
      <c r="P176" s="113">
        <v>2</v>
      </c>
      <c r="Q176" s="114">
        <v>7924</v>
      </c>
      <c r="R176" s="270">
        <v>3</v>
      </c>
      <c r="S176" s="43">
        <f t="shared" si="13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8</v>
      </c>
      <c r="I177" s="62">
        <v>5</v>
      </c>
      <c r="J177" s="62">
        <v>5</v>
      </c>
      <c r="K177" s="30">
        <v>21141.24</v>
      </c>
      <c r="L177" s="205">
        <v>5</v>
      </c>
      <c r="M177" s="26">
        <f t="shared" si="12"/>
        <v>21141.24</v>
      </c>
      <c r="N177" s="30">
        <v>21141.24</v>
      </c>
      <c r="O177" s="225"/>
      <c r="P177" s="53">
        <v>10</v>
      </c>
      <c r="Q177" s="30">
        <v>30372.12</v>
      </c>
      <c r="R177" s="205">
        <v>10</v>
      </c>
      <c r="S177" s="26">
        <f t="shared" si="13"/>
        <v>30372.12</v>
      </c>
      <c r="T177" s="30">
        <v>30372.12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12"/>
        <v>0</v>
      </c>
      <c r="N178" s="43"/>
      <c r="O178" s="41"/>
      <c r="P178" s="115">
        <v>6</v>
      </c>
      <c r="Q178" s="68">
        <v>27573.17</v>
      </c>
      <c r="R178" s="285">
        <v>5</v>
      </c>
      <c r="S178" s="39">
        <f t="shared" si="13"/>
        <v>19344.469999999998</v>
      </c>
      <c r="T178" s="68">
        <f>576.3+15944.3+1479.17+1344.7</f>
        <v>19344.469999999998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15</v>
      </c>
      <c r="I179" s="62">
        <v>14</v>
      </c>
      <c r="J179" s="204">
        <v>17</v>
      </c>
      <c r="K179" s="30">
        <v>33571.980000000003</v>
      </c>
      <c r="L179" s="205">
        <v>17</v>
      </c>
      <c r="M179" s="26">
        <f t="shared" si="12"/>
        <v>33571.980000000003</v>
      </c>
      <c r="N179" s="30">
        <v>33571.980000000003</v>
      </c>
      <c r="O179" s="225"/>
      <c r="P179" s="108">
        <v>23</v>
      </c>
      <c r="Q179" s="65">
        <v>81517.899999999994</v>
      </c>
      <c r="R179" s="224">
        <v>22</v>
      </c>
      <c r="S179" s="50">
        <f t="shared" si="13"/>
        <v>79924.350000000006</v>
      </c>
      <c r="T179" s="65">
        <v>79924.350000000006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08">
        <v>1</v>
      </c>
      <c r="J180" s="208">
        <v>1</v>
      </c>
      <c r="K180" s="209">
        <v>3010.5</v>
      </c>
      <c r="L180" s="210"/>
      <c r="M180" s="211">
        <f t="shared" si="12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13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62">
        <v>1</v>
      </c>
      <c r="J181" s="62">
        <v>1</v>
      </c>
      <c r="K181" s="326">
        <v>662.31</v>
      </c>
      <c r="L181" s="327">
        <v>1</v>
      </c>
      <c r="M181" s="162">
        <f t="shared" si="12"/>
        <v>662.31</v>
      </c>
      <c r="N181" s="326">
        <v>662.31</v>
      </c>
      <c r="O181" s="28"/>
      <c r="P181" s="275"/>
      <c r="Q181" s="26"/>
      <c r="R181" s="27"/>
      <c r="S181" s="26">
        <f t="shared" si="1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4</v>
      </c>
      <c r="I182" s="37">
        <v>1</v>
      </c>
      <c r="J182" s="37">
        <v>1</v>
      </c>
      <c r="K182" s="318">
        <v>1056.22</v>
      </c>
      <c r="L182" s="343">
        <v>1</v>
      </c>
      <c r="M182" s="164">
        <f t="shared" si="12"/>
        <v>1056.55</v>
      </c>
      <c r="N182" s="164">
        <f>1056.55</f>
        <v>1056.55</v>
      </c>
      <c r="O182" s="41"/>
      <c r="P182" s="276"/>
      <c r="Q182" s="39"/>
      <c r="R182" s="40"/>
      <c r="S182" s="39">
        <f t="shared" si="1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12"/>
        <v>0</v>
      </c>
      <c r="N183" s="293"/>
      <c r="O183" s="82"/>
      <c r="P183" s="295"/>
      <c r="Q183" s="81"/>
      <c r="R183" s="80"/>
      <c r="S183" s="81">
        <f t="shared" si="1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12"/>
        <v>0</v>
      </c>
      <c r="N184" s="164"/>
      <c r="O184" s="41"/>
      <c r="P184" s="67">
        <v>4</v>
      </c>
      <c r="Q184" s="68">
        <v>19199.810000000001</v>
      </c>
      <c r="R184" s="285">
        <v>4</v>
      </c>
      <c r="S184" s="68">
        <v>19199.810000000001</v>
      </c>
      <c r="T184" s="68">
        <v>19199.810000000001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15</v>
      </c>
      <c r="I185" s="203">
        <v>13</v>
      </c>
      <c r="J185" s="203">
        <v>18</v>
      </c>
      <c r="K185" s="242">
        <v>41848.25</v>
      </c>
      <c r="L185" s="320">
        <v>19</v>
      </c>
      <c r="M185" s="166">
        <f t="shared" si="12"/>
        <v>42473.63</v>
      </c>
      <c r="N185" s="242">
        <v>42473.63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4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270">
        <v>1</v>
      </c>
      <c r="M186" s="43">
        <f t="shared" si="12"/>
        <v>1152.5999999999999</v>
      </c>
      <c r="N186" s="43">
        <f>1152.6</f>
        <v>1152.5999999999999</v>
      </c>
      <c r="O186" s="41"/>
      <c r="P186" s="113">
        <v>3</v>
      </c>
      <c r="Q186" s="114">
        <v>19714.599999999999</v>
      </c>
      <c r="R186" s="270">
        <v>3</v>
      </c>
      <c r="S186" s="43">
        <f t="shared" si="14"/>
        <v>18825.8</v>
      </c>
      <c r="T186" s="114">
        <f>1921+11718.1+5186.7</f>
        <v>18825.8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5</v>
      </c>
      <c r="I187" s="62">
        <v>4</v>
      </c>
      <c r="J187" s="62">
        <v>4</v>
      </c>
      <c r="K187" s="30">
        <v>5891.75</v>
      </c>
      <c r="L187" s="205">
        <v>4</v>
      </c>
      <c r="M187" s="26">
        <f t="shared" si="12"/>
        <v>5891.75</v>
      </c>
      <c r="N187" s="30">
        <v>5891.75</v>
      </c>
      <c r="O187" s="31"/>
      <c r="P187" s="53">
        <v>7</v>
      </c>
      <c r="Q187" s="30">
        <v>16748.509999999998</v>
      </c>
      <c r="R187" s="205">
        <v>7</v>
      </c>
      <c r="S187" s="26">
        <f t="shared" si="14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12"/>
        <v>0</v>
      </c>
      <c r="N188" s="39"/>
      <c r="O188" s="41"/>
      <c r="P188" s="59"/>
      <c r="Q188" s="39"/>
      <c r="R188" s="40"/>
      <c r="S188" s="39">
        <f t="shared" si="1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12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4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12"/>
        <v>0</v>
      </c>
      <c r="N190" s="43"/>
      <c r="O190" s="41"/>
      <c r="P190" s="113">
        <v>1</v>
      </c>
      <c r="Q190" s="114">
        <v>0</v>
      </c>
      <c r="R190" s="44"/>
      <c r="S190" s="43">
        <f t="shared" si="1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12"/>
        <v>0</v>
      </c>
      <c r="N191" s="26"/>
      <c r="O191" s="31"/>
      <c r="P191" s="120"/>
      <c r="Q191" s="26"/>
      <c r="R191" s="27"/>
      <c r="S191" s="26">
        <f t="shared" si="1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12"/>
        <v>0</v>
      </c>
      <c r="N192" s="39"/>
      <c r="O192" s="41"/>
      <c r="P192" s="6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9</v>
      </c>
      <c r="M193" s="50">
        <f t="shared" si="12"/>
        <v>22982.49</v>
      </c>
      <c r="N193" s="65">
        <v>22982.49</v>
      </c>
      <c r="O193" s="225"/>
      <c r="P193" s="108">
        <v>8</v>
      </c>
      <c r="Q193" s="65">
        <v>20431.349999999999</v>
      </c>
      <c r="R193" s="224">
        <v>8</v>
      </c>
      <c r="S193" s="50">
        <f t="shared" si="14"/>
        <v>20431.349999999999</v>
      </c>
      <c r="T193" s="65">
        <v>20431.349999999999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4</v>
      </c>
      <c r="I194" s="37">
        <v>3</v>
      </c>
      <c r="J194" s="37">
        <v>3</v>
      </c>
      <c r="K194" s="68">
        <v>4329.3999999999996</v>
      </c>
      <c r="L194" s="285">
        <v>1</v>
      </c>
      <c r="M194" s="39">
        <f t="shared" si="12"/>
        <v>1921</v>
      </c>
      <c r="N194" s="39">
        <f>1921</f>
        <v>1921</v>
      </c>
      <c r="O194" s="41"/>
      <c r="P194" s="59"/>
      <c r="Q194" s="39"/>
      <c r="R194" s="40"/>
      <c r="S194" s="39">
        <f t="shared" si="1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16</v>
      </c>
      <c r="I195" s="203">
        <v>16</v>
      </c>
      <c r="J195" s="203">
        <v>24</v>
      </c>
      <c r="K195" s="65">
        <v>46779.08</v>
      </c>
      <c r="L195" s="224">
        <v>24</v>
      </c>
      <c r="M195" s="50">
        <f t="shared" si="12"/>
        <v>46779.08</v>
      </c>
      <c r="N195" s="65">
        <v>46779.08</v>
      </c>
      <c r="O195" s="225"/>
      <c r="P195" s="108">
        <v>27</v>
      </c>
      <c r="Q195" s="65">
        <v>43490.11</v>
      </c>
      <c r="R195" s="224">
        <v>26</v>
      </c>
      <c r="S195" s="50">
        <f t="shared" si="14"/>
        <v>42356.26</v>
      </c>
      <c r="T195" s="65">
        <v>42356.26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6</v>
      </c>
      <c r="I196" s="130">
        <v>2</v>
      </c>
      <c r="J196" s="130">
        <v>2</v>
      </c>
      <c r="K196" s="114">
        <v>2401.25</v>
      </c>
      <c r="L196" s="316">
        <v>2</v>
      </c>
      <c r="M196" s="50">
        <f t="shared" si="12"/>
        <v>2401.25</v>
      </c>
      <c r="N196" s="43">
        <f>1056.55+1344.7</f>
        <v>2401.25</v>
      </c>
      <c r="O196" s="41"/>
      <c r="P196" s="113">
        <v>3</v>
      </c>
      <c r="Q196" s="114">
        <v>5551.69</v>
      </c>
      <c r="R196" s="270">
        <v>3</v>
      </c>
      <c r="S196" s="43">
        <f t="shared" si="14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7" t="s">
        <v>22</v>
      </c>
      <c r="D197" s="374"/>
      <c r="E197" s="374" t="s">
        <v>450</v>
      </c>
      <c r="F197" s="204" t="s">
        <v>451</v>
      </c>
      <c r="G197" s="23" t="s">
        <v>24</v>
      </c>
      <c r="H197" s="24">
        <v>8</v>
      </c>
      <c r="I197" s="25"/>
      <c r="J197" s="25"/>
      <c r="K197" s="26"/>
      <c r="L197" s="205">
        <v>2</v>
      </c>
      <c r="M197" s="26">
        <f t="shared" si="12"/>
        <v>3016.65</v>
      </c>
      <c r="N197" s="30">
        <v>3016.65</v>
      </c>
      <c r="O197" s="31"/>
      <c r="P197" s="53">
        <v>3</v>
      </c>
      <c r="Q197" s="30">
        <v>14217.44</v>
      </c>
      <c r="R197" s="205">
        <v>11</v>
      </c>
      <c r="S197" s="26">
        <f t="shared" si="14"/>
        <v>35207.21</v>
      </c>
      <c r="T197" s="30">
        <v>35207.21</v>
      </c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12"/>
        <v>0</v>
      </c>
      <c r="N198" s="39"/>
      <c r="O198" s="41"/>
      <c r="P198" s="59"/>
      <c r="Q198" s="39"/>
      <c r="R198" s="40"/>
      <c r="S198" s="39">
        <f t="shared" si="1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12"/>
        <v>0</v>
      </c>
      <c r="N199" s="50"/>
      <c r="O199" s="31"/>
      <c r="P199" s="123"/>
      <c r="Q199" s="50"/>
      <c r="R199" s="51"/>
      <c r="S199" s="50">
        <f t="shared" si="1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12"/>
        <v>0</v>
      </c>
      <c r="N200" s="50"/>
      <c r="O200" s="45"/>
      <c r="P200" s="123"/>
      <c r="Q200" s="50"/>
      <c r="R200" s="51"/>
      <c r="S200" s="50">
        <f t="shared" si="1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12"/>
        <v>0</v>
      </c>
      <c r="N201" s="43"/>
      <c r="O201" s="41"/>
      <c r="P201" s="113">
        <v>1</v>
      </c>
      <c r="Q201" s="114">
        <v>4602.5</v>
      </c>
      <c r="R201" s="270">
        <v>1</v>
      </c>
      <c r="S201" s="43">
        <f t="shared" si="1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12"/>
        <v>0</v>
      </c>
      <c r="N202" s="26"/>
      <c r="O202" s="31"/>
      <c r="P202" s="99"/>
      <c r="Q202" s="26"/>
      <c r="R202" s="27"/>
      <c r="S202" s="26">
        <f t="shared" si="1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4</v>
      </c>
      <c r="I203" s="57"/>
      <c r="J203" s="57"/>
      <c r="K203" s="43"/>
      <c r="L203" s="44"/>
      <c r="M203" s="43">
        <f t="shared" si="12"/>
        <v>0</v>
      </c>
      <c r="N203" s="43"/>
      <c r="O203" s="41"/>
      <c r="P203" s="113">
        <v>4</v>
      </c>
      <c r="Q203" s="114">
        <v>7395.85</v>
      </c>
      <c r="R203" s="270">
        <v>5</v>
      </c>
      <c r="S203" s="43">
        <f t="shared" si="14"/>
        <v>8452.4000000000015</v>
      </c>
      <c r="T203" s="114">
        <f>4034.1+1921+2497.3</f>
        <v>8452.4000000000015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12"/>
        <v>0</v>
      </c>
      <c r="N204" s="26"/>
      <c r="O204" s="31"/>
      <c r="P204" s="99"/>
      <c r="Q204" s="26"/>
      <c r="R204" s="27"/>
      <c r="S204" s="26">
        <f t="shared" si="1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2</v>
      </c>
      <c r="I205" s="38"/>
      <c r="J205" s="38"/>
      <c r="K205" s="39"/>
      <c r="L205" s="40"/>
      <c r="M205" s="39">
        <f t="shared" si="12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454</v>
      </c>
      <c r="C206" s="377" t="s">
        <v>39</v>
      </c>
      <c r="D206" s="405" t="s">
        <v>455</v>
      </c>
      <c r="E206" s="381" t="s">
        <v>27</v>
      </c>
      <c r="F206" s="305"/>
      <c r="G206" s="23" t="s">
        <v>24</v>
      </c>
      <c r="H206" s="328"/>
      <c r="I206" s="71"/>
      <c r="J206" s="71"/>
      <c r="K206" s="93"/>
      <c r="L206" s="92"/>
      <c r="M206" s="26">
        <f t="shared" si="12"/>
        <v>0</v>
      </c>
      <c r="N206" s="93"/>
      <c r="O206" s="94"/>
      <c r="P206" s="329"/>
      <c r="Q206" s="91"/>
      <c r="R206" s="330"/>
      <c r="S206" s="26">
        <f t="shared" ref="S206:S222" si="15">T206+U206</f>
        <v>0</v>
      </c>
      <c r="T206" s="91"/>
      <c r="U206" s="3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406"/>
      <c r="E207" s="375"/>
      <c r="F207" s="235"/>
      <c r="G207" s="332" t="s">
        <v>28</v>
      </c>
      <c r="H207" s="333">
        <v>3</v>
      </c>
      <c r="I207" s="139"/>
      <c r="J207" s="139"/>
      <c r="K207" s="142"/>
      <c r="L207" s="143"/>
      <c r="M207" s="26">
        <f t="shared" si="12"/>
        <v>0</v>
      </c>
      <c r="N207" s="142"/>
      <c r="O207" s="142"/>
      <c r="P207" s="246"/>
      <c r="Q207" s="158"/>
      <c r="R207" s="317"/>
      <c r="S207" s="26">
        <f t="shared" si="15"/>
        <v>0</v>
      </c>
      <c r="T207" s="91"/>
      <c r="U207" s="3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166</v>
      </c>
      <c r="C208" s="381" t="s">
        <v>22</v>
      </c>
      <c r="D208" s="377"/>
      <c r="E208" s="381" t="s">
        <v>27</v>
      </c>
      <c r="F208" s="235" t="s">
        <v>420</v>
      </c>
      <c r="G208" s="332" t="s">
        <v>24</v>
      </c>
      <c r="H208" s="333">
        <v>1</v>
      </c>
      <c r="I208" s="139"/>
      <c r="J208" s="139"/>
      <c r="K208" s="142"/>
      <c r="L208" s="143"/>
      <c r="M208" s="142">
        <f t="shared" si="12"/>
        <v>0</v>
      </c>
      <c r="N208" s="142"/>
      <c r="O208" s="142"/>
      <c r="P208" s="246">
        <v>3</v>
      </c>
      <c r="Q208" s="158">
        <v>12689.15</v>
      </c>
      <c r="R208" s="317">
        <v>3</v>
      </c>
      <c r="S208" s="50">
        <f t="shared" si="15"/>
        <v>12689.15</v>
      </c>
      <c r="T208" s="65">
        <v>12689.15</v>
      </c>
      <c r="U208" s="225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6"/>
      <c r="G209" s="227" t="s">
        <v>28</v>
      </c>
      <c r="H209" s="334"/>
      <c r="I209" s="57"/>
      <c r="J209" s="57"/>
      <c r="K209" s="43"/>
      <c r="L209" s="44"/>
      <c r="M209" s="43">
        <f t="shared" si="12"/>
        <v>0</v>
      </c>
      <c r="N209" s="43"/>
      <c r="O209" s="45"/>
      <c r="P209" s="273"/>
      <c r="Q209" s="211"/>
      <c r="R209" s="210"/>
      <c r="S209" s="211">
        <f t="shared" si="15"/>
        <v>0</v>
      </c>
      <c r="T209" s="211"/>
      <c r="U209" s="21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167</v>
      </c>
      <c r="C210" s="374" t="s">
        <v>46</v>
      </c>
      <c r="D210" s="374" t="s">
        <v>168</v>
      </c>
      <c r="E210" s="374" t="s">
        <v>27</v>
      </c>
      <c r="F210" s="204" t="s">
        <v>421</v>
      </c>
      <c r="G210" s="176" t="s">
        <v>24</v>
      </c>
      <c r="H210" s="248">
        <v>4</v>
      </c>
      <c r="I210" s="62">
        <v>3</v>
      </c>
      <c r="J210" s="62">
        <v>3</v>
      </c>
      <c r="K210" s="30">
        <v>2022.81</v>
      </c>
      <c r="L210" s="205">
        <v>3</v>
      </c>
      <c r="M210" s="26">
        <f t="shared" si="12"/>
        <v>2022.81</v>
      </c>
      <c r="N210" s="30">
        <v>2022.81</v>
      </c>
      <c r="O210" s="308"/>
      <c r="P210" s="99"/>
      <c r="Q210" s="26"/>
      <c r="R210" s="27"/>
      <c r="S210" s="26">
        <f t="shared" si="15"/>
        <v>0</v>
      </c>
      <c r="T210" s="26"/>
      <c r="U210" s="28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247</v>
      </c>
      <c r="G211" s="229" t="s">
        <v>28</v>
      </c>
      <c r="H211" s="258">
        <v>6</v>
      </c>
      <c r="I211" s="37">
        <v>4</v>
      </c>
      <c r="J211" s="37">
        <v>4</v>
      </c>
      <c r="K211" s="68">
        <v>9389.9500000000007</v>
      </c>
      <c r="L211" s="285">
        <v>4</v>
      </c>
      <c r="M211" s="39">
        <f t="shared" si="12"/>
        <v>16194.029999999999</v>
      </c>
      <c r="N211" s="39">
        <f>1985.09+7101.24+2689.4+4418.3</f>
        <v>16194.029999999999</v>
      </c>
      <c r="O211" s="309"/>
      <c r="P211" s="310">
        <v>6</v>
      </c>
      <c r="Q211" s="245">
        <v>28151.200000000001</v>
      </c>
      <c r="R211" s="285">
        <v>5</v>
      </c>
      <c r="S211" s="39">
        <f t="shared" si="15"/>
        <v>12486.5</v>
      </c>
      <c r="T211" s="68">
        <f>4034.1+1152.6+2881.5+2497.3+1921</f>
        <v>12486.5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6"/>
      <c r="B212" s="377" t="s">
        <v>169</v>
      </c>
      <c r="C212" s="377" t="s">
        <v>39</v>
      </c>
      <c r="D212" s="377"/>
      <c r="E212" s="377" t="s">
        <v>27</v>
      </c>
      <c r="F212" s="72"/>
      <c r="G212" s="291" t="s">
        <v>24</v>
      </c>
      <c r="H212" s="98"/>
      <c r="I212" s="49"/>
      <c r="J212" s="49"/>
      <c r="K212" s="50"/>
      <c r="L212" s="51"/>
      <c r="M212" s="50">
        <f t="shared" si="12"/>
        <v>0</v>
      </c>
      <c r="N212" s="50"/>
      <c r="O212" s="31"/>
      <c r="P212" s="277"/>
      <c r="Q212" s="81"/>
      <c r="R212" s="80"/>
      <c r="S212" s="81">
        <f t="shared" si="15"/>
        <v>0</v>
      </c>
      <c r="T212" s="81"/>
      <c r="U212" s="21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0" t="s">
        <v>336</v>
      </c>
      <c r="G213" s="229" t="s">
        <v>28</v>
      </c>
      <c r="H213" s="153">
        <v>3</v>
      </c>
      <c r="I213" s="57"/>
      <c r="J213" s="57"/>
      <c r="K213" s="43"/>
      <c r="L213" s="44"/>
      <c r="M213" s="43">
        <f t="shared" si="12"/>
        <v>0</v>
      </c>
      <c r="N213" s="43"/>
      <c r="O213" s="41"/>
      <c r="P213" s="113">
        <v>1</v>
      </c>
      <c r="Q213" s="114">
        <v>3842</v>
      </c>
      <c r="R213" s="316">
        <v>1</v>
      </c>
      <c r="S213" s="50">
        <f t="shared" si="15"/>
        <v>3842</v>
      </c>
      <c r="T213" s="43">
        <f>3842</f>
        <v>3842</v>
      </c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170</v>
      </c>
      <c r="C214" s="374" t="s">
        <v>22</v>
      </c>
      <c r="D214" s="374"/>
      <c r="E214" s="374" t="s">
        <v>160</v>
      </c>
      <c r="F214" s="232" t="s">
        <v>248</v>
      </c>
      <c r="G214" s="23" t="s">
        <v>24</v>
      </c>
      <c r="H214" s="48">
        <v>15</v>
      </c>
      <c r="I214" s="62">
        <v>13</v>
      </c>
      <c r="J214" s="62">
        <v>20</v>
      </c>
      <c r="K214" s="30">
        <v>45826.94</v>
      </c>
      <c r="L214" s="205">
        <v>20</v>
      </c>
      <c r="M214" s="26">
        <f t="shared" si="12"/>
        <v>45826.94</v>
      </c>
      <c r="N214" s="30">
        <v>45826.94</v>
      </c>
      <c r="O214" s="225"/>
      <c r="P214" s="53">
        <v>20</v>
      </c>
      <c r="Q214" s="30">
        <v>64727.57</v>
      </c>
      <c r="R214" s="205">
        <v>20</v>
      </c>
      <c r="S214" s="26">
        <f t="shared" si="15"/>
        <v>64727.57</v>
      </c>
      <c r="T214" s="30">
        <v>64727.57</v>
      </c>
      <c r="U214" s="225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105"/>
      <c r="G215" s="35" t="s">
        <v>28</v>
      </c>
      <c r="H215" s="116"/>
      <c r="I215" s="38"/>
      <c r="J215" s="38"/>
      <c r="K215" s="39"/>
      <c r="L215" s="40"/>
      <c r="M215" s="39">
        <f t="shared" si="12"/>
        <v>0</v>
      </c>
      <c r="N215" s="39"/>
      <c r="O215" s="41"/>
      <c r="P215" s="59"/>
      <c r="Q215" s="39"/>
      <c r="R215" s="40"/>
      <c r="S215" s="39">
        <f t="shared" si="15"/>
        <v>0</v>
      </c>
      <c r="T215" s="39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171</v>
      </c>
      <c r="C216" s="374" t="s">
        <v>39</v>
      </c>
      <c r="D216" s="374" t="s">
        <v>374</v>
      </c>
      <c r="E216" s="374" t="s">
        <v>27</v>
      </c>
      <c r="F216" s="223" t="s">
        <v>375</v>
      </c>
      <c r="G216" s="176" t="s">
        <v>24</v>
      </c>
      <c r="H216" s="48">
        <v>4</v>
      </c>
      <c r="I216" s="203">
        <v>2</v>
      </c>
      <c r="J216" s="203">
        <v>2</v>
      </c>
      <c r="K216" s="65">
        <v>3169.65</v>
      </c>
      <c r="L216" s="224">
        <v>2</v>
      </c>
      <c r="M216" s="50">
        <f t="shared" si="12"/>
        <v>3169.65</v>
      </c>
      <c r="N216" s="65">
        <v>3169.65</v>
      </c>
      <c r="O216" s="31"/>
      <c r="P216" s="108">
        <v>6</v>
      </c>
      <c r="Q216" s="65">
        <v>16741.060000000001</v>
      </c>
      <c r="R216" s="224">
        <v>6</v>
      </c>
      <c r="S216" s="50">
        <f t="shared" si="15"/>
        <v>16741.060000000001</v>
      </c>
      <c r="T216" s="65">
        <v>16741.060000000001</v>
      </c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337</v>
      </c>
      <c r="G217" s="229" t="s">
        <v>28</v>
      </c>
      <c r="H217" s="133">
        <v>3</v>
      </c>
      <c r="I217" s="130">
        <v>1</v>
      </c>
      <c r="J217" s="130">
        <v>1</v>
      </c>
      <c r="K217" s="114">
        <v>3457.8</v>
      </c>
      <c r="L217" s="316">
        <v>1</v>
      </c>
      <c r="M217" s="50">
        <f t="shared" si="12"/>
        <v>3457.8</v>
      </c>
      <c r="N217" s="43">
        <f>3457.8</f>
        <v>3457.8</v>
      </c>
      <c r="O217" s="41"/>
      <c r="P217" s="113">
        <v>2</v>
      </c>
      <c r="Q217" s="114">
        <v>7299.8</v>
      </c>
      <c r="R217" s="270">
        <v>2</v>
      </c>
      <c r="S217" s="43">
        <f t="shared" si="15"/>
        <v>7299.7999999999993</v>
      </c>
      <c r="T217" s="43">
        <f>3073.6+4226.2</f>
        <v>7299.7999999999993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172</v>
      </c>
      <c r="C218" s="374" t="s">
        <v>39</v>
      </c>
      <c r="D218" s="374" t="s">
        <v>303</v>
      </c>
      <c r="E218" s="374" t="s">
        <v>121</v>
      </c>
      <c r="F218" s="204" t="s">
        <v>304</v>
      </c>
      <c r="G218" s="176" t="s">
        <v>24</v>
      </c>
      <c r="H218" s="48">
        <v>18</v>
      </c>
      <c r="I218" s="62">
        <v>9</v>
      </c>
      <c r="J218" s="62">
        <v>10</v>
      </c>
      <c r="K218" s="30">
        <v>7339.68</v>
      </c>
      <c r="L218" s="205">
        <v>10</v>
      </c>
      <c r="M218" s="26">
        <f t="shared" si="12"/>
        <v>7339.68</v>
      </c>
      <c r="N218" s="30">
        <v>7339.68</v>
      </c>
      <c r="O218" s="225"/>
      <c r="P218" s="53">
        <v>28</v>
      </c>
      <c r="Q218" s="30">
        <v>74352.649999999994</v>
      </c>
      <c r="R218" s="205">
        <v>26</v>
      </c>
      <c r="S218" s="26">
        <f t="shared" si="15"/>
        <v>73507.41</v>
      </c>
      <c r="T218" s="30">
        <v>73507.41</v>
      </c>
      <c r="U218" s="30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229" t="s">
        <v>25</v>
      </c>
      <c r="H219" s="102"/>
      <c r="I219" s="57"/>
      <c r="J219" s="57"/>
      <c r="K219" s="43"/>
      <c r="L219" s="44"/>
      <c r="M219" s="43">
        <f t="shared" si="12"/>
        <v>0</v>
      </c>
      <c r="N219" s="43"/>
      <c r="O219" s="41"/>
      <c r="P219" s="113">
        <v>1</v>
      </c>
      <c r="Q219" s="114">
        <v>1728.9</v>
      </c>
      <c r="R219" s="270">
        <v>1</v>
      </c>
      <c r="S219" s="43">
        <f t="shared" si="15"/>
        <v>1728.9</v>
      </c>
      <c r="T219" s="114">
        <v>1728.9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173</v>
      </c>
      <c r="C220" s="374" t="s">
        <v>39</v>
      </c>
      <c r="D220" s="374" t="s">
        <v>338</v>
      </c>
      <c r="E220" s="374" t="s">
        <v>121</v>
      </c>
      <c r="F220" s="232" t="s">
        <v>376</v>
      </c>
      <c r="G220" s="23" t="s">
        <v>24</v>
      </c>
      <c r="H220" s="61">
        <v>29</v>
      </c>
      <c r="I220" s="25"/>
      <c r="J220" s="25"/>
      <c r="K220" s="26"/>
      <c r="L220" s="27"/>
      <c r="M220" s="26">
        <f t="shared" si="12"/>
        <v>0</v>
      </c>
      <c r="N220" s="26"/>
      <c r="O220" s="31"/>
      <c r="P220" s="53">
        <v>6</v>
      </c>
      <c r="Q220" s="30">
        <v>5292.88</v>
      </c>
      <c r="R220" s="205">
        <v>5</v>
      </c>
      <c r="S220" s="26">
        <f t="shared" si="15"/>
        <v>4887.8599999999997</v>
      </c>
      <c r="T220" s="30">
        <v>4887.8599999999997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339</v>
      </c>
      <c r="G221" s="35" t="s">
        <v>25</v>
      </c>
      <c r="H221" s="117">
        <v>12</v>
      </c>
      <c r="I221" s="37">
        <v>1</v>
      </c>
      <c r="J221" s="37">
        <v>1</v>
      </c>
      <c r="K221" s="68">
        <v>1152.5999999999999</v>
      </c>
      <c r="L221" s="285">
        <v>1</v>
      </c>
      <c r="M221" s="39">
        <f t="shared" si="12"/>
        <v>1152.5999999999999</v>
      </c>
      <c r="N221" s="68">
        <v>1152.5999999999999</v>
      </c>
      <c r="O221" s="234"/>
      <c r="P221" s="115">
        <v>2</v>
      </c>
      <c r="Q221" s="68">
        <v>4942.5</v>
      </c>
      <c r="R221" s="285">
        <v>2</v>
      </c>
      <c r="S221" s="39">
        <f t="shared" si="15"/>
        <v>4942.5</v>
      </c>
      <c r="T221" s="68">
        <v>4942.5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174</v>
      </c>
      <c r="C222" s="374" t="s">
        <v>39</v>
      </c>
      <c r="D222" s="374" t="s">
        <v>175</v>
      </c>
      <c r="E222" s="374" t="s">
        <v>176</v>
      </c>
      <c r="F222" s="204" t="s">
        <v>377</v>
      </c>
      <c r="G222" s="176" t="s">
        <v>24</v>
      </c>
      <c r="H222" s="48">
        <v>12</v>
      </c>
      <c r="I222" s="203">
        <v>10</v>
      </c>
      <c r="J222" s="203">
        <v>11</v>
      </c>
      <c r="K222" s="65">
        <v>20832.330000000002</v>
      </c>
      <c r="L222" s="224">
        <v>11</v>
      </c>
      <c r="M222" s="50">
        <f t="shared" si="12"/>
        <v>20832.330000000002</v>
      </c>
      <c r="N222" s="65">
        <v>20832.330000000002</v>
      </c>
      <c r="O222" s="225"/>
      <c r="P222" s="108">
        <v>18</v>
      </c>
      <c r="Q222" s="65">
        <v>56598.95</v>
      </c>
      <c r="R222" s="224">
        <v>18</v>
      </c>
      <c r="S222" s="50">
        <f t="shared" si="15"/>
        <v>56598.95</v>
      </c>
      <c r="T222" s="65">
        <v>56598.95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220" t="s">
        <v>340</v>
      </c>
      <c r="G223" s="229" t="s">
        <v>25</v>
      </c>
      <c r="H223" s="153">
        <v>2</v>
      </c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9</v>
      </c>
      <c r="Q223" s="114">
        <v>44675.6</v>
      </c>
      <c r="R223" s="270">
        <v>9</v>
      </c>
      <c r="S223" s="114">
        <v>44675.6</v>
      </c>
      <c r="T223" s="114">
        <v>44675.6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177</v>
      </c>
      <c r="C224" s="377" t="s">
        <v>39</v>
      </c>
      <c r="D224" s="374" t="s">
        <v>226</v>
      </c>
      <c r="E224" s="374" t="s">
        <v>27</v>
      </c>
      <c r="F224" s="204" t="s">
        <v>227</v>
      </c>
      <c r="G224" s="23" t="s">
        <v>24</v>
      </c>
      <c r="H224" s="48">
        <v>5</v>
      </c>
      <c r="I224" s="62">
        <v>3</v>
      </c>
      <c r="J224" s="62">
        <v>3</v>
      </c>
      <c r="K224" s="30">
        <v>1969.94</v>
      </c>
      <c r="L224" s="205">
        <v>3</v>
      </c>
      <c r="M224" s="26">
        <f t="shared" si="12"/>
        <v>1969.94</v>
      </c>
      <c r="N224" s="30">
        <v>1969.94</v>
      </c>
      <c r="O224" s="225"/>
      <c r="P224" s="53">
        <v>16</v>
      </c>
      <c r="Q224" s="30">
        <v>53460.74</v>
      </c>
      <c r="R224" s="205">
        <v>16</v>
      </c>
      <c r="S224" s="26">
        <f t="shared" ref="S224:S227" si="16">T224+U224</f>
        <v>53460.74</v>
      </c>
      <c r="T224" s="30">
        <v>53460.74</v>
      </c>
      <c r="U224" s="225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80"/>
      <c r="D225" s="375"/>
      <c r="E225" s="375"/>
      <c r="F225" s="126"/>
      <c r="G225" s="55" t="s">
        <v>28</v>
      </c>
      <c r="H225" s="118"/>
      <c r="I225" s="57"/>
      <c r="J225" s="57"/>
      <c r="K225" s="43"/>
      <c r="L225" s="44"/>
      <c r="M225" s="43">
        <f t="shared" si="12"/>
        <v>0</v>
      </c>
      <c r="N225" s="43"/>
      <c r="O225" s="41"/>
      <c r="P225" s="103"/>
      <c r="Q225" s="43"/>
      <c r="R225" s="44"/>
      <c r="S225" s="43">
        <f t="shared" si="16"/>
        <v>0</v>
      </c>
      <c r="T225" s="43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178</v>
      </c>
      <c r="C226" s="374" t="s">
        <v>22</v>
      </c>
      <c r="D226" s="374"/>
      <c r="E226" s="374" t="s">
        <v>27</v>
      </c>
      <c r="F226" s="223" t="s">
        <v>452</v>
      </c>
      <c r="G226" s="176" t="s">
        <v>24</v>
      </c>
      <c r="H226" s="61">
        <v>3</v>
      </c>
      <c r="I226" s="62">
        <v>2</v>
      </c>
      <c r="J226" s="62">
        <v>2</v>
      </c>
      <c r="K226" s="30">
        <v>2387.8000000000002</v>
      </c>
      <c r="L226" s="205">
        <v>2</v>
      </c>
      <c r="M226" s="26">
        <f t="shared" si="12"/>
        <v>2387.8000000000002</v>
      </c>
      <c r="N226" s="30">
        <v>2387.8000000000002</v>
      </c>
      <c r="O226" s="31"/>
      <c r="P226" s="29">
        <v>1</v>
      </c>
      <c r="Q226" s="30">
        <v>2466.56</v>
      </c>
      <c r="R226" s="205">
        <v>1</v>
      </c>
      <c r="S226" s="26">
        <f t="shared" si="16"/>
        <v>2466.56</v>
      </c>
      <c r="T226" s="30">
        <v>2466.56</v>
      </c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21"/>
      <c r="G227" s="252" t="s">
        <v>28</v>
      </c>
      <c r="H227" s="322"/>
      <c r="I227" s="139"/>
      <c r="J227" s="139"/>
      <c r="K227" s="142"/>
      <c r="L227" s="143"/>
      <c r="M227" s="142">
        <f t="shared" si="12"/>
        <v>0</v>
      </c>
      <c r="N227" s="142"/>
      <c r="O227" s="323"/>
      <c r="P227" s="324"/>
      <c r="Q227" s="142"/>
      <c r="R227" s="143"/>
      <c r="S227" s="142">
        <f t="shared" si="16"/>
        <v>0</v>
      </c>
      <c r="T227" s="142"/>
      <c r="U227" s="323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445</v>
      </c>
      <c r="C228" s="374"/>
      <c r="D228" s="374"/>
      <c r="E228" s="374"/>
      <c r="F228" s="72"/>
      <c r="G228" s="176" t="s">
        <v>24</v>
      </c>
      <c r="H228" s="265"/>
      <c r="I228" s="266"/>
      <c r="J228" s="96"/>
      <c r="K228" s="81"/>
      <c r="L228" s="80"/>
      <c r="M228" s="81"/>
      <c r="N228" s="81"/>
      <c r="O228" s="82"/>
      <c r="P228" s="295"/>
      <c r="Q228" s="81"/>
      <c r="R228" s="80"/>
      <c r="S228" s="81"/>
      <c r="T228" s="81"/>
      <c r="U228" s="8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6"/>
      <c r="G229" s="252" t="s">
        <v>28</v>
      </c>
      <c r="H229" s="302">
        <v>1</v>
      </c>
      <c r="I229" s="261"/>
      <c r="J229" s="261"/>
      <c r="K229" s="211"/>
      <c r="L229" s="210"/>
      <c r="M229" s="211"/>
      <c r="N229" s="211"/>
      <c r="O229" s="212"/>
      <c r="P229" s="284"/>
      <c r="Q229" s="211"/>
      <c r="R229" s="210"/>
      <c r="S229" s="211"/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179</v>
      </c>
      <c r="C230" s="374"/>
      <c r="D230" s="374"/>
      <c r="E230" s="374" t="s">
        <v>27</v>
      </c>
      <c r="F230" s="22"/>
      <c r="G230" s="176" t="s">
        <v>24</v>
      </c>
      <c r="H230" s="61">
        <v>2</v>
      </c>
      <c r="I230" s="25"/>
      <c r="J230" s="25"/>
      <c r="K230" s="26"/>
      <c r="L230" s="27"/>
      <c r="M230" s="26">
        <f t="shared" ref="M230:M248" si="17">N230+O230</f>
        <v>0</v>
      </c>
      <c r="N230" s="26"/>
      <c r="O230" s="28"/>
      <c r="P230" s="120"/>
      <c r="Q230" s="26"/>
      <c r="R230" s="27"/>
      <c r="S230" s="26">
        <f t="shared" ref="S230:S248" si="18">T230+U230</f>
        <v>0</v>
      </c>
      <c r="T230" s="26"/>
      <c r="U230" s="28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29" t="s">
        <v>28</v>
      </c>
      <c r="H231" s="298"/>
      <c r="I231" s="261"/>
      <c r="J231" s="261"/>
      <c r="K231" s="211"/>
      <c r="L231" s="210"/>
      <c r="M231" s="211">
        <f t="shared" si="17"/>
        <v>0</v>
      </c>
      <c r="N231" s="211"/>
      <c r="O231" s="212"/>
      <c r="P231" s="284"/>
      <c r="Q231" s="211"/>
      <c r="R231" s="210"/>
      <c r="S231" s="211">
        <f t="shared" si="18"/>
        <v>0</v>
      </c>
      <c r="T231" s="211"/>
      <c r="U231" s="21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378</v>
      </c>
      <c r="C232" s="374" t="s">
        <v>46</v>
      </c>
      <c r="D232" s="374" t="s">
        <v>422</v>
      </c>
      <c r="E232" s="374" t="s">
        <v>27</v>
      </c>
      <c r="F232" s="232" t="s">
        <v>423</v>
      </c>
      <c r="G232" s="213" t="s">
        <v>24</v>
      </c>
      <c r="H232" s="61">
        <v>11</v>
      </c>
      <c r="I232" s="62">
        <v>7</v>
      </c>
      <c r="J232" s="62">
        <v>8</v>
      </c>
      <c r="K232" s="30">
        <v>8606.68</v>
      </c>
      <c r="L232" s="205">
        <v>8</v>
      </c>
      <c r="M232" s="26">
        <f t="shared" si="17"/>
        <v>8606.68</v>
      </c>
      <c r="N232" s="30">
        <v>8606.68</v>
      </c>
      <c r="O232" s="28"/>
      <c r="P232" s="214"/>
      <c r="Q232" s="30"/>
      <c r="R232" s="205"/>
      <c r="S232" s="26">
        <f t="shared" si="18"/>
        <v>0</v>
      </c>
      <c r="T232" s="30"/>
      <c r="U232" s="24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0"/>
      <c r="G233" s="215" t="s">
        <v>28</v>
      </c>
      <c r="H233" s="117">
        <v>5</v>
      </c>
      <c r="I233" s="37">
        <v>1</v>
      </c>
      <c r="J233" s="37">
        <v>1</v>
      </c>
      <c r="K233" s="68">
        <v>1152.5999999999999</v>
      </c>
      <c r="L233" s="285">
        <v>1</v>
      </c>
      <c r="M233" s="39">
        <f t="shared" si="17"/>
        <v>1152.5999999999999</v>
      </c>
      <c r="N233" s="39">
        <f>1152.6</f>
        <v>1152.5999999999999</v>
      </c>
      <c r="O233" s="41"/>
      <c r="P233" s="217"/>
      <c r="Q233" s="68"/>
      <c r="R233" s="285"/>
      <c r="S233" s="39">
        <f t="shared" si="18"/>
        <v>0</v>
      </c>
      <c r="T233" s="68"/>
      <c r="U233" s="23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6"/>
      <c r="B234" s="377" t="s">
        <v>180</v>
      </c>
      <c r="C234" s="377" t="s">
        <v>46</v>
      </c>
      <c r="D234" s="377" t="s">
        <v>181</v>
      </c>
      <c r="E234" s="377" t="s">
        <v>27</v>
      </c>
      <c r="F234" s="232" t="s">
        <v>228</v>
      </c>
      <c r="G234" s="95" t="s">
        <v>24</v>
      </c>
      <c r="H234" s="265">
        <v>12</v>
      </c>
      <c r="I234" s="266">
        <v>7</v>
      </c>
      <c r="J234" s="266">
        <v>8</v>
      </c>
      <c r="K234" s="79">
        <v>5763.01</v>
      </c>
      <c r="L234" s="268">
        <v>8</v>
      </c>
      <c r="M234" s="81">
        <f t="shared" si="17"/>
        <v>5763.01</v>
      </c>
      <c r="N234" s="79">
        <v>5763.01</v>
      </c>
      <c r="O234" s="219"/>
      <c r="P234" s="267">
        <v>14</v>
      </c>
      <c r="Q234" s="79">
        <v>65943.149999999994</v>
      </c>
      <c r="R234" s="268">
        <v>14</v>
      </c>
      <c r="S234" s="26">
        <f t="shared" si="18"/>
        <v>65943.149999999994</v>
      </c>
      <c r="T234" s="79">
        <v>65943.149999999994</v>
      </c>
      <c r="U234" s="269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9"/>
      <c r="B235" s="380"/>
      <c r="C235" s="380"/>
      <c r="D235" s="380"/>
      <c r="E235" s="380"/>
      <c r="F235" s="54"/>
      <c r="G235" s="55" t="s">
        <v>28</v>
      </c>
      <c r="H235" s="116"/>
      <c r="I235" s="57"/>
      <c r="J235" s="57"/>
      <c r="K235" s="43"/>
      <c r="L235" s="128"/>
      <c r="M235" s="50">
        <f t="shared" si="17"/>
        <v>0</v>
      </c>
      <c r="N235" s="43"/>
      <c r="O235" s="41"/>
      <c r="P235" s="113">
        <v>3</v>
      </c>
      <c r="Q235" s="114">
        <v>15175.95</v>
      </c>
      <c r="R235" s="270">
        <v>3</v>
      </c>
      <c r="S235" s="43">
        <f t="shared" si="18"/>
        <v>2881.5499999999997</v>
      </c>
      <c r="T235" s="114">
        <f>2209.2+672.35</f>
        <v>2881.5499999999997</v>
      </c>
      <c r="U235" s="4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182</v>
      </c>
      <c r="C236" s="374" t="s">
        <v>46</v>
      </c>
      <c r="D236" s="374" t="s">
        <v>181</v>
      </c>
      <c r="E236" s="374" t="s">
        <v>27</v>
      </c>
      <c r="F236" s="204" t="s">
        <v>379</v>
      </c>
      <c r="G236" s="23" t="s">
        <v>24</v>
      </c>
      <c r="H236" s="48">
        <v>16</v>
      </c>
      <c r="I236" s="62">
        <v>16</v>
      </c>
      <c r="J236" s="62">
        <v>18</v>
      </c>
      <c r="K236" s="30">
        <v>24999.53</v>
      </c>
      <c r="L236" s="205">
        <v>18</v>
      </c>
      <c r="M236" s="26">
        <f t="shared" si="17"/>
        <v>24999.53</v>
      </c>
      <c r="N236" s="30">
        <v>24999.53</v>
      </c>
      <c r="O236" s="31"/>
      <c r="P236" s="53">
        <v>11</v>
      </c>
      <c r="Q236" s="30">
        <v>66117.05</v>
      </c>
      <c r="R236" s="205">
        <v>10</v>
      </c>
      <c r="S236" s="26">
        <f t="shared" si="18"/>
        <v>58580.480000000003</v>
      </c>
      <c r="T236" s="30">
        <v>58580.480000000003</v>
      </c>
      <c r="U236" s="100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35" t="s">
        <v>28</v>
      </c>
      <c r="H237" s="116"/>
      <c r="I237" s="38"/>
      <c r="J237" s="38"/>
      <c r="K237" s="39"/>
      <c r="L237" s="40"/>
      <c r="M237" s="39">
        <f t="shared" si="17"/>
        <v>0</v>
      </c>
      <c r="N237" s="39"/>
      <c r="O237" s="41"/>
      <c r="P237" s="115">
        <v>2</v>
      </c>
      <c r="Q237" s="68">
        <v>4418.3</v>
      </c>
      <c r="R237" s="285">
        <v>1</v>
      </c>
      <c r="S237" s="39">
        <f t="shared" si="18"/>
        <v>3073.6</v>
      </c>
      <c r="T237" s="39">
        <f>3073.6</f>
        <v>3073.6</v>
      </c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82"/>
      <c r="B238" s="381" t="s">
        <v>183</v>
      </c>
      <c r="C238" s="381" t="s">
        <v>22</v>
      </c>
      <c r="D238" s="381"/>
      <c r="E238" s="381" t="s">
        <v>99</v>
      </c>
      <c r="F238" s="223" t="s">
        <v>380</v>
      </c>
      <c r="G238" s="23" t="s">
        <v>24</v>
      </c>
      <c r="H238" s="48">
        <v>6</v>
      </c>
      <c r="I238" s="203">
        <v>2</v>
      </c>
      <c r="J238" s="203">
        <v>3</v>
      </c>
      <c r="K238" s="65">
        <v>4599.43</v>
      </c>
      <c r="L238" s="224">
        <v>2</v>
      </c>
      <c r="M238" s="50">
        <f t="shared" si="17"/>
        <v>2320.1799999999998</v>
      </c>
      <c r="N238" s="65">
        <v>2320.1799999999998</v>
      </c>
      <c r="O238" s="31"/>
      <c r="P238" s="108">
        <v>11</v>
      </c>
      <c r="Q238" s="65">
        <v>20748.419999999998</v>
      </c>
      <c r="R238" s="224">
        <v>11</v>
      </c>
      <c r="S238" s="50">
        <f t="shared" si="18"/>
        <v>20748.419999999998</v>
      </c>
      <c r="T238" s="65">
        <v>20748.419999999998</v>
      </c>
      <c r="U238" s="225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252</v>
      </c>
      <c r="G239" s="227" t="s">
        <v>28</v>
      </c>
      <c r="H239" s="292">
        <v>6</v>
      </c>
      <c r="I239" s="208">
        <v>1</v>
      </c>
      <c r="J239" s="208">
        <v>1</v>
      </c>
      <c r="K239" s="209">
        <v>3073.6</v>
      </c>
      <c r="L239" s="210"/>
      <c r="M239" s="211">
        <f t="shared" si="17"/>
        <v>0</v>
      </c>
      <c r="N239" s="211"/>
      <c r="O239" s="212"/>
      <c r="P239" s="262">
        <v>3</v>
      </c>
      <c r="Q239" s="209">
        <v>7185.1</v>
      </c>
      <c r="R239" s="290">
        <v>2</v>
      </c>
      <c r="S239" s="211">
        <f t="shared" si="18"/>
        <v>5378.8</v>
      </c>
      <c r="T239" s="211">
        <f>4034.1+1344.7</f>
        <v>5378.8</v>
      </c>
      <c r="U239" s="21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425</v>
      </c>
      <c r="C240" s="374" t="s">
        <v>22</v>
      </c>
      <c r="D240" s="374"/>
      <c r="E240" s="374" t="s">
        <v>131</v>
      </c>
      <c r="F240" s="204" t="s">
        <v>426</v>
      </c>
      <c r="G240" s="176" t="s">
        <v>24</v>
      </c>
      <c r="H240" s="61">
        <v>2</v>
      </c>
      <c r="I240" s="62">
        <v>1</v>
      </c>
      <c r="J240" s="62">
        <v>1</v>
      </c>
      <c r="K240" s="30">
        <v>2161.6999999999998</v>
      </c>
      <c r="L240" s="205">
        <v>2</v>
      </c>
      <c r="M240" s="26">
        <f t="shared" si="17"/>
        <v>3486.32</v>
      </c>
      <c r="N240" s="30">
        <v>3486.32</v>
      </c>
      <c r="O240" s="28"/>
      <c r="P240" s="275"/>
      <c r="Q240" s="26"/>
      <c r="R240" s="27"/>
      <c r="S240" s="26">
        <f t="shared" si="18"/>
        <v>0</v>
      </c>
      <c r="T240" s="26"/>
      <c r="U240" s="28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229" t="s">
        <v>25</v>
      </c>
      <c r="H241" s="106"/>
      <c r="I241" s="38"/>
      <c r="J241" s="38"/>
      <c r="K241" s="39"/>
      <c r="L241" s="40"/>
      <c r="M241" s="39">
        <f t="shared" si="17"/>
        <v>0</v>
      </c>
      <c r="N241" s="39"/>
      <c r="O241" s="41"/>
      <c r="P241" s="276"/>
      <c r="Q241" s="39"/>
      <c r="R241" s="40"/>
      <c r="S241" s="39">
        <f t="shared" si="18"/>
        <v>0</v>
      </c>
      <c r="T241" s="39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6"/>
      <c r="B242" s="377" t="s">
        <v>184</v>
      </c>
      <c r="C242" s="377" t="s">
        <v>22</v>
      </c>
      <c r="D242" s="377"/>
      <c r="E242" s="377" t="s">
        <v>27</v>
      </c>
      <c r="F242" s="223" t="s">
        <v>453</v>
      </c>
      <c r="G242" s="95" t="s">
        <v>24</v>
      </c>
      <c r="H242" s="265">
        <v>1</v>
      </c>
      <c r="I242" s="266">
        <v>1</v>
      </c>
      <c r="J242" s="266">
        <v>1</v>
      </c>
      <c r="K242" s="79">
        <v>950.9</v>
      </c>
      <c r="L242" s="268">
        <v>1</v>
      </c>
      <c r="M242" s="81">
        <f t="shared" si="17"/>
        <v>950.9</v>
      </c>
      <c r="N242" s="79">
        <v>950.9</v>
      </c>
      <c r="O242" s="219"/>
      <c r="P242" s="277"/>
      <c r="Q242" s="81"/>
      <c r="R242" s="80"/>
      <c r="S242" s="81">
        <f t="shared" si="18"/>
        <v>0</v>
      </c>
      <c r="T242" s="81"/>
      <c r="U242" s="219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253</v>
      </c>
      <c r="G243" s="227" t="s">
        <v>28</v>
      </c>
      <c r="H243" s="153">
        <v>4</v>
      </c>
      <c r="I243" s="130">
        <v>3</v>
      </c>
      <c r="J243" s="130">
        <v>3</v>
      </c>
      <c r="K243" s="114">
        <v>8675.82</v>
      </c>
      <c r="L243" s="270">
        <v>2</v>
      </c>
      <c r="M243" s="43">
        <f t="shared" si="17"/>
        <v>5301.96</v>
      </c>
      <c r="N243" s="43">
        <f>1921+3380.96</f>
        <v>5301.96</v>
      </c>
      <c r="O243" s="41"/>
      <c r="P243" s="113">
        <v>5</v>
      </c>
      <c r="Q243" s="114">
        <v>10565.5</v>
      </c>
      <c r="R243" s="270">
        <v>4</v>
      </c>
      <c r="S243" s="43">
        <f t="shared" si="18"/>
        <v>9989.2000000000007</v>
      </c>
      <c r="T243" s="114">
        <f>2958.34+3457.8+1267.86+2305.2</f>
        <v>9989.2000000000007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185</v>
      </c>
      <c r="C244" s="374" t="s">
        <v>22</v>
      </c>
      <c r="D244" s="374"/>
      <c r="E244" s="374" t="s">
        <v>27</v>
      </c>
      <c r="F244" s="204" t="s">
        <v>341</v>
      </c>
      <c r="G244" s="176" t="s">
        <v>24</v>
      </c>
      <c r="H244" s="98"/>
      <c r="I244" s="25"/>
      <c r="J244" s="25"/>
      <c r="K244" s="26"/>
      <c r="L244" s="27"/>
      <c r="M244" s="26">
        <f t="shared" si="17"/>
        <v>0</v>
      </c>
      <c r="N244" s="26"/>
      <c r="O244" s="31"/>
      <c r="P244" s="53">
        <v>2</v>
      </c>
      <c r="Q244" s="30">
        <v>2633.4</v>
      </c>
      <c r="R244" s="205">
        <v>2</v>
      </c>
      <c r="S244" s="26">
        <f t="shared" si="18"/>
        <v>2633.4</v>
      </c>
      <c r="T244" s="30">
        <v>2633.4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342</v>
      </c>
      <c r="G245" s="229" t="s">
        <v>28</v>
      </c>
      <c r="H245" s="133">
        <v>3</v>
      </c>
      <c r="I245" s="57"/>
      <c r="J245" s="57"/>
      <c r="K245" s="43"/>
      <c r="L245" s="44"/>
      <c r="M245" s="43">
        <f t="shared" si="17"/>
        <v>0</v>
      </c>
      <c r="N245" s="43"/>
      <c r="O245" s="41"/>
      <c r="P245" s="113">
        <v>3</v>
      </c>
      <c r="Q245" s="114">
        <v>15773.67</v>
      </c>
      <c r="R245" s="270">
        <v>1</v>
      </c>
      <c r="S245" s="43">
        <f t="shared" si="18"/>
        <v>2994.47</v>
      </c>
      <c r="T245" s="43">
        <f>2994.47</f>
        <v>2994.47</v>
      </c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186</v>
      </c>
      <c r="C246" s="374" t="s">
        <v>22</v>
      </c>
      <c r="D246" s="374"/>
      <c r="E246" s="374" t="s">
        <v>99</v>
      </c>
      <c r="F246" s="232" t="s">
        <v>315</v>
      </c>
      <c r="G246" s="23" t="s">
        <v>24</v>
      </c>
      <c r="H246" s="48">
        <v>7</v>
      </c>
      <c r="I246" s="62">
        <v>4</v>
      </c>
      <c r="J246" s="62">
        <v>6</v>
      </c>
      <c r="K246" s="30">
        <v>15409.25</v>
      </c>
      <c r="L246" s="205">
        <v>5</v>
      </c>
      <c r="M246" s="26">
        <f t="shared" si="17"/>
        <v>12320.28</v>
      </c>
      <c r="N246" s="30">
        <v>12320.28</v>
      </c>
      <c r="O246" s="31"/>
      <c r="P246" s="53">
        <v>12</v>
      </c>
      <c r="Q246" s="30">
        <v>25258.31</v>
      </c>
      <c r="R246" s="205">
        <v>12</v>
      </c>
      <c r="S246" s="26">
        <f t="shared" si="18"/>
        <v>25258.31</v>
      </c>
      <c r="T246" s="30">
        <v>25258.31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254</v>
      </c>
      <c r="G247" s="35" t="s">
        <v>28</v>
      </c>
      <c r="H247" s="153">
        <v>8</v>
      </c>
      <c r="I247" s="38"/>
      <c r="J247" s="38"/>
      <c r="K247" s="39"/>
      <c r="L247" s="40"/>
      <c r="M247" s="39">
        <f t="shared" si="17"/>
        <v>0</v>
      </c>
      <c r="N247" s="39"/>
      <c r="O247" s="41"/>
      <c r="P247" s="59"/>
      <c r="Q247" s="39"/>
      <c r="R247" s="40"/>
      <c r="S247" s="39">
        <f t="shared" si="18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187</v>
      </c>
      <c r="C248" s="381" t="s">
        <v>22</v>
      </c>
      <c r="D248" s="381"/>
      <c r="E248" s="381" t="s">
        <v>131</v>
      </c>
      <c r="F248" s="223" t="s">
        <v>343</v>
      </c>
      <c r="G248" s="23" t="s">
        <v>24</v>
      </c>
      <c r="H248" s="48">
        <v>13</v>
      </c>
      <c r="I248" s="203">
        <v>11</v>
      </c>
      <c r="J248" s="203">
        <v>16</v>
      </c>
      <c r="K248" s="65">
        <v>32555.18</v>
      </c>
      <c r="L248" s="224">
        <v>13</v>
      </c>
      <c r="M248" s="50">
        <f t="shared" si="17"/>
        <v>25793.23</v>
      </c>
      <c r="N248" s="65">
        <v>25793.23</v>
      </c>
      <c r="O248" s="225"/>
      <c r="P248" s="108">
        <v>18</v>
      </c>
      <c r="Q248" s="65">
        <v>50634.13</v>
      </c>
      <c r="R248" s="224">
        <v>18</v>
      </c>
      <c r="S248" s="50">
        <f t="shared" si="18"/>
        <v>50634.13</v>
      </c>
      <c r="T248" s="65">
        <v>50634.13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9"/>
      <c r="B249" s="380"/>
      <c r="C249" s="380"/>
      <c r="D249" s="380"/>
      <c r="E249" s="380"/>
      <c r="F249" s="247"/>
      <c r="G249" s="227" t="s">
        <v>25</v>
      </c>
      <c r="H249" s="153">
        <v>2</v>
      </c>
      <c r="I249" s="130">
        <v>1</v>
      </c>
      <c r="J249" s="130">
        <v>1</v>
      </c>
      <c r="K249" s="114">
        <v>1728.9</v>
      </c>
      <c r="L249" s="270">
        <v>1</v>
      </c>
      <c r="M249" s="114">
        <v>1728.9</v>
      </c>
      <c r="N249" s="114">
        <v>1728.9</v>
      </c>
      <c r="O249" s="41"/>
      <c r="P249" s="113">
        <v>4</v>
      </c>
      <c r="Q249" s="114">
        <v>30582.32</v>
      </c>
      <c r="R249" s="270">
        <v>3</v>
      </c>
      <c r="S249" s="114">
        <v>23282.52</v>
      </c>
      <c r="T249" s="114">
        <v>23282.52</v>
      </c>
      <c r="U249" s="23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429</v>
      </c>
      <c r="C250" s="374" t="s">
        <v>22</v>
      </c>
      <c r="D250" s="374"/>
      <c r="E250" s="374" t="s">
        <v>27</v>
      </c>
      <c r="F250" s="204" t="s">
        <v>446</v>
      </c>
      <c r="G250" s="176" t="s">
        <v>24</v>
      </c>
      <c r="H250" s="151"/>
      <c r="I250" s="25"/>
      <c r="J250" s="25"/>
      <c r="K250" s="26"/>
      <c r="L250" s="27"/>
      <c r="M250" s="26">
        <f t="shared" ref="M250:M283" si="19">N250+O250</f>
        <v>0</v>
      </c>
      <c r="N250" s="30"/>
      <c r="O250" s="31"/>
      <c r="P250" s="53">
        <v>1</v>
      </c>
      <c r="Q250" s="30">
        <v>36784.050000000003</v>
      </c>
      <c r="R250" s="205">
        <v>1</v>
      </c>
      <c r="S250" s="26">
        <f t="shared" ref="S250:S276" si="20">T250+U250</f>
        <v>36784.050000000003</v>
      </c>
      <c r="T250" s="30">
        <v>36784.050000000003</v>
      </c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/>
      <c r="G251" s="229" t="s">
        <v>28</v>
      </c>
      <c r="H251" s="56"/>
      <c r="I251" s="57"/>
      <c r="J251" s="57"/>
      <c r="K251" s="43"/>
      <c r="L251" s="44"/>
      <c r="M251" s="43">
        <f t="shared" si="19"/>
        <v>0</v>
      </c>
      <c r="N251" s="43"/>
      <c r="O251" s="45"/>
      <c r="P251" s="113"/>
      <c r="Q251" s="114"/>
      <c r="R251" s="44"/>
      <c r="S251" s="43">
        <f t="shared" si="20"/>
        <v>0</v>
      </c>
      <c r="T251" s="114"/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188</v>
      </c>
      <c r="C252" s="374" t="s">
        <v>39</v>
      </c>
      <c r="D252" s="374"/>
      <c r="E252" s="374" t="s">
        <v>27</v>
      </c>
      <c r="F252" s="22"/>
      <c r="G252" s="176" t="s">
        <v>24</v>
      </c>
      <c r="H252" s="151">
        <v>2</v>
      </c>
      <c r="I252" s="25"/>
      <c r="J252" s="25"/>
      <c r="K252" s="26"/>
      <c r="L252" s="27"/>
      <c r="M252" s="26">
        <f t="shared" si="19"/>
        <v>0</v>
      </c>
      <c r="N252" s="26"/>
      <c r="O252" s="31"/>
      <c r="P252" s="53">
        <v>1</v>
      </c>
      <c r="Q252" s="30">
        <v>2000</v>
      </c>
      <c r="R252" s="27"/>
      <c r="S252" s="26">
        <f t="shared" si="20"/>
        <v>0</v>
      </c>
      <c r="T252" s="26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20.25" customHeight="1">
      <c r="A253" s="373"/>
      <c r="B253" s="375"/>
      <c r="C253" s="375"/>
      <c r="D253" s="375"/>
      <c r="E253" s="375"/>
      <c r="F253" s="220" t="s">
        <v>344</v>
      </c>
      <c r="G253" s="229" t="s">
        <v>28</v>
      </c>
      <c r="H253" s="56">
        <v>3</v>
      </c>
      <c r="I253" s="130">
        <v>1</v>
      </c>
      <c r="J253" s="130">
        <v>1</v>
      </c>
      <c r="K253" s="114">
        <v>1052.5999999999999</v>
      </c>
      <c r="L253" s="44"/>
      <c r="M253" s="43">
        <f t="shared" si="19"/>
        <v>0</v>
      </c>
      <c r="N253" s="43"/>
      <c r="O253" s="222">
        <v>0</v>
      </c>
      <c r="P253" s="113">
        <v>13</v>
      </c>
      <c r="Q253" s="114">
        <v>15160.1</v>
      </c>
      <c r="R253" s="44"/>
      <c r="S253" s="43">
        <f t="shared" si="20"/>
        <v>4050.2</v>
      </c>
      <c r="T253" s="114">
        <v>4050.2</v>
      </c>
      <c r="U253" s="222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189</v>
      </c>
      <c r="C254" s="374" t="s">
        <v>39</v>
      </c>
      <c r="D254" s="374" t="s">
        <v>427</v>
      </c>
      <c r="E254" s="374" t="s">
        <v>27</v>
      </c>
      <c r="F254" s="232" t="s">
        <v>428</v>
      </c>
      <c r="G254" s="23" t="s">
        <v>24</v>
      </c>
      <c r="H254" s="24">
        <v>15</v>
      </c>
      <c r="I254" s="62">
        <v>12</v>
      </c>
      <c r="J254" s="62">
        <v>16</v>
      </c>
      <c r="K254" s="30">
        <v>30360.41</v>
      </c>
      <c r="L254" s="205">
        <v>16</v>
      </c>
      <c r="M254" s="26">
        <f t="shared" si="19"/>
        <v>30275.46</v>
      </c>
      <c r="N254" s="30">
        <v>30275.46</v>
      </c>
      <c r="O254" s="241"/>
      <c r="P254" s="29">
        <v>2</v>
      </c>
      <c r="Q254" s="30">
        <v>1870.81</v>
      </c>
      <c r="R254" s="205">
        <v>2</v>
      </c>
      <c r="S254" s="26">
        <f t="shared" si="20"/>
        <v>1870.81</v>
      </c>
      <c r="T254" s="30">
        <v>1870.81</v>
      </c>
      <c r="U254" s="2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256</v>
      </c>
      <c r="G255" s="35" t="s">
        <v>28</v>
      </c>
      <c r="H255" s="66">
        <v>4</v>
      </c>
      <c r="I255" s="37">
        <v>1</v>
      </c>
      <c r="J255" s="37">
        <v>1</v>
      </c>
      <c r="K255" s="68">
        <v>1921</v>
      </c>
      <c r="L255" s="285">
        <v>1</v>
      </c>
      <c r="M255" s="39">
        <f t="shared" si="19"/>
        <v>1921</v>
      </c>
      <c r="N255" s="39">
        <f>1921</f>
        <v>1921</v>
      </c>
      <c r="O255" s="41"/>
      <c r="P255" s="69"/>
      <c r="Q255" s="39"/>
      <c r="R255" s="40"/>
      <c r="S255" s="39">
        <f t="shared" si="20"/>
        <v>0</v>
      </c>
      <c r="T255" s="39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190</v>
      </c>
      <c r="C256" s="381" t="s">
        <v>39</v>
      </c>
      <c r="D256" s="381" t="s">
        <v>191</v>
      </c>
      <c r="E256" s="381" t="s">
        <v>27</v>
      </c>
      <c r="F256" s="46"/>
      <c r="G256" s="47" t="s">
        <v>24</v>
      </c>
      <c r="H256" s="98"/>
      <c r="I256" s="49"/>
      <c r="J256" s="49"/>
      <c r="K256" s="50"/>
      <c r="L256" s="51"/>
      <c r="M256" s="50">
        <f t="shared" si="19"/>
        <v>0</v>
      </c>
      <c r="N256" s="50"/>
      <c r="O256" s="31"/>
      <c r="P256" s="123"/>
      <c r="Q256" s="50"/>
      <c r="R256" s="51"/>
      <c r="S256" s="50">
        <f t="shared" si="20"/>
        <v>0</v>
      </c>
      <c r="T256" s="50"/>
      <c r="U256" s="3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345</v>
      </c>
      <c r="G257" s="35" t="s">
        <v>28</v>
      </c>
      <c r="H257" s="112">
        <v>2</v>
      </c>
      <c r="I257" s="57"/>
      <c r="J257" s="57"/>
      <c r="K257" s="43"/>
      <c r="L257" s="44"/>
      <c r="M257" s="43">
        <f t="shared" si="19"/>
        <v>0</v>
      </c>
      <c r="N257" s="43"/>
      <c r="O257" s="45"/>
      <c r="P257" s="115">
        <v>4</v>
      </c>
      <c r="Q257" s="68">
        <v>5106.7</v>
      </c>
      <c r="R257" s="285">
        <v>5</v>
      </c>
      <c r="S257" s="39">
        <f t="shared" si="20"/>
        <v>6739.58</v>
      </c>
      <c r="T257" s="68">
        <f>3818+2921.58</f>
        <v>6739.58</v>
      </c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192</v>
      </c>
      <c r="C258" s="374" t="s">
        <v>22</v>
      </c>
      <c r="D258" s="374"/>
      <c r="E258" s="374" t="s">
        <v>193</v>
      </c>
      <c r="F258" s="204" t="s">
        <v>318</v>
      </c>
      <c r="G258" s="176" t="s">
        <v>24</v>
      </c>
      <c r="H258" s="61">
        <v>10</v>
      </c>
      <c r="I258" s="62">
        <v>8</v>
      </c>
      <c r="J258" s="62">
        <v>9</v>
      </c>
      <c r="K258" s="30">
        <v>9532.68</v>
      </c>
      <c r="L258" s="205">
        <v>10</v>
      </c>
      <c r="M258" s="26">
        <f t="shared" si="19"/>
        <v>12465.79</v>
      </c>
      <c r="N258" s="30">
        <v>12465.79</v>
      </c>
      <c r="O258" s="100"/>
      <c r="P258" s="64">
        <v>20</v>
      </c>
      <c r="Q258" s="65">
        <v>52299.07</v>
      </c>
      <c r="R258" s="224">
        <v>20</v>
      </c>
      <c r="S258" s="50">
        <f t="shared" si="20"/>
        <v>52584.43</v>
      </c>
      <c r="T258" s="65">
        <v>52584.43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346</v>
      </c>
      <c r="G259" s="229" t="s">
        <v>28</v>
      </c>
      <c r="H259" s="133">
        <v>1</v>
      </c>
      <c r="I259" s="37">
        <v>1</v>
      </c>
      <c r="J259" s="37">
        <v>1</v>
      </c>
      <c r="K259" s="68">
        <v>1728.9</v>
      </c>
      <c r="L259" s="285">
        <v>1</v>
      </c>
      <c r="M259" s="39">
        <f t="shared" si="19"/>
        <v>1728.9</v>
      </c>
      <c r="N259" s="39">
        <f>1728.9</f>
        <v>1728.9</v>
      </c>
      <c r="O259" s="41"/>
      <c r="P259" s="42"/>
      <c r="Q259" s="43"/>
      <c r="R259" s="44"/>
      <c r="S259" s="43">
        <f t="shared" si="20"/>
        <v>0</v>
      </c>
      <c r="T259" s="43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194</v>
      </c>
      <c r="C260" s="377" t="s">
        <v>39</v>
      </c>
      <c r="D260" s="377" t="s">
        <v>319</v>
      </c>
      <c r="E260" s="374" t="s">
        <v>160</v>
      </c>
      <c r="F260" s="232" t="s">
        <v>320</v>
      </c>
      <c r="G260" s="23" t="s">
        <v>24</v>
      </c>
      <c r="H260" s="48">
        <v>5</v>
      </c>
      <c r="I260" s="203">
        <v>4</v>
      </c>
      <c r="J260" s="203">
        <v>4</v>
      </c>
      <c r="K260" s="65">
        <v>2968.33</v>
      </c>
      <c r="L260" s="316">
        <v>4</v>
      </c>
      <c r="M260" s="129">
        <f t="shared" si="19"/>
        <v>2968.33</v>
      </c>
      <c r="N260" s="65">
        <v>2968.33</v>
      </c>
      <c r="O260" s="225"/>
      <c r="P260" s="29">
        <v>3</v>
      </c>
      <c r="Q260" s="30">
        <v>6107.21</v>
      </c>
      <c r="R260" s="205">
        <v>3</v>
      </c>
      <c r="S260" s="26">
        <f t="shared" si="20"/>
        <v>6107.21</v>
      </c>
      <c r="T260" s="30">
        <v>6107.21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347</v>
      </c>
      <c r="G261" s="35" t="s">
        <v>28</v>
      </c>
      <c r="H261" s="117">
        <v>3</v>
      </c>
      <c r="I261" s="37"/>
      <c r="J261" s="37"/>
      <c r="K261" s="39"/>
      <c r="L261" s="44"/>
      <c r="M261" s="43">
        <f t="shared" si="19"/>
        <v>0</v>
      </c>
      <c r="N261" s="39"/>
      <c r="O261" s="41"/>
      <c r="P261" s="37">
        <v>6</v>
      </c>
      <c r="Q261" s="37">
        <v>16253.33</v>
      </c>
      <c r="R261" s="285">
        <v>4</v>
      </c>
      <c r="S261" s="39">
        <f t="shared" si="20"/>
        <v>8529.17</v>
      </c>
      <c r="T261" s="68">
        <f>576.3+4045.34+3273.6+633.93</f>
        <v>8529.17</v>
      </c>
      <c r="U261" s="2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195</v>
      </c>
      <c r="C262" s="377" t="s">
        <v>39</v>
      </c>
      <c r="D262" s="377" t="s">
        <v>231</v>
      </c>
      <c r="E262" s="381" t="s">
        <v>27</v>
      </c>
      <c r="F262" s="204" t="s">
        <v>232</v>
      </c>
      <c r="G262" s="47" t="s">
        <v>24</v>
      </c>
      <c r="H262" s="61">
        <v>2</v>
      </c>
      <c r="I262" s="25"/>
      <c r="J262" s="25"/>
      <c r="K262" s="26"/>
      <c r="L262" s="205"/>
      <c r="M262" s="26">
        <f t="shared" si="19"/>
        <v>0</v>
      </c>
      <c r="N262" s="26"/>
      <c r="O262" s="31"/>
      <c r="P262" s="64">
        <v>7</v>
      </c>
      <c r="Q262" s="65">
        <v>46859.35</v>
      </c>
      <c r="R262" s="224">
        <v>7</v>
      </c>
      <c r="S262" s="50">
        <f t="shared" si="20"/>
        <v>46859.35</v>
      </c>
      <c r="T262" s="65">
        <v>46859.35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1" t="s">
        <v>260</v>
      </c>
      <c r="G263" s="55" t="s">
        <v>28</v>
      </c>
      <c r="H263" s="178">
        <v>5</v>
      </c>
      <c r="I263" s="130">
        <v>2</v>
      </c>
      <c r="J263" s="130">
        <v>2</v>
      </c>
      <c r="K263" s="114">
        <v>1997.84</v>
      </c>
      <c r="L263" s="270">
        <v>2</v>
      </c>
      <c r="M263" s="43">
        <f t="shared" si="19"/>
        <v>1997.84</v>
      </c>
      <c r="N263" s="43">
        <f>1152.6+845.24</f>
        <v>1997.84</v>
      </c>
      <c r="O263" s="222"/>
      <c r="P263" s="130">
        <v>7</v>
      </c>
      <c r="Q263" s="130">
        <v>24706.45</v>
      </c>
      <c r="R263" s="270">
        <v>10</v>
      </c>
      <c r="S263" s="43">
        <f t="shared" si="20"/>
        <v>34770.1</v>
      </c>
      <c r="T263" s="114">
        <f>4994.6+12678.6+576.3+6915.6+6915.6+576.3+2113.1</f>
        <v>34770.1</v>
      </c>
      <c r="U263" s="222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196</v>
      </c>
      <c r="C264" s="381" t="s">
        <v>22</v>
      </c>
      <c r="D264" s="374"/>
      <c r="E264" s="381" t="s">
        <v>27</v>
      </c>
      <c r="F264" s="22"/>
      <c r="G264" s="23" t="s">
        <v>24</v>
      </c>
      <c r="H264" s="119"/>
      <c r="I264" s="25"/>
      <c r="J264" s="25"/>
      <c r="K264" s="26"/>
      <c r="L264" s="27"/>
      <c r="M264" s="26">
        <f t="shared" si="19"/>
        <v>0</v>
      </c>
      <c r="N264" s="26"/>
      <c r="O264" s="28"/>
      <c r="P264" s="120"/>
      <c r="Q264" s="26"/>
      <c r="R264" s="27"/>
      <c r="S264" s="26">
        <f t="shared" si="20"/>
        <v>0</v>
      </c>
      <c r="T264" s="26"/>
      <c r="U264" s="28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348</v>
      </c>
      <c r="G265" s="35" t="s">
        <v>28</v>
      </c>
      <c r="H265" s="66">
        <v>5</v>
      </c>
      <c r="I265" s="38"/>
      <c r="J265" s="38"/>
      <c r="K265" s="39"/>
      <c r="L265" s="40"/>
      <c r="M265" s="39">
        <f t="shared" si="19"/>
        <v>0</v>
      </c>
      <c r="N265" s="39"/>
      <c r="O265" s="41"/>
      <c r="P265" s="67">
        <v>4</v>
      </c>
      <c r="Q265" s="68">
        <v>11282.42</v>
      </c>
      <c r="R265" s="285">
        <v>4</v>
      </c>
      <c r="S265" s="39">
        <f t="shared" si="20"/>
        <v>11576</v>
      </c>
      <c r="T265" s="39">
        <f>2547.3+4226.2+2881.5+1921</f>
        <v>11576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197</v>
      </c>
      <c r="C266" s="381" t="s">
        <v>39</v>
      </c>
      <c r="D266" s="381" t="s">
        <v>381</v>
      </c>
      <c r="E266" s="381" t="s">
        <v>27</v>
      </c>
      <c r="F266" s="204" t="s">
        <v>382</v>
      </c>
      <c r="G266" s="47" t="s">
        <v>24</v>
      </c>
      <c r="H266" s="98"/>
      <c r="I266" s="49"/>
      <c r="J266" s="49"/>
      <c r="K266" s="50"/>
      <c r="L266" s="51"/>
      <c r="M266" s="50">
        <f t="shared" si="19"/>
        <v>0</v>
      </c>
      <c r="N266" s="50"/>
      <c r="O266" s="31"/>
      <c r="P266" s="108">
        <v>1</v>
      </c>
      <c r="Q266" s="65">
        <v>748.24</v>
      </c>
      <c r="R266" s="224">
        <v>1</v>
      </c>
      <c r="S266" s="50">
        <f t="shared" si="20"/>
        <v>748.24</v>
      </c>
      <c r="T266" s="65">
        <v>748.24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221" t="s">
        <v>349</v>
      </c>
      <c r="G267" s="55" t="s">
        <v>28</v>
      </c>
      <c r="H267" s="153">
        <v>4</v>
      </c>
      <c r="I267" s="130">
        <v>2</v>
      </c>
      <c r="J267" s="130">
        <v>2</v>
      </c>
      <c r="K267" s="114">
        <v>3265.7</v>
      </c>
      <c r="L267" s="270">
        <v>2</v>
      </c>
      <c r="M267" s="43">
        <f t="shared" si="19"/>
        <v>2977.55</v>
      </c>
      <c r="N267" s="43">
        <f>1056.55+1921</f>
        <v>2977.55</v>
      </c>
      <c r="O267" s="41"/>
      <c r="P267" s="103"/>
      <c r="Q267" s="43"/>
      <c r="R267" s="270">
        <v>2</v>
      </c>
      <c r="S267" s="43">
        <f t="shared" si="20"/>
        <v>3765.16</v>
      </c>
      <c r="T267" s="114">
        <f>1440.75+2324.41</f>
        <v>3765.16</v>
      </c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198</v>
      </c>
      <c r="C268" s="374" t="s">
        <v>22</v>
      </c>
      <c r="D268" s="374"/>
      <c r="E268" s="374" t="s">
        <v>112</v>
      </c>
      <c r="F268" s="204" t="s">
        <v>383</v>
      </c>
      <c r="G268" s="23" t="s">
        <v>24</v>
      </c>
      <c r="H268" s="48">
        <v>9</v>
      </c>
      <c r="I268" s="62">
        <v>5</v>
      </c>
      <c r="J268" s="62">
        <v>5</v>
      </c>
      <c r="K268" s="30">
        <v>5867.69</v>
      </c>
      <c r="L268" s="205">
        <v>4</v>
      </c>
      <c r="M268" s="26">
        <f t="shared" si="19"/>
        <v>2486.73</v>
      </c>
      <c r="N268" s="30">
        <v>2486.73</v>
      </c>
      <c r="O268" s="31"/>
      <c r="P268" s="53">
        <v>12</v>
      </c>
      <c r="Q268" s="30">
        <v>46848.4</v>
      </c>
      <c r="R268" s="205">
        <v>11</v>
      </c>
      <c r="S268" s="26">
        <f t="shared" si="20"/>
        <v>44151.34</v>
      </c>
      <c r="T268" s="30">
        <v>44151.34</v>
      </c>
      <c r="U268" s="225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350</v>
      </c>
      <c r="G269" s="35" t="s">
        <v>28</v>
      </c>
      <c r="H269" s="153">
        <v>2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59"/>
      <c r="Q269" s="39"/>
      <c r="R269" s="40"/>
      <c r="S269" s="39">
        <f t="shared" si="20"/>
        <v>0</v>
      </c>
      <c r="T269" s="39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199</v>
      </c>
      <c r="C270" s="381" t="s">
        <v>22</v>
      </c>
      <c r="D270" s="381"/>
      <c r="E270" s="381" t="s">
        <v>131</v>
      </c>
      <c r="F270" s="46"/>
      <c r="G270" s="23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23"/>
      <c r="Q270" s="50"/>
      <c r="R270" s="51"/>
      <c r="S270" s="50">
        <f t="shared" si="20"/>
        <v>0</v>
      </c>
      <c r="T270" s="50"/>
      <c r="U270" s="3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126"/>
      <c r="G271" s="55" t="s">
        <v>25</v>
      </c>
      <c r="H271" s="118"/>
      <c r="I271" s="57"/>
      <c r="J271" s="57"/>
      <c r="K271" s="43"/>
      <c r="L271" s="44"/>
      <c r="M271" s="43">
        <f t="shared" si="19"/>
        <v>0</v>
      </c>
      <c r="N271" s="43"/>
      <c r="O271" s="41"/>
      <c r="P271" s="103"/>
      <c r="Q271" s="43"/>
      <c r="R271" s="44"/>
      <c r="S271" s="43">
        <f t="shared" si="20"/>
        <v>0</v>
      </c>
      <c r="T271" s="43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200</v>
      </c>
      <c r="C272" s="374" t="s">
        <v>39</v>
      </c>
      <c r="D272" s="374" t="s">
        <v>456</v>
      </c>
      <c r="E272" s="374" t="s">
        <v>27</v>
      </c>
      <c r="F272" s="204" t="s">
        <v>457</v>
      </c>
      <c r="G272" s="23" t="s">
        <v>24</v>
      </c>
      <c r="H272" s="61">
        <v>3</v>
      </c>
      <c r="I272" s="62">
        <v>3</v>
      </c>
      <c r="J272" s="62">
        <v>4</v>
      </c>
      <c r="K272" s="30">
        <v>6297.38</v>
      </c>
      <c r="L272" s="205">
        <v>5</v>
      </c>
      <c r="M272" s="26">
        <f t="shared" si="19"/>
        <v>6859.34</v>
      </c>
      <c r="N272" s="30">
        <v>6859.34</v>
      </c>
      <c r="O272" s="31"/>
      <c r="P272" s="29">
        <v>6</v>
      </c>
      <c r="Q272" s="30">
        <v>21652.240000000002</v>
      </c>
      <c r="R272" s="205">
        <v>6</v>
      </c>
      <c r="S272" s="26">
        <f t="shared" si="20"/>
        <v>21652.240000000002</v>
      </c>
      <c r="T272" s="30">
        <v>21652.240000000002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33" t="s">
        <v>466</v>
      </c>
      <c r="G273" s="227" t="s">
        <v>28</v>
      </c>
      <c r="H273" s="207">
        <v>3</v>
      </c>
      <c r="I273" s="208">
        <v>2</v>
      </c>
      <c r="J273" s="208">
        <v>2</v>
      </c>
      <c r="K273" s="209">
        <v>3364.6</v>
      </c>
      <c r="L273" s="290">
        <v>1</v>
      </c>
      <c r="M273" s="211">
        <f t="shared" si="19"/>
        <v>1056.55</v>
      </c>
      <c r="N273" s="211">
        <f>1056.55</f>
        <v>1056.55</v>
      </c>
      <c r="O273" s="212"/>
      <c r="P273" s="284"/>
      <c r="Q273" s="211"/>
      <c r="R273" s="290">
        <v>1</v>
      </c>
      <c r="S273" s="211">
        <f t="shared" si="20"/>
        <v>1921</v>
      </c>
      <c r="T273" s="209">
        <v>1921</v>
      </c>
      <c r="U273" s="212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2"/>
      <c r="B274" s="374" t="s">
        <v>430</v>
      </c>
      <c r="C274" s="374" t="s">
        <v>39</v>
      </c>
      <c r="D274" s="374" t="s">
        <v>439</v>
      </c>
      <c r="E274" s="374" t="s">
        <v>27</v>
      </c>
      <c r="F274" s="204" t="s">
        <v>440</v>
      </c>
      <c r="G274" s="213" t="s">
        <v>24</v>
      </c>
      <c r="H274" s="61"/>
      <c r="I274" s="62"/>
      <c r="J274" s="62"/>
      <c r="K274" s="30"/>
      <c r="L274" s="27"/>
      <c r="M274" s="26">
        <f t="shared" si="19"/>
        <v>0</v>
      </c>
      <c r="N274" s="26"/>
      <c r="O274" s="241"/>
      <c r="P274" s="214"/>
      <c r="Q274" s="30"/>
      <c r="R274" s="205"/>
      <c r="S274" s="26">
        <f t="shared" si="20"/>
        <v>0</v>
      </c>
      <c r="T274" s="30"/>
      <c r="U274" s="28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0"/>
      <c r="G275" s="215" t="s">
        <v>28</v>
      </c>
      <c r="H275" s="117"/>
      <c r="I275" s="37"/>
      <c r="J275" s="37"/>
      <c r="K275" s="68"/>
      <c r="L275" s="40"/>
      <c r="M275" s="39">
        <f t="shared" si="19"/>
        <v>0</v>
      </c>
      <c r="N275" s="39"/>
      <c r="O275" s="234"/>
      <c r="P275" s="217"/>
      <c r="Q275" s="68"/>
      <c r="R275" s="285"/>
      <c r="S275" s="39">
        <f t="shared" si="20"/>
        <v>0</v>
      </c>
      <c r="T275" s="68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6"/>
      <c r="B276" s="377" t="s">
        <v>201</v>
      </c>
      <c r="C276" s="377" t="s">
        <v>39</v>
      </c>
      <c r="D276" s="377" t="s">
        <v>385</v>
      </c>
      <c r="E276" s="377" t="s">
        <v>386</v>
      </c>
      <c r="F276" s="232" t="s">
        <v>387</v>
      </c>
      <c r="G276" s="95" t="s">
        <v>24</v>
      </c>
      <c r="H276" s="265">
        <v>13</v>
      </c>
      <c r="I276" s="266">
        <v>12</v>
      </c>
      <c r="J276" s="266">
        <v>19</v>
      </c>
      <c r="K276" s="79">
        <v>27305.66</v>
      </c>
      <c r="L276" s="268">
        <v>19</v>
      </c>
      <c r="M276" s="81">
        <f t="shared" si="19"/>
        <v>27305.66</v>
      </c>
      <c r="N276" s="79">
        <v>27305.66</v>
      </c>
      <c r="O276" s="313"/>
      <c r="P276" s="267">
        <v>2</v>
      </c>
      <c r="Q276" s="79">
        <v>4356.83</v>
      </c>
      <c r="R276" s="268">
        <v>2</v>
      </c>
      <c r="S276" s="81">
        <f t="shared" si="20"/>
        <v>4356.83</v>
      </c>
      <c r="T276" s="79">
        <v>4356.83</v>
      </c>
      <c r="U276" s="82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105"/>
      <c r="G277" s="35" t="s">
        <v>25</v>
      </c>
      <c r="H277" s="117">
        <v>1</v>
      </c>
      <c r="I277" s="38"/>
      <c r="J277" s="38"/>
      <c r="K277" s="39"/>
      <c r="L277" s="40"/>
      <c r="M277" s="39">
        <f t="shared" si="19"/>
        <v>0</v>
      </c>
      <c r="N277" s="39"/>
      <c r="O277" s="58"/>
      <c r="P277" s="115">
        <v>2</v>
      </c>
      <c r="Q277" s="68">
        <v>4418.3</v>
      </c>
      <c r="R277" s="285">
        <v>2</v>
      </c>
      <c r="S277" s="68">
        <v>4418.3</v>
      </c>
      <c r="T277" s="68">
        <v>4418.3</v>
      </c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202</v>
      </c>
      <c r="C278" s="381" t="s">
        <v>39</v>
      </c>
      <c r="D278" s="377" t="s">
        <v>441</v>
      </c>
      <c r="E278" s="381" t="s">
        <v>27</v>
      </c>
      <c r="F278" s="204" t="s">
        <v>442</v>
      </c>
      <c r="G278" s="47" t="s">
        <v>24</v>
      </c>
      <c r="H278" s="48">
        <v>2</v>
      </c>
      <c r="I278" s="203">
        <v>2</v>
      </c>
      <c r="J278" s="203">
        <v>2</v>
      </c>
      <c r="K278" s="65">
        <v>2382.04</v>
      </c>
      <c r="L278" s="224">
        <v>2</v>
      </c>
      <c r="M278" s="50">
        <f t="shared" si="19"/>
        <v>2382.04</v>
      </c>
      <c r="N278" s="65">
        <v>2382.04</v>
      </c>
      <c r="O278" s="31"/>
      <c r="P278" s="108">
        <v>2</v>
      </c>
      <c r="Q278" s="65">
        <v>4082.51</v>
      </c>
      <c r="R278" s="224">
        <v>2</v>
      </c>
      <c r="S278" s="50">
        <f t="shared" ref="S278:S282" si="21">T278+U278</f>
        <v>4082.51</v>
      </c>
      <c r="T278" s="65">
        <v>4082.51</v>
      </c>
      <c r="U278" s="225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1" t="s">
        <v>262</v>
      </c>
      <c r="G279" s="55" t="s">
        <v>28</v>
      </c>
      <c r="H279" s="112">
        <v>2</v>
      </c>
      <c r="I279" s="130">
        <v>1</v>
      </c>
      <c r="J279" s="130">
        <v>1</v>
      </c>
      <c r="K279" s="114">
        <v>1479.17</v>
      </c>
      <c r="L279" s="316">
        <v>1</v>
      </c>
      <c r="M279" s="129">
        <f t="shared" si="19"/>
        <v>1479.17</v>
      </c>
      <c r="N279" s="43">
        <f>1479.17</f>
        <v>1479.17</v>
      </c>
      <c r="O279" s="45"/>
      <c r="P279" s="113">
        <v>4</v>
      </c>
      <c r="Q279" s="114">
        <v>17905.400000000001</v>
      </c>
      <c r="R279" s="316">
        <v>3</v>
      </c>
      <c r="S279" s="129">
        <f t="shared" si="21"/>
        <v>12102.3</v>
      </c>
      <c r="T279" s="114">
        <f>3649.9+1344.7+7107.7</f>
        <v>12102.3</v>
      </c>
      <c r="U279" s="4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2"/>
      <c r="B280" s="374" t="s">
        <v>203</v>
      </c>
      <c r="C280" s="374"/>
      <c r="D280" s="374"/>
      <c r="E280" s="374" t="s">
        <v>27</v>
      </c>
      <c r="F280" s="60"/>
      <c r="G280" s="23" t="s">
        <v>24</v>
      </c>
      <c r="H280" s="61">
        <v>2</v>
      </c>
      <c r="I280" s="25"/>
      <c r="J280" s="25"/>
      <c r="K280" s="26"/>
      <c r="L280" s="27"/>
      <c r="M280" s="26">
        <f t="shared" si="19"/>
        <v>0</v>
      </c>
      <c r="N280" s="26"/>
      <c r="O280" s="28"/>
      <c r="P280" s="120"/>
      <c r="Q280" s="26"/>
      <c r="R280" s="27"/>
      <c r="S280" s="26">
        <f t="shared" si="21"/>
        <v>0</v>
      </c>
      <c r="T280" s="26"/>
      <c r="U280" s="28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28</v>
      </c>
      <c r="H281" s="117"/>
      <c r="I281" s="38"/>
      <c r="J281" s="38"/>
      <c r="K281" s="39"/>
      <c r="L281" s="40"/>
      <c r="M281" s="39">
        <f t="shared" si="19"/>
        <v>0</v>
      </c>
      <c r="N281" s="39"/>
      <c r="O281" s="41"/>
      <c r="P281" s="69"/>
      <c r="Q281" s="39"/>
      <c r="R281" s="40"/>
      <c r="S281" s="39">
        <f t="shared" si="21"/>
        <v>0</v>
      </c>
      <c r="T281" s="39"/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204</v>
      </c>
      <c r="C282" s="381" t="s">
        <v>22</v>
      </c>
      <c r="D282" s="381"/>
      <c r="E282" s="381" t="s">
        <v>23</v>
      </c>
      <c r="F282" s="204" t="s">
        <v>431</v>
      </c>
      <c r="G282" s="47" t="s">
        <v>24</v>
      </c>
      <c r="H282" s="48">
        <v>9</v>
      </c>
      <c r="I282" s="203">
        <v>5</v>
      </c>
      <c r="J282" s="203">
        <v>6</v>
      </c>
      <c r="K282" s="65">
        <v>8254.93</v>
      </c>
      <c r="L282" s="224">
        <v>6</v>
      </c>
      <c r="M282" s="50">
        <f t="shared" si="19"/>
        <v>8254.93</v>
      </c>
      <c r="N282" s="65">
        <v>8254.93</v>
      </c>
      <c r="O282" s="225"/>
      <c r="P282" s="108">
        <v>4</v>
      </c>
      <c r="Q282" s="65">
        <v>3363.11</v>
      </c>
      <c r="R282" s="224">
        <v>4</v>
      </c>
      <c r="S282" s="50">
        <f t="shared" si="21"/>
        <v>3363.11</v>
      </c>
      <c r="T282" s="65">
        <v>3363.11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34"/>
      <c r="G283" s="35" t="s">
        <v>25</v>
      </c>
      <c r="H283" s="111"/>
      <c r="I283" s="38"/>
      <c r="J283" s="38"/>
      <c r="K283" s="39"/>
      <c r="L283" s="40"/>
      <c r="M283" s="39">
        <f t="shared" si="19"/>
        <v>0</v>
      </c>
      <c r="N283" s="39"/>
      <c r="O283" s="41"/>
      <c r="P283" s="115">
        <v>1</v>
      </c>
      <c r="Q283" s="68">
        <v>2305.1999999999998</v>
      </c>
      <c r="R283" s="285">
        <v>1</v>
      </c>
      <c r="S283" s="68">
        <v>2305.1999999999998</v>
      </c>
      <c r="T283" s="68">
        <v>2305.1999999999998</v>
      </c>
      <c r="U283" s="41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179"/>
      <c r="B284" s="180" t="s">
        <v>205</v>
      </c>
      <c r="C284" s="180"/>
      <c r="D284" s="180"/>
      <c r="E284" s="180"/>
      <c r="F284" s="180"/>
      <c r="G284" s="181"/>
      <c r="H284" s="182">
        <f t="shared" ref="H284:U284" si="22">SUM(H9:H283)</f>
        <v>1229</v>
      </c>
      <c r="I284" s="183">
        <f t="shared" si="22"/>
        <v>706</v>
      </c>
      <c r="J284" s="183">
        <f t="shared" si="22"/>
        <v>855</v>
      </c>
      <c r="K284" s="184">
        <f t="shared" si="22"/>
        <v>1496769.7699999996</v>
      </c>
      <c r="L284" s="185">
        <f t="shared" si="22"/>
        <v>820</v>
      </c>
      <c r="M284" s="184">
        <f t="shared" si="22"/>
        <v>1439274.1500000001</v>
      </c>
      <c r="N284" s="184">
        <f t="shared" si="22"/>
        <v>1439274.1500000001</v>
      </c>
      <c r="O284" s="186">
        <f t="shared" si="22"/>
        <v>0</v>
      </c>
      <c r="P284" s="187">
        <f t="shared" si="22"/>
        <v>1201</v>
      </c>
      <c r="Q284" s="188">
        <f t="shared" si="22"/>
        <v>4039694.8599999994</v>
      </c>
      <c r="R284" s="185">
        <f t="shared" si="22"/>
        <v>1147</v>
      </c>
      <c r="S284" s="188">
        <f t="shared" si="22"/>
        <v>3920200.5799999987</v>
      </c>
      <c r="T284" s="188">
        <f t="shared" si="22"/>
        <v>3920200.5799999987</v>
      </c>
      <c r="U284" s="189">
        <f t="shared" si="22"/>
        <v>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 t="s">
        <v>206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27.75" customHeight="1">
      <c r="A288" s="4"/>
      <c r="B288" s="4"/>
      <c r="C288" s="4"/>
      <c r="D288" s="4"/>
      <c r="E288" s="4"/>
      <c r="F288" s="394"/>
      <c r="G288" s="395" t="s">
        <v>5</v>
      </c>
      <c r="H288" s="396"/>
      <c r="I288" s="396"/>
      <c r="J288" s="396"/>
      <c r="K288" s="396"/>
      <c r="L288" s="396"/>
      <c r="M288" s="396"/>
      <c r="N288" s="397"/>
      <c r="O288" s="395" t="s">
        <v>6</v>
      </c>
      <c r="P288" s="396"/>
      <c r="Q288" s="396"/>
      <c r="R288" s="396"/>
      <c r="S288" s="396"/>
      <c r="T288" s="397"/>
      <c r="U288" s="393" t="s">
        <v>207</v>
      </c>
      <c r="V288" s="393" t="s">
        <v>208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386"/>
      <c r="G289" s="190" t="s">
        <v>13</v>
      </c>
      <c r="H289" s="190" t="s">
        <v>14</v>
      </c>
      <c r="I289" s="190" t="s">
        <v>15</v>
      </c>
      <c r="J289" s="190" t="s">
        <v>16</v>
      </c>
      <c r="K289" s="191" t="s">
        <v>17</v>
      </c>
      <c r="L289" s="190" t="s">
        <v>18</v>
      </c>
      <c r="M289" s="190" t="s">
        <v>19</v>
      </c>
      <c r="N289" s="190" t="s">
        <v>20</v>
      </c>
      <c r="O289" s="190" t="s">
        <v>15</v>
      </c>
      <c r="P289" s="190" t="s">
        <v>16</v>
      </c>
      <c r="Q289" s="191" t="s">
        <v>17</v>
      </c>
      <c r="R289" s="190" t="s">
        <v>18</v>
      </c>
      <c r="S289" s="190" t="s">
        <v>19</v>
      </c>
      <c r="T289" s="190" t="s">
        <v>20</v>
      </c>
      <c r="U289" s="392"/>
      <c r="V289" s="392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24</v>
      </c>
      <c r="G290" s="193">
        <f t="shared" ref="G290:I290" si="23">SUMIF($G$9:$G$283,$F$290,H9:H283)</f>
        <v>853</v>
      </c>
      <c r="H290" s="193">
        <f t="shared" si="23"/>
        <v>572</v>
      </c>
      <c r="I290" s="193">
        <f t="shared" si="23"/>
        <v>720</v>
      </c>
      <c r="J290" s="194">
        <f t="shared" ref="J290:J292" si="24">SUMIF($G$9:$G$283,F290,$K$9:$K$283)</f>
        <v>1258189.5699999996</v>
      </c>
      <c r="K290" s="195">
        <f t="shared" ref="K290:K292" si="25">SUMIF($G$9:$G$283,F290,$L$9:$L$283)</f>
        <v>720</v>
      </c>
      <c r="L290" s="194">
        <f t="shared" ref="L290:L292" si="26">SUMIF($G$9:$G$283,F290,$M$9:$M$283)</f>
        <v>1265242</v>
      </c>
      <c r="M290" s="194">
        <f t="shared" ref="M290:O290" si="27">SUMIF($G$9:$G$283,$F$290,N9:N283)</f>
        <v>1265242</v>
      </c>
      <c r="N290" s="194">
        <f t="shared" si="27"/>
        <v>0</v>
      </c>
      <c r="O290" s="193">
        <f t="shared" si="27"/>
        <v>972</v>
      </c>
      <c r="P290" s="194">
        <f t="shared" ref="P290:P292" si="28">SUMIF($G$9:$G$283,F290,$Q$9:$Q$283)</f>
        <v>3323402.379999999</v>
      </c>
      <c r="Q290" s="195">
        <f t="shared" ref="Q290:Q292" si="29">SUMIF($G$9:$G$283,F290,$R$9:$R$283)</f>
        <v>931</v>
      </c>
      <c r="R290" s="194">
        <f t="shared" ref="R290:R292" si="30">SUMIF($G$9:$G$283,F290,$S$9:$S$283)</f>
        <v>3244576.2999999993</v>
      </c>
      <c r="S290" s="194">
        <f t="shared" ref="S290:T290" si="31">SUMIF($G$9:$G$283,$F$290,T9:T283)</f>
        <v>3244576.2999999993</v>
      </c>
      <c r="T290" s="194">
        <f t="shared" si="31"/>
        <v>0</v>
      </c>
      <c r="U290" s="194">
        <f t="shared" ref="U290:U292" si="32">S290+M290</f>
        <v>4509818.2999999989</v>
      </c>
      <c r="V290" s="196">
        <f t="shared" ref="V290:V292" si="33">J290-M290+P290-S290</f>
        <v>71773.649999998976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192" t="s">
        <v>28</v>
      </c>
      <c r="G291" s="236">
        <f t="shared" ref="G291:I291" si="34">SUMIF($G$9:$G$283,$F$291,H9:H283)</f>
        <v>310</v>
      </c>
      <c r="H291" s="193">
        <f t="shared" si="34"/>
        <v>104</v>
      </c>
      <c r="I291" s="193">
        <f t="shared" si="34"/>
        <v>105</v>
      </c>
      <c r="J291" s="194">
        <f t="shared" si="24"/>
        <v>190908.08000000005</v>
      </c>
      <c r="K291" s="195">
        <f t="shared" si="25"/>
        <v>74</v>
      </c>
      <c r="L291" s="194">
        <f t="shared" si="26"/>
        <v>132472.15</v>
      </c>
      <c r="M291" s="194">
        <f t="shared" ref="M291:O291" si="35">SUMIF($G$9:$G$283,$F$291,N9:N283)</f>
        <v>132472.15</v>
      </c>
      <c r="N291" s="194">
        <f t="shared" si="35"/>
        <v>0</v>
      </c>
      <c r="O291" s="193">
        <f t="shared" si="35"/>
        <v>175</v>
      </c>
      <c r="P291" s="194">
        <f t="shared" si="28"/>
        <v>516527.38</v>
      </c>
      <c r="Q291" s="195">
        <f t="shared" si="29"/>
        <v>164</v>
      </c>
      <c r="R291" s="194">
        <f t="shared" si="30"/>
        <v>483158.97999999986</v>
      </c>
      <c r="S291" s="194">
        <f t="shared" ref="S291:T291" si="36">SUMIF($G$9:$G$283,$F$291,T9:T283)</f>
        <v>483158.97999999986</v>
      </c>
      <c r="T291" s="194">
        <f t="shared" si="36"/>
        <v>0</v>
      </c>
      <c r="U291" s="194">
        <f t="shared" si="32"/>
        <v>615631.12999999989</v>
      </c>
      <c r="V291" s="196">
        <f t="shared" si="33"/>
        <v>91804.330000000191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192" t="s">
        <v>25</v>
      </c>
      <c r="G292" s="193">
        <f t="shared" ref="G292:I292" si="37">SUMIF($G$9:$G$283,$F$292,H9:H283)</f>
        <v>66</v>
      </c>
      <c r="H292" s="193">
        <f t="shared" si="37"/>
        <v>30</v>
      </c>
      <c r="I292" s="193">
        <f t="shared" si="37"/>
        <v>30</v>
      </c>
      <c r="J292" s="194">
        <f t="shared" si="24"/>
        <v>47672.119999999995</v>
      </c>
      <c r="K292" s="195">
        <f t="shared" si="25"/>
        <v>26</v>
      </c>
      <c r="L292" s="194">
        <f t="shared" si="26"/>
        <v>41560.000000000007</v>
      </c>
      <c r="M292" s="194">
        <f t="shared" ref="M292:O292" si="38">SUMIF($G$9:$G$283,$F$292,N9:N283)</f>
        <v>41560.000000000007</v>
      </c>
      <c r="N292" s="194">
        <f t="shared" si="38"/>
        <v>0</v>
      </c>
      <c r="O292" s="193">
        <f t="shared" si="38"/>
        <v>54</v>
      </c>
      <c r="P292" s="194">
        <f t="shared" si="28"/>
        <v>199765.1</v>
      </c>
      <c r="Q292" s="195">
        <f t="shared" si="29"/>
        <v>52</v>
      </c>
      <c r="R292" s="194">
        <f t="shared" si="30"/>
        <v>192465.3</v>
      </c>
      <c r="S292" s="194">
        <f t="shared" ref="S292:T292" si="39">SUMIF($G$9:$G$283,$F$292,T9:T283)</f>
        <v>192465.3</v>
      </c>
      <c r="T292" s="194">
        <f t="shared" si="39"/>
        <v>0</v>
      </c>
      <c r="U292" s="194">
        <f t="shared" si="32"/>
        <v>234025.3</v>
      </c>
      <c r="V292" s="196">
        <f t="shared" si="33"/>
        <v>13411.920000000013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197">
        <f t="shared" ref="G293:V293" si="40">G292+G291+G290</f>
        <v>1229</v>
      </c>
      <c r="H293" s="197">
        <f t="shared" si="40"/>
        <v>706</v>
      </c>
      <c r="I293" s="197">
        <f t="shared" si="40"/>
        <v>855</v>
      </c>
      <c r="J293" s="198">
        <f t="shared" si="40"/>
        <v>1496769.7699999996</v>
      </c>
      <c r="K293" s="199">
        <f t="shared" si="40"/>
        <v>820</v>
      </c>
      <c r="L293" s="198">
        <f t="shared" si="40"/>
        <v>1439274.15</v>
      </c>
      <c r="M293" s="198">
        <f t="shared" si="40"/>
        <v>1439274.15</v>
      </c>
      <c r="N293" s="198">
        <f t="shared" si="40"/>
        <v>0</v>
      </c>
      <c r="O293" s="197">
        <f t="shared" si="40"/>
        <v>1201</v>
      </c>
      <c r="P293" s="198">
        <f t="shared" si="40"/>
        <v>4039694.8599999989</v>
      </c>
      <c r="Q293" s="200">
        <f t="shared" si="40"/>
        <v>1147</v>
      </c>
      <c r="R293" s="198">
        <f t="shared" si="40"/>
        <v>3920200.5799999991</v>
      </c>
      <c r="S293" s="198">
        <f t="shared" si="40"/>
        <v>3920200.5799999991</v>
      </c>
      <c r="T293" s="198">
        <f t="shared" si="40"/>
        <v>0</v>
      </c>
      <c r="U293" s="198">
        <f t="shared" si="40"/>
        <v>5359474.7299999986</v>
      </c>
      <c r="V293" s="198">
        <f t="shared" si="40"/>
        <v>176989.89999999918</v>
      </c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</sheetData>
  <mergeCells count="68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A274:A275"/>
    <mergeCell ref="B274:B275"/>
    <mergeCell ref="C274:C275"/>
    <mergeCell ref="D274:D275"/>
    <mergeCell ref="E274:E275"/>
    <mergeCell ref="A276:A277"/>
    <mergeCell ref="A280:A281"/>
    <mergeCell ref="A282:A283"/>
    <mergeCell ref="B282:B283"/>
    <mergeCell ref="C282:C283"/>
    <mergeCell ref="D282:D283"/>
    <mergeCell ref="E282:E283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8:U289"/>
    <mergeCell ref="V288:V289"/>
    <mergeCell ref="D276:D277"/>
    <mergeCell ref="E276:E277"/>
    <mergeCell ref="D278:D279"/>
    <mergeCell ref="E278:E279"/>
    <mergeCell ref="D280:D281"/>
    <mergeCell ref="E280:E281"/>
    <mergeCell ref="F288:F289"/>
    <mergeCell ref="B276:B277"/>
    <mergeCell ref="C276:C277"/>
    <mergeCell ref="A278:A279"/>
    <mergeCell ref="B278:B279"/>
    <mergeCell ref="C278:C279"/>
    <mergeCell ref="B280:B281"/>
    <mergeCell ref="C280:C281"/>
    <mergeCell ref="G288:N288"/>
    <mergeCell ref="O288:T288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2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8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1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0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39">
        <f t="shared" si="0"/>
        <v>1152.5999999999999</v>
      </c>
      <c r="N10" s="68">
        <v>1152.5999999999999</v>
      </c>
      <c r="O10" s="234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26</v>
      </c>
      <c r="C11" s="377" t="s">
        <v>22</v>
      </c>
      <c r="D11" s="377"/>
      <c r="E11" s="377" t="s">
        <v>27</v>
      </c>
      <c r="F11" s="232" t="s">
        <v>250</v>
      </c>
      <c r="G11" s="95" t="s">
        <v>24</v>
      </c>
      <c r="H11" s="48">
        <v>10</v>
      </c>
      <c r="I11" s="203">
        <v>10</v>
      </c>
      <c r="J11" s="203">
        <v>13</v>
      </c>
      <c r="K11" s="65">
        <v>27696.39</v>
      </c>
      <c r="L11" s="224">
        <v>13</v>
      </c>
      <c r="M11" s="50">
        <f t="shared" si="0"/>
        <v>27347.45</v>
      </c>
      <c r="N11" s="65">
        <v>27347.45</v>
      </c>
      <c r="O11" s="52"/>
      <c r="P11" s="53">
        <v>12</v>
      </c>
      <c r="Q11" s="30">
        <v>79204.2</v>
      </c>
      <c r="R11" s="205">
        <v>12</v>
      </c>
      <c r="S11" s="26">
        <f t="shared" si="1"/>
        <v>79204.2</v>
      </c>
      <c r="T11" s="30">
        <v>79204.2</v>
      </c>
      <c r="U11" s="241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5</v>
      </c>
      <c r="I12" s="130">
        <v>1</v>
      </c>
      <c r="J12" s="130">
        <v>1</v>
      </c>
      <c r="K12" s="114">
        <v>1152.5999999999999</v>
      </c>
      <c r="L12" s="44"/>
      <c r="M12" s="43">
        <f t="shared" si="0"/>
        <v>0</v>
      </c>
      <c r="N12" s="43"/>
      <c r="O12" s="58"/>
      <c r="P12" s="115">
        <v>1</v>
      </c>
      <c r="Q12" s="68">
        <v>11718.1</v>
      </c>
      <c r="R12" s="285">
        <v>1</v>
      </c>
      <c r="S12" s="39">
        <f t="shared" si="1"/>
        <v>11718.1</v>
      </c>
      <c r="T12" s="39">
        <f>11718.1</f>
        <v>11718.1</v>
      </c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12</v>
      </c>
      <c r="I13" s="62">
        <v>10</v>
      </c>
      <c r="J13" s="62">
        <v>16</v>
      </c>
      <c r="K13" s="30">
        <v>40078.93</v>
      </c>
      <c r="L13" s="205">
        <v>16</v>
      </c>
      <c r="M13" s="26">
        <f t="shared" si="0"/>
        <v>40078.93</v>
      </c>
      <c r="N13" s="30">
        <v>40078.93</v>
      </c>
      <c r="O13" s="299"/>
      <c r="P13" s="64">
        <v>18</v>
      </c>
      <c r="Q13" s="65">
        <v>80536.960000000006</v>
      </c>
      <c r="R13" s="224">
        <v>18</v>
      </c>
      <c r="S13" s="50">
        <f t="shared" si="1"/>
        <v>80536.960000000006</v>
      </c>
      <c r="T13" s="65">
        <v>80536.960000000006</v>
      </c>
      <c r="U13" s="22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3</v>
      </c>
      <c r="I14" s="37">
        <v>1</v>
      </c>
      <c r="J14" s="37">
        <v>1</v>
      </c>
      <c r="K14" s="68">
        <v>1344.7</v>
      </c>
      <c r="L14" s="285">
        <v>1</v>
      </c>
      <c r="M14" s="39">
        <f t="shared" si="0"/>
        <v>1344.7</v>
      </c>
      <c r="N14" s="68">
        <v>1344.7</v>
      </c>
      <c r="O14" s="41"/>
      <c r="P14" s="67">
        <v>4</v>
      </c>
      <c r="Q14" s="68">
        <v>24204.6</v>
      </c>
      <c r="R14" s="285">
        <v>4</v>
      </c>
      <c r="S14" s="39">
        <f t="shared" si="1"/>
        <v>24204.400000000001</v>
      </c>
      <c r="T14" s="68">
        <f>15752.2+1921+5378.6+1152.6</f>
        <v>24204.400000000001</v>
      </c>
      <c r="U14" s="222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2"/>
      <c r="B15" s="374" t="s">
        <v>31</v>
      </c>
      <c r="C15" s="374" t="s">
        <v>39</v>
      </c>
      <c r="D15" s="374" t="s">
        <v>32</v>
      </c>
      <c r="E15" s="374" t="s">
        <v>27</v>
      </c>
      <c r="F15" s="22"/>
      <c r="G15" s="176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213</v>
      </c>
      <c r="G16" s="259" t="s">
        <v>28</v>
      </c>
      <c r="H16" s="260">
        <v>3</v>
      </c>
      <c r="I16" s="208">
        <v>1</v>
      </c>
      <c r="J16" s="208">
        <v>1</v>
      </c>
      <c r="K16" s="209">
        <v>576.29999999999995</v>
      </c>
      <c r="L16" s="290">
        <v>1</v>
      </c>
      <c r="M16" s="211">
        <f t="shared" si="0"/>
        <v>576.29999999999995</v>
      </c>
      <c r="N16" s="211">
        <f>576.3</f>
        <v>576.29999999999995</v>
      </c>
      <c r="O16" s="212"/>
      <c r="P16" s="262">
        <v>7</v>
      </c>
      <c r="Q16" s="209">
        <v>24148.51</v>
      </c>
      <c r="R16" s="290">
        <v>3</v>
      </c>
      <c r="S16" s="211">
        <f t="shared" si="1"/>
        <v>11446</v>
      </c>
      <c r="T16" s="209">
        <f>7027.7+4418.3</f>
        <v>11446</v>
      </c>
      <c r="U16" s="26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34</v>
      </c>
      <c r="C17" s="374" t="s">
        <v>22</v>
      </c>
      <c r="D17" s="374"/>
      <c r="E17" s="374" t="s">
        <v>27</v>
      </c>
      <c r="F17" s="204" t="s">
        <v>353</v>
      </c>
      <c r="G17" s="176" t="s">
        <v>24</v>
      </c>
      <c r="H17" s="61">
        <v>10</v>
      </c>
      <c r="I17" s="62">
        <v>4</v>
      </c>
      <c r="J17" s="62">
        <v>4</v>
      </c>
      <c r="K17" s="30">
        <v>4141.68</v>
      </c>
      <c r="L17" s="205">
        <v>4</v>
      </c>
      <c r="M17" s="26">
        <f t="shared" si="0"/>
        <v>4141.68</v>
      </c>
      <c r="N17" s="30">
        <v>4141.68</v>
      </c>
      <c r="O17" s="264"/>
      <c r="P17" s="53">
        <v>11</v>
      </c>
      <c r="Q17" s="30">
        <v>26586.84</v>
      </c>
      <c r="R17" s="205">
        <v>11</v>
      </c>
      <c r="S17" s="26">
        <f t="shared" si="1"/>
        <v>26586.84</v>
      </c>
      <c r="T17" s="30">
        <v>26586.84</v>
      </c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34"/>
      <c r="G18" s="229" t="s">
        <v>28</v>
      </c>
      <c r="H18" s="117">
        <v>5</v>
      </c>
      <c r="I18" s="38"/>
      <c r="J18" s="38"/>
      <c r="K18" s="39"/>
      <c r="L18" s="40"/>
      <c r="M18" s="39">
        <f t="shared" si="0"/>
        <v>0</v>
      </c>
      <c r="N18" s="39"/>
      <c r="O18" s="58"/>
      <c r="P18" s="5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 ht="15.75" customHeight="1">
      <c r="A19" s="376"/>
      <c r="B19" s="377" t="s">
        <v>35</v>
      </c>
      <c r="C19" s="377" t="s">
        <v>39</v>
      </c>
      <c r="D19" s="377" t="s">
        <v>277</v>
      </c>
      <c r="E19" s="377" t="s">
        <v>37</v>
      </c>
      <c r="F19" s="232" t="s">
        <v>278</v>
      </c>
      <c r="G19" s="95" t="s">
        <v>24</v>
      </c>
      <c r="H19" s="265">
        <v>8</v>
      </c>
      <c r="I19" s="266">
        <v>6</v>
      </c>
      <c r="J19" s="266">
        <v>9</v>
      </c>
      <c r="K19" s="79">
        <v>16872.189999999999</v>
      </c>
      <c r="L19" s="268">
        <v>9</v>
      </c>
      <c r="M19" s="81">
        <f t="shared" si="0"/>
        <v>16872.189999999999</v>
      </c>
      <c r="N19" s="79">
        <v>16872.189999999999</v>
      </c>
      <c r="O19" s="269"/>
      <c r="P19" s="267">
        <v>10</v>
      </c>
      <c r="Q19" s="79">
        <v>22605.93</v>
      </c>
      <c r="R19" s="268">
        <v>10</v>
      </c>
      <c r="S19" s="81">
        <f t="shared" si="1"/>
        <v>22605.93</v>
      </c>
      <c r="T19" s="79">
        <v>22605.93</v>
      </c>
      <c r="U19" s="26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373"/>
      <c r="B20" s="375"/>
      <c r="C20" s="375"/>
      <c r="D20" s="375"/>
      <c r="E20" s="375"/>
      <c r="F20" s="34"/>
      <c r="G20" s="35" t="s">
        <v>28</v>
      </c>
      <c r="H20" s="153" t="s">
        <v>43</v>
      </c>
      <c r="I20" s="38"/>
      <c r="J20" s="38"/>
      <c r="K20" s="39"/>
      <c r="L20" s="40"/>
      <c r="M20" s="39">
        <f t="shared" si="0"/>
        <v>0</v>
      </c>
      <c r="N20" s="39"/>
      <c r="O20" s="41"/>
      <c r="P20" s="115">
        <v>2</v>
      </c>
      <c r="Q20" s="68">
        <v>4399.09</v>
      </c>
      <c r="R20" s="285">
        <v>2</v>
      </c>
      <c r="S20" s="39">
        <f t="shared" si="1"/>
        <v>3765.16</v>
      </c>
      <c r="T20" s="39">
        <f>2497.3+1267.86</f>
        <v>3765.16</v>
      </c>
      <c r="U20" s="4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38</v>
      </c>
      <c r="C21" s="381" t="s">
        <v>39</v>
      </c>
      <c r="D21" s="381" t="s">
        <v>432</v>
      </c>
      <c r="E21" s="381" t="s">
        <v>41</v>
      </c>
      <c r="F21" s="223" t="s">
        <v>255</v>
      </c>
      <c r="G21" s="23" t="s">
        <v>24</v>
      </c>
      <c r="H21" s="48">
        <v>11</v>
      </c>
      <c r="I21" s="203">
        <v>9</v>
      </c>
      <c r="J21" s="203">
        <v>16</v>
      </c>
      <c r="K21" s="65">
        <v>23101.61</v>
      </c>
      <c r="L21" s="224">
        <v>16</v>
      </c>
      <c r="M21" s="50">
        <f t="shared" si="0"/>
        <v>23101.61</v>
      </c>
      <c r="N21" s="65">
        <v>23101.61</v>
      </c>
      <c r="O21" s="225"/>
      <c r="P21" s="53">
        <v>14</v>
      </c>
      <c r="Q21" s="30">
        <v>22822.54</v>
      </c>
      <c r="R21" s="205">
        <v>14</v>
      </c>
      <c r="S21" s="26">
        <f t="shared" si="1"/>
        <v>22822.54</v>
      </c>
      <c r="T21" s="30">
        <v>22822.54</v>
      </c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247"/>
      <c r="G22" s="227" t="s">
        <v>25</v>
      </c>
      <c r="H22" s="102"/>
      <c r="I22" s="57"/>
      <c r="J22" s="57"/>
      <c r="K22" s="43"/>
      <c r="L22" s="44"/>
      <c r="M22" s="43">
        <f t="shared" si="0"/>
        <v>0</v>
      </c>
      <c r="N22" s="43"/>
      <c r="O22" s="41"/>
      <c r="P22" s="59"/>
      <c r="Q22" s="39"/>
      <c r="R22" s="40"/>
      <c r="S22" s="39">
        <f t="shared" si="1"/>
        <v>0</v>
      </c>
      <c r="T22" s="39"/>
      <c r="U22" s="41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72"/>
      <c r="B23" s="374" t="s">
        <v>42</v>
      </c>
      <c r="C23" s="374" t="s">
        <v>22</v>
      </c>
      <c r="D23" s="374"/>
      <c r="E23" s="374" t="s">
        <v>27</v>
      </c>
      <c r="F23" s="204" t="s">
        <v>257</v>
      </c>
      <c r="G23" s="176" t="s">
        <v>24</v>
      </c>
      <c r="H23" s="61">
        <v>9</v>
      </c>
      <c r="I23" s="62">
        <v>6</v>
      </c>
      <c r="J23" s="62">
        <v>6</v>
      </c>
      <c r="K23" s="62">
        <v>4262.51</v>
      </c>
      <c r="L23" s="205">
        <v>6</v>
      </c>
      <c r="M23" s="26">
        <f t="shared" si="0"/>
        <v>4262.51</v>
      </c>
      <c r="N23" s="30">
        <v>4262.51</v>
      </c>
      <c r="O23" s="225"/>
      <c r="P23" s="53">
        <v>7</v>
      </c>
      <c r="Q23" s="30">
        <v>8390.39</v>
      </c>
      <c r="R23" s="205">
        <v>5</v>
      </c>
      <c r="S23" s="26">
        <f t="shared" si="1"/>
        <v>8390.39</v>
      </c>
      <c r="T23" s="30">
        <v>8390.39</v>
      </c>
      <c r="U23" s="22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20" t="s">
        <v>214</v>
      </c>
      <c r="G24" s="229" t="s">
        <v>28</v>
      </c>
      <c r="H24" s="117">
        <v>3</v>
      </c>
      <c r="I24" s="38"/>
      <c r="J24" s="38"/>
      <c r="K24" s="39"/>
      <c r="L24" s="40"/>
      <c r="M24" s="39">
        <f t="shared" si="0"/>
        <v>0</v>
      </c>
      <c r="N24" s="39"/>
      <c r="O24" s="41"/>
      <c r="P24" s="115">
        <v>2</v>
      </c>
      <c r="Q24" s="68">
        <v>4418.3</v>
      </c>
      <c r="R24" s="285">
        <v>2</v>
      </c>
      <c r="S24" s="39">
        <f t="shared" si="1"/>
        <v>4418.3</v>
      </c>
      <c r="T24" s="39">
        <f>1921+2497.3</f>
        <v>4418.3</v>
      </c>
      <c r="U24" s="45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44</v>
      </c>
      <c r="C25" s="374" t="s">
        <v>39</v>
      </c>
      <c r="D25" s="374" t="s">
        <v>258</v>
      </c>
      <c r="E25" s="374" t="s">
        <v>27</v>
      </c>
      <c r="F25" s="204" t="s">
        <v>259</v>
      </c>
      <c r="G25" s="176" t="s">
        <v>24</v>
      </c>
      <c r="H25" s="48">
        <v>10</v>
      </c>
      <c r="I25" s="203">
        <v>10</v>
      </c>
      <c r="J25" s="203">
        <v>16</v>
      </c>
      <c r="K25" s="65">
        <v>28621.200000000001</v>
      </c>
      <c r="L25" s="224">
        <v>16</v>
      </c>
      <c r="M25" s="50">
        <f t="shared" si="0"/>
        <v>28621.200000000001</v>
      </c>
      <c r="N25" s="65">
        <v>28621.200000000001</v>
      </c>
      <c r="O25" s="225"/>
      <c r="P25" s="53">
        <v>14</v>
      </c>
      <c r="Q25" s="30">
        <v>24633.09</v>
      </c>
      <c r="R25" s="205">
        <v>13</v>
      </c>
      <c r="S25" s="26">
        <f t="shared" si="1"/>
        <v>23258.73</v>
      </c>
      <c r="T25" s="30">
        <v>23258.73</v>
      </c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216</v>
      </c>
      <c r="G26" s="229" t="s">
        <v>28</v>
      </c>
      <c r="H26" s="133">
        <v>3</v>
      </c>
      <c r="I26" s="130">
        <v>1</v>
      </c>
      <c r="J26" s="130">
        <v>1</v>
      </c>
      <c r="K26" s="114">
        <v>1204.2</v>
      </c>
      <c r="L26" s="44"/>
      <c r="M26" s="43">
        <f t="shared" si="0"/>
        <v>0</v>
      </c>
      <c r="N26" s="43"/>
      <c r="O26" s="41"/>
      <c r="P26" s="115">
        <v>4</v>
      </c>
      <c r="Q26" s="68">
        <v>16596.400000000001</v>
      </c>
      <c r="R26" s="285">
        <v>5</v>
      </c>
      <c r="S26" s="39">
        <f t="shared" si="1"/>
        <v>18263.100000000002</v>
      </c>
      <c r="T26" s="68">
        <f>4302+3533.6+960.5+5240.8+4226.2</f>
        <v>18263.100000000002</v>
      </c>
      <c r="U26" s="41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45</v>
      </c>
      <c r="C27" s="374" t="s">
        <v>46</v>
      </c>
      <c r="D27" s="374" t="s">
        <v>47</v>
      </c>
      <c r="E27" s="374" t="s">
        <v>27</v>
      </c>
      <c r="F27" s="232" t="s">
        <v>354</v>
      </c>
      <c r="G27" s="23" t="s">
        <v>24</v>
      </c>
      <c r="H27" s="107"/>
      <c r="I27" s="25"/>
      <c r="J27" s="25"/>
      <c r="K27" s="26"/>
      <c r="L27" s="27"/>
      <c r="M27" s="26">
        <f t="shared" si="0"/>
        <v>0</v>
      </c>
      <c r="N27" s="26"/>
      <c r="O27" s="31"/>
      <c r="P27" s="53">
        <v>4</v>
      </c>
      <c r="Q27" s="30">
        <v>14213.86</v>
      </c>
      <c r="R27" s="205">
        <v>4</v>
      </c>
      <c r="S27" s="26">
        <f t="shared" si="1"/>
        <v>14213.86</v>
      </c>
      <c r="T27" s="30">
        <v>14213.86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8.75" customHeight="1">
      <c r="A28" s="373"/>
      <c r="B28" s="375"/>
      <c r="C28" s="375"/>
      <c r="D28" s="375"/>
      <c r="E28" s="375"/>
      <c r="F28" s="221" t="s">
        <v>217</v>
      </c>
      <c r="G28" s="55" t="s">
        <v>28</v>
      </c>
      <c r="H28" s="56">
        <v>5</v>
      </c>
      <c r="I28" s="130">
        <v>3</v>
      </c>
      <c r="J28" s="130">
        <v>3</v>
      </c>
      <c r="K28" s="114">
        <v>4994.6000000000004</v>
      </c>
      <c r="L28" s="270">
        <v>3</v>
      </c>
      <c r="M28" s="43">
        <f t="shared" si="0"/>
        <v>4994.6000000000004</v>
      </c>
      <c r="N28" s="114">
        <f>3649.9+1344.7</f>
        <v>4994.6000000000004</v>
      </c>
      <c r="O28" s="45"/>
      <c r="P28" s="113">
        <v>5</v>
      </c>
      <c r="Q28" s="114">
        <v>12756</v>
      </c>
      <c r="R28" s="270">
        <v>3</v>
      </c>
      <c r="S28" s="43">
        <f t="shared" si="1"/>
        <v>18665.68</v>
      </c>
      <c r="T28" s="114">
        <f>14247.38+1921+2497.3</f>
        <v>18665.68</v>
      </c>
      <c r="U28" s="222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6.5" customHeight="1">
      <c r="A29" s="372"/>
      <c r="B29" s="374" t="s">
        <v>48</v>
      </c>
      <c r="C29" s="374" t="s">
        <v>22</v>
      </c>
      <c r="D29" s="374"/>
      <c r="E29" s="374" t="s">
        <v>391</v>
      </c>
      <c r="F29" s="232" t="s">
        <v>403</v>
      </c>
      <c r="G29" s="23" t="s">
        <v>24</v>
      </c>
      <c r="H29" s="119"/>
      <c r="I29" s="25"/>
      <c r="J29" s="25"/>
      <c r="K29" s="26"/>
      <c r="L29" s="27"/>
      <c r="M29" s="26">
        <f t="shared" si="0"/>
        <v>0</v>
      </c>
      <c r="N29" s="26"/>
      <c r="O29" s="28"/>
      <c r="P29" s="29">
        <v>1</v>
      </c>
      <c r="Q29" s="30">
        <v>5744.16</v>
      </c>
      <c r="R29" s="205">
        <v>1</v>
      </c>
      <c r="S29" s="26">
        <f t="shared" si="1"/>
        <v>5744.16</v>
      </c>
      <c r="T29" s="30">
        <v>5744.16</v>
      </c>
      <c r="U29" s="241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6.5" customHeight="1">
      <c r="A30" s="373"/>
      <c r="B30" s="375"/>
      <c r="C30" s="375"/>
      <c r="D30" s="375"/>
      <c r="E30" s="375"/>
      <c r="F30" s="105"/>
      <c r="G30" s="35" t="s">
        <v>28</v>
      </c>
      <c r="H30" s="36"/>
      <c r="I30" s="38"/>
      <c r="J30" s="38"/>
      <c r="K30" s="39"/>
      <c r="L30" s="40"/>
      <c r="M30" s="39">
        <f t="shared" si="0"/>
        <v>0</v>
      </c>
      <c r="N30" s="39"/>
      <c r="O30" s="41"/>
      <c r="P30" s="69"/>
      <c r="Q30" s="39"/>
      <c r="R30" s="40"/>
      <c r="S30" s="39">
        <f t="shared" si="1"/>
        <v>0</v>
      </c>
      <c r="T30" s="39"/>
      <c r="U30" s="4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82"/>
      <c r="B31" s="381" t="s">
        <v>49</v>
      </c>
      <c r="C31" s="381" t="s">
        <v>22</v>
      </c>
      <c r="D31" s="381"/>
      <c r="E31" s="381" t="s">
        <v>50</v>
      </c>
      <c r="F31" s="223" t="s">
        <v>279</v>
      </c>
      <c r="G31" s="47" t="s">
        <v>24</v>
      </c>
      <c r="H31" s="151">
        <v>7</v>
      </c>
      <c r="I31" s="203">
        <v>4</v>
      </c>
      <c r="J31" s="203">
        <v>4</v>
      </c>
      <c r="K31" s="65">
        <v>6108.54</v>
      </c>
      <c r="L31" s="224">
        <v>4</v>
      </c>
      <c r="M31" s="50">
        <f t="shared" si="0"/>
        <v>6108.54</v>
      </c>
      <c r="N31" s="65">
        <v>6108.54</v>
      </c>
      <c r="O31" s="225"/>
      <c r="P31" s="108">
        <v>10</v>
      </c>
      <c r="Q31" s="65">
        <v>28852.58</v>
      </c>
      <c r="R31" s="224">
        <v>10</v>
      </c>
      <c r="S31" s="65">
        <v>28852.58</v>
      </c>
      <c r="T31" s="65">
        <v>28852.58</v>
      </c>
      <c r="U31" s="225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54"/>
      <c r="G32" s="55" t="s">
        <v>25</v>
      </c>
      <c r="H32" s="121">
        <v>7</v>
      </c>
      <c r="I32" s="130">
        <v>5</v>
      </c>
      <c r="J32" s="130">
        <v>5</v>
      </c>
      <c r="K32" s="114">
        <v>13447</v>
      </c>
      <c r="L32" s="270">
        <v>5</v>
      </c>
      <c r="M32" s="114">
        <v>13447</v>
      </c>
      <c r="N32" s="114">
        <v>13447</v>
      </c>
      <c r="O32" s="222"/>
      <c r="P32" s="113">
        <v>7</v>
      </c>
      <c r="Q32" s="114">
        <v>27092.02</v>
      </c>
      <c r="R32" s="270">
        <v>7</v>
      </c>
      <c r="S32" s="114">
        <v>27092.02</v>
      </c>
      <c r="T32" s="114">
        <v>27092.02</v>
      </c>
      <c r="U32" s="4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72"/>
      <c r="B33" s="381" t="s">
        <v>51</v>
      </c>
      <c r="C33" s="374" t="s">
        <v>39</v>
      </c>
      <c r="D33" s="374" t="s">
        <v>355</v>
      </c>
      <c r="E33" s="374" t="s">
        <v>65</v>
      </c>
      <c r="F33" s="204" t="s">
        <v>356</v>
      </c>
      <c r="G33" s="23" t="s">
        <v>24</v>
      </c>
      <c r="H33" s="119"/>
      <c r="I33" s="25"/>
      <c r="J33" s="25"/>
      <c r="K33" s="26"/>
      <c r="L33" s="27"/>
      <c r="M33" s="26">
        <f t="shared" ref="M33:M75" si="2">N33+O33</f>
        <v>0</v>
      </c>
      <c r="N33" s="26"/>
      <c r="O33" s="28"/>
      <c r="P33" s="29">
        <v>2</v>
      </c>
      <c r="Q33" s="30">
        <v>2689.4</v>
      </c>
      <c r="R33" s="205">
        <v>2</v>
      </c>
      <c r="S33" s="26">
        <f t="shared" ref="S33:S93" si="3">T33+U33</f>
        <v>2689.4</v>
      </c>
      <c r="T33" s="30">
        <v>2689.4</v>
      </c>
      <c r="U33" s="2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105"/>
      <c r="G34" s="35" t="s">
        <v>28</v>
      </c>
      <c r="H34" s="36"/>
      <c r="I34" s="38"/>
      <c r="J34" s="38"/>
      <c r="K34" s="39"/>
      <c r="L34" s="40"/>
      <c r="M34" s="39">
        <f t="shared" si="2"/>
        <v>0</v>
      </c>
      <c r="N34" s="39"/>
      <c r="O34" s="41"/>
      <c r="P34" s="69"/>
      <c r="Q34" s="39"/>
      <c r="R34" s="210"/>
      <c r="S34" s="39">
        <f t="shared" si="3"/>
        <v>0</v>
      </c>
      <c r="T34" s="39"/>
      <c r="U34" s="41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82"/>
      <c r="B35" s="381" t="s">
        <v>52</v>
      </c>
      <c r="C35" s="381" t="s">
        <v>39</v>
      </c>
      <c r="D35" s="381" t="s">
        <v>219</v>
      </c>
      <c r="E35" s="381" t="s">
        <v>65</v>
      </c>
      <c r="F35" s="223" t="s">
        <v>220</v>
      </c>
      <c r="G35" s="47" t="s">
        <v>24</v>
      </c>
      <c r="H35" s="151">
        <v>6</v>
      </c>
      <c r="I35" s="203">
        <v>5</v>
      </c>
      <c r="J35" s="203">
        <v>5</v>
      </c>
      <c r="K35" s="65">
        <v>5443.67</v>
      </c>
      <c r="L35" s="224">
        <v>5</v>
      </c>
      <c r="M35" s="50">
        <f t="shared" si="2"/>
        <v>5443.67</v>
      </c>
      <c r="N35" s="65">
        <v>5443.67</v>
      </c>
      <c r="O35" s="31"/>
      <c r="P35" s="64">
        <v>4</v>
      </c>
      <c r="Q35" s="65">
        <v>14213.44</v>
      </c>
      <c r="R35" s="317">
        <v>4</v>
      </c>
      <c r="S35" s="50">
        <f t="shared" si="3"/>
        <v>14213.44</v>
      </c>
      <c r="T35" s="65">
        <v>14213.44</v>
      </c>
      <c r="U35" s="22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233" t="s">
        <v>221</v>
      </c>
      <c r="G36" s="227" t="s">
        <v>28</v>
      </c>
      <c r="H36" s="207">
        <v>6</v>
      </c>
      <c r="I36" s="208">
        <v>3</v>
      </c>
      <c r="J36" s="208">
        <v>3</v>
      </c>
      <c r="K36" s="209">
        <v>4802.5</v>
      </c>
      <c r="L36" s="290">
        <v>3</v>
      </c>
      <c r="M36" s="211">
        <f t="shared" si="2"/>
        <v>4802.5</v>
      </c>
      <c r="N36" s="209">
        <f>1152.6+576.3+3073.6</f>
        <v>4802.5</v>
      </c>
      <c r="O36" s="212"/>
      <c r="P36" s="304">
        <v>2</v>
      </c>
      <c r="Q36" s="209">
        <v>9182.3799999999992</v>
      </c>
      <c r="R36" s="325">
        <v>3</v>
      </c>
      <c r="S36" s="211">
        <f t="shared" si="3"/>
        <v>9458.5299999999988</v>
      </c>
      <c r="T36" s="209">
        <f>276.15+1152.6+8029.78</f>
        <v>9458.5299999999988</v>
      </c>
      <c r="U36" s="212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72"/>
      <c r="B37" s="381" t="s">
        <v>405</v>
      </c>
      <c r="C37" s="374" t="s">
        <v>39</v>
      </c>
      <c r="D37" s="374" t="s">
        <v>433</v>
      </c>
      <c r="E37" s="381" t="s">
        <v>65</v>
      </c>
      <c r="F37" s="232" t="s">
        <v>434</v>
      </c>
      <c r="G37" s="213" t="s">
        <v>24</v>
      </c>
      <c r="H37" s="119"/>
      <c r="I37" s="25"/>
      <c r="J37" s="25"/>
      <c r="K37" s="26"/>
      <c r="L37" s="27"/>
      <c r="M37" s="26">
        <f t="shared" si="2"/>
        <v>0</v>
      </c>
      <c r="N37" s="26"/>
      <c r="O37" s="28"/>
      <c r="P37" s="275"/>
      <c r="Q37" s="26"/>
      <c r="R37" s="27"/>
      <c r="S37" s="26">
        <f t="shared" si="3"/>
        <v>0</v>
      </c>
      <c r="T37" s="26"/>
      <c r="U37" s="2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105"/>
      <c r="G38" s="215" t="s">
        <v>28</v>
      </c>
      <c r="H38" s="36"/>
      <c r="I38" s="38"/>
      <c r="J38" s="38"/>
      <c r="K38" s="39"/>
      <c r="L38" s="40"/>
      <c r="M38" s="39">
        <f t="shared" si="2"/>
        <v>0</v>
      </c>
      <c r="N38" s="39"/>
      <c r="O38" s="41"/>
      <c r="P38" s="276"/>
      <c r="Q38" s="39"/>
      <c r="R38" s="40"/>
      <c r="S38" s="39">
        <f t="shared" si="3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6"/>
      <c r="B39" s="377" t="s">
        <v>53</v>
      </c>
      <c r="C39" s="377" t="s">
        <v>46</v>
      </c>
      <c r="D39" s="377" t="s">
        <v>54</v>
      </c>
      <c r="E39" s="377" t="s">
        <v>55</v>
      </c>
      <c r="F39" s="72"/>
      <c r="G39" s="95" t="s">
        <v>24</v>
      </c>
      <c r="H39" s="218"/>
      <c r="I39" s="96"/>
      <c r="J39" s="96"/>
      <c r="K39" s="81"/>
      <c r="L39" s="80"/>
      <c r="M39" s="81">
        <f t="shared" si="2"/>
        <v>0</v>
      </c>
      <c r="N39" s="81"/>
      <c r="O39" s="219"/>
      <c r="P39" s="277"/>
      <c r="Q39" s="81"/>
      <c r="R39" s="80"/>
      <c r="S39" s="81">
        <f t="shared" si="3"/>
        <v>0</v>
      </c>
      <c r="T39" s="81"/>
      <c r="U39" s="219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226"/>
      <c r="G40" s="227" t="s">
        <v>25</v>
      </c>
      <c r="H40" s="272"/>
      <c r="I40" s="261"/>
      <c r="J40" s="261"/>
      <c r="K40" s="211"/>
      <c r="L40" s="210"/>
      <c r="M40" s="211">
        <f t="shared" si="2"/>
        <v>0</v>
      </c>
      <c r="N40" s="211"/>
      <c r="O40" s="212"/>
      <c r="P40" s="273"/>
      <c r="Q40" s="211"/>
      <c r="R40" s="210"/>
      <c r="S40" s="211">
        <f t="shared" si="3"/>
        <v>0</v>
      </c>
      <c r="T40" s="211"/>
      <c r="U40" s="212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72"/>
      <c r="B41" s="374" t="s">
        <v>56</v>
      </c>
      <c r="C41" s="374" t="s">
        <v>39</v>
      </c>
      <c r="D41" s="374" t="s">
        <v>281</v>
      </c>
      <c r="E41" s="374" t="s">
        <v>58</v>
      </c>
      <c r="F41" s="204" t="s">
        <v>283</v>
      </c>
      <c r="G41" s="176" t="s">
        <v>24</v>
      </c>
      <c r="H41" s="319">
        <v>2</v>
      </c>
      <c r="I41" s="62">
        <v>2</v>
      </c>
      <c r="J41" s="62">
        <v>2</v>
      </c>
      <c r="K41" s="30">
        <v>2895.26</v>
      </c>
      <c r="L41" s="205">
        <v>3</v>
      </c>
      <c r="M41" s="26">
        <f t="shared" si="2"/>
        <v>7453.76</v>
      </c>
      <c r="N41" s="30">
        <v>7453.76</v>
      </c>
      <c r="O41" s="100"/>
      <c r="P41" s="53">
        <v>3</v>
      </c>
      <c r="Q41" s="30">
        <v>4264.95</v>
      </c>
      <c r="R41" s="205">
        <v>2</v>
      </c>
      <c r="S41" s="26">
        <f t="shared" si="3"/>
        <v>2055.75</v>
      </c>
      <c r="T41" s="30">
        <v>2055.75</v>
      </c>
      <c r="U41" s="243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229" t="s">
        <v>28</v>
      </c>
      <c r="H42" s="301"/>
      <c r="I42" s="38"/>
      <c r="J42" s="38"/>
      <c r="K42" s="39"/>
      <c r="L42" s="40"/>
      <c r="M42" s="39">
        <f t="shared" si="2"/>
        <v>0</v>
      </c>
      <c r="N42" s="39"/>
      <c r="O42" s="41"/>
      <c r="P42" s="59"/>
      <c r="Q42" s="39"/>
      <c r="R42" s="40"/>
      <c r="S42" s="39">
        <f t="shared" si="3"/>
        <v>0</v>
      </c>
      <c r="T42" s="39"/>
      <c r="U42" s="41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59</v>
      </c>
      <c r="C43" s="374" t="s">
        <v>22</v>
      </c>
      <c r="D43" s="374"/>
      <c r="E43" s="374" t="s">
        <v>27</v>
      </c>
      <c r="F43" s="204" t="s">
        <v>261</v>
      </c>
      <c r="G43" s="176" t="s">
        <v>24</v>
      </c>
      <c r="H43" s="265">
        <v>10</v>
      </c>
      <c r="I43" s="266">
        <v>9</v>
      </c>
      <c r="J43" s="266">
        <v>9</v>
      </c>
      <c r="K43" s="79">
        <v>10392.620000000001</v>
      </c>
      <c r="L43" s="268">
        <v>9</v>
      </c>
      <c r="M43" s="81">
        <f t="shared" si="2"/>
        <v>10392.620000000001</v>
      </c>
      <c r="N43" s="79">
        <v>10392.620000000001</v>
      </c>
      <c r="O43" s="314"/>
      <c r="P43" s="53">
        <v>20</v>
      </c>
      <c r="Q43" s="30">
        <v>79577.89</v>
      </c>
      <c r="R43" s="205">
        <v>20</v>
      </c>
      <c r="S43" s="26">
        <f t="shared" si="3"/>
        <v>79577.89</v>
      </c>
      <c r="T43" s="30">
        <v>79577.89</v>
      </c>
      <c r="U43" s="241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3"/>
      <c r="B44" s="375"/>
      <c r="C44" s="375"/>
      <c r="D44" s="375"/>
      <c r="E44" s="375"/>
      <c r="F44" s="105"/>
      <c r="G44" s="229" t="s">
        <v>28</v>
      </c>
      <c r="H44" s="272"/>
      <c r="I44" s="261"/>
      <c r="J44" s="261"/>
      <c r="K44" s="211"/>
      <c r="L44" s="210"/>
      <c r="M44" s="211">
        <f t="shared" si="2"/>
        <v>0</v>
      </c>
      <c r="N44" s="211"/>
      <c r="O44" s="274"/>
      <c r="P44" s="273"/>
      <c r="Q44" s="211"/>
      <c r="R44" s="210"/>
      <c r="S44" s="211">
        <f t="shared" si="3"/>
        <v>0</v>
      </c>
      <c r="T44" s="211"/>
      <c r="U44" s="212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357</v>
      </c>
      <c r="C45" s="374" t="s">
        <v>39</v>
      </c>
      <c r="D45" s="374" t="s">
        <v>388</v>
      </c>
      <c r="E45" s="377" t="s">
        <v>27</v>
      </c>
      <c r="F45" s="204" t="s">
        <v>389</v>
      </c>
      <c r="G45" s="213" t="s">
        <v>24</v>
      </c>
      <c r="H45" s="61">
        <v>14</v>
      </c>
      <c r="I45" s="62">
        <v>7</v>
      </c>
      <c r="J45" s="62">
        <v>8</v>
      </c>
      <c r="K45" s="30">
        <v>8567.49</v>
      </c>
      <c r="L45" s="205">
        <v>8</v>
      </c>
      <c r="M45" s="26">
        <f t="shared" si="2"/>
        <v>8567.49</v>
      </c>
      <c r="N45" s="30">
        <v>8567.49</v>
      </c>
      <c r="O45" s="28"/>
      <c r="P45" s="214"/>
      <c r="Q45" s="30"/>
      <c r="R45" s="27"/>
      <c r="S45" s="26">
        <f t="shared" si="3"/>
        <v>0</v>
      </c>
      <c r="T45" s="26"/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80"/>
      <c r="F46" s="233"/>
      <c r="G46" s="279" t="s">
        <v>28</v>
      </c>
      <c r="H46" s="302">
        <v>6</v>
      </c>
      <c r="I46" s="208">
        <v>1</v>
      </c>
      <c r="J46" s="208">
        <v>1</v>
      </c>
      <c r="K46" s="209">
        <v>4728</v>
      </c>
      <c r="L46" s="210"/>
      <c r="M46" s="211">
        <f t="shared" si="2"/>
        <v>0</v>
      </c>
      <c r="N46" s="211"/>
      <c r="O46" s="212"/>
      <c r="P46" s="280"/>
      <c r="Q46" s="209"/>
      <c r="R46" s="210"/>
      <c r="S46" s="211">
        <f t="shared" si="3"/>
        <v>0</v>
      </c>
      <c r="T46" s="211"/>
      <c r="U46" s="26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390</v>
      </c>
      <c r="C47" s="374" t="s">
        <v>22</v>
      </c>
      <c r="D47" s="374"/>
      <c r="E47" s="374" t="s">
        <v>391</v>
      </c>
      <c r="F47" s="204" t="s">
        <v>392</v>
      </c>
      <c r="G47" s="213" t="s">
        <v>24</v>
      </c>
      <c r="H47" s="61">
        <v>4</v>
      </c>
      <c r="I47" s="25"/>
      <c r="J47" s="25"/>
      <c r="K47" s="26"/>
      <c r="L47" s="27"/>
      <c r="M47" s="26">
        <f t="shared" si="2"/>
        <v>0</v>
      </c>
      <c r="N47" s="26"/>
      <c r="O47" s="28"/>
      <c r="P47" s="275"/>
      <c r="Q47" s="26"/>
      <c r="R47" s="27"/>
      <c r="S47" s="26">
        <f t="shared" si="3"/>
        <v>0</v>
      </c>
      <c r="T47" s="26"/>
      <c r="U47" s="2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215" t="s">
        <v>28</v>
      </c>
      <c r="H48" s="106"/>
      <c r="I48" s="38"/>
      <c r="J48" s="38"/>
      <c r="K48" s="39"/>
      <c r="L48" s="40"/>
      <c r="M48" s="39">
        <f t="shared" si="2"/>
        <v>0</v>
      </c>
      <c r="N48" s="39"/>
      <c r="O48" s="41"/>
      <c r="P48" s="276"/>
      <c r="Q48" s="39"/>
      <c r="R48" s="40"/>
      <c r="S48" s="39">
        <f t="shared" si="3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6"/>
      <c r="B49" s="377" t="s">
        <v>358</v>
      </c>
      <c r="C49" s="377"/>
      <c r="D49" s="377"/>
      <c r="E49" s="377"/>
      <c r="F49" s="76"/>
      <c r="G49" s="73" t="s">
        <v>24</v>
      </c>
      <c r="H49" s="74"/>
      <c r="I49" s="96"/>
      <c r="J49" s="96"/>
      <c r="K49" s="81"/>
      <c r="L49" s="80"/>
      <c r="M49" s="81">
        <f t="shared" si="2"/>
        <v>0</v>
      </c>
      <c r="N49" s="81"/>
      <c r="O49" s="82"/>
      <c r="P49" s="303"/>
      <c r="Q49" s="81"/>
      <c r="R49" s="80"/>
      <c r="S49" s="81">
        <f t="shared" si="3"/>
        <v>0</v>
      </c>
      <c r="T49" s="81"/>
      <c r="U49" s="82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17">
        <v>1</v>
      </c>
      <c r="I50" s="37">
        <v>1</v>
      </c>
      <c r="J50" s="37">
        <v>1</v>
      </c>
      <c r="K50" s="68">
        <v>576.29999999999995</v>
      </c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60</v>
      </c>
      <c r="C51" s="374" t="s">
        <v>39</v>
      </c>
      <c r="D51" s="374" t="s">
        <v>61</v>
      </c>
      <c r="E51" s="383" t="s">
        <v>27</v>
      </c>
      <c r="F51" s="60"/>
      <c r="G51" s="176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97"/>
      <c r="P51" s="277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401"/>
      <c r="F52" s="34"/>
      <c r="G52" s="229" t="s">
        <v>28</v>
      </c>
      <c r="H52" s="112">
        <v>5</v>
      </c>
      <c r="I52" s="130">
        <v>2</v>
      </c>
      <c r="J52" s="130">
        <v>2</v>
      </c>
      <c r="K52" s="114">
        <v>3411.9</v>
      </c>
      <c r="L52" s="44"/>
      <c r="M52" s="43">
        <f t="shared" si="2"/>
        <v>0</v>
      </c>
      <c r="N52" s="43"/>
      <c r="O52" s="58"/>
      <c r="P52" s="59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62</v>
      </c>
      <c r="C53" s="374" t="s">
        <v>39</v>
      </c>
      <c r="D53" s="374" t="s">
        <v>63</v>
      </c>
      <c r="E53" s="374" t="s">
        <v>27</v>
      </c>
      <c r="F53" s="232" t="s">
        <v>359</v>
      </c>
      <c r="G53" s="23" t="s">
        <v>24</v>
      </c>
      <c r="H53" s="24">
        <v>4</v>
      </c>
      <c r="I53" s="62">
        <v>2</v>
      </c>
      <c r="J53" s="62">
        <v>2</v>
      </c>
      <c r="K53" s="30">
        <v>1754.47</v>
      </c>
      <c r="L53" s="205">
        <v>2</v>
      </c>
      <c r="M53" s="26">
        <f t="shared" si="2"/>
        <v>1754.47</v>
      </c>
      <c r="N53" s="30">
        <v>1754.47</v>
      </c>
      <c r="O53" s="31"/>
      <c r="P53" s="108">
        <v>7</v>
      </c>
      <c r="Q53" s="65">
        <v>15242.58</v>
      </c>
      <c r="R53" s="224">
        <v>7</v>
      </c>
      <c r="S53" s="50">
        <f t="shared" si="3"/>
        <v>15242.58</v>
      </c>
      <c r="T53" s="65">
        <v>15242.58</v>
      </c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66">
        <v>4</v>
      </c>
      <c r="I54" s="37">
        <v>1</v>
      </c>
      <c r="J54" s="37">
        <v>1</v>
      </c>
      <c r="K54" s="68">
        <v>2007</v>
      </c>
      <c r="L54" s="40"/>
      <c r="M54" s="39">
        <f t="shared" si="2"/>
        <v>0</v>
      </c>
      <c r="N54" s="39"/>
      <c r="O54" s="41"/>
      <c r="P54" s="115">
        <v>7</v>
      </c>
      <c r="Q54" s="68">
        <v>14652.43</v>
      </c>
      <c r="R54" s="285">
        <v>12</v>
      </c>
      <c r="S54" s="39">
        <f t="shared" si="3"/>
        <v>26971.13</v>
      </c>
      <c r="T54" s="68">
        <f>2209.2+576.3+13639.1+1921+1921+3438.83+3265.7</f>
        <v>26971.13</v>
      </c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66</v>
      </c>
      <c r="C55" s="374" t="s">
        <v>22</v>
      </c>
      <c r="D55" s="374"/>
      <c r="E55" s="374" t="s">
        <v>67</v>
      </c>
      <c r="F55" s="223" t="s">
        <v>360</v>
      </c>
      <c r="G55" s="176" t="s">
        <v>24</v>
      </c>
      <c r="H55" s="278">
        <v>4</v>
      </c>
      <c r="I55" s="203">
        <v>3</v>
      </c>
      <c r="J55" s="203">
        <v>5</v>
      </c>
      <c r="K55" s="65">
        <v>6927.86</v>
      </c>
      <c r="L55" s="224">
        <v>5</v>
      </c>
      <c r="M55" s="50">
        <f t="shared" si="2"/>
        <v>6927.86</v>
      </c>
      <c r="N55" s="65">
        <v>6927.86</v>
      </c>
      <c r="O55" s="31"/>
      <c r="P55" s="53">
        <v>4</v>
      </c>
      <c r="Q55" s="30">
        <v>12223.84</v>
      </c>
      <c r="R55" s="205">
        <v>4</v>
      </c>
      <c r="S55" s="26">
        <f t="shared" si="3"/>
        <v>12223.84</v>
      </c>
      <c r="T55" s="30">
        <v>12223.84</v>
      </c>
      <c r="U55" s="243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229" t="s">
        <v>28</v>
      </c>
      <c r="H56" s="230"/>
      <c r="I56" s="57"/>
      <c r="J56" s="57"/>
      <c r="K56" s="43"/>
      <c r="L56" s="44"/>
      <c r="M56" s="43">
        <f t="shared" si="2"/>
        <v>0</v>
      </c>
      <c r="N56" s="43"/>
      <c r="O56" s="41"/>
      <c r="P56" s="59"/>
      <c r="Q56" s="39"/>
      <c r="R56" s="40"/>
      <c r="S56" s="39">
        <f t="shared" si="3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6"/>
      <c r="B57" s="377" t="s">
        <v>68</v>
      </c>
      <c r="C57" s="377" t="s">
        <v>39</v>
      </c>
      <c r="D57" s="377" t="s">
        <v>69</v>
      </c>
      <c r="E57" s="377" t="s">
        <v>65</v>
      </c>
      <c r="F57" s="223" t="s">
        <v>263</v>
      </c>
      <c r="G57" s="95" t="s">
        <v>24</v>
      </c>
      <c r="H57" s="61">
        <v>11</v>
      </c>
      <c r="I57" s="62">
        <v>8</v>
      </c>
      <c r="J57" s="62">
        <v>9</v>
      </c>
      <c r="K57" s="30">
        <v>16490.21</v>
      </c>
      <c r="L57" s="205">
        <v>11</v>
      </c>
      <c r="M57" s="26">
        <f t="shared" si="2"/>
        <v>20141.560000000001</v>
      </c>
      <c r="N57" s="30">
        <v>20141.560000000001</v>
      </c>
      <c r="O57" s="225"/>
      <c r="P57" s="53">
        <v>6</v>
      </c>
      <c r="Q57" s="30">
        <v>45189.01</v>
      </c>
      <c r="R57" s="205">
        <v>6</v>
      </c>
      <c r="S57" s="26">
        <f t="shared" si="3"/>
        <v>45189.01</v>
      </c>
      <c r="T57" s="30">
        <v>45189.01</v>
      </c>
      <c r="U57" s="225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305" t="s">
        <v>222</v>
      </c>
      <c r="G58" s="35" t="s">
        <v>28</v>
      </c>
      <c r="H58" s="117">
        <v>4</v>
      </c>
      <c r="I58" s="37">
        <v>3</v>
      </c>
      <c r="J58" s="37">
        <v>3</v>
      </c>
      <c r="K58" s="68">
        <v>3099.46</v>
      </c>
      <c r="L58" s="285">
        <v>2</v>
      </c>
      <c r="M58" s="39">
        <f t="shared" si="2"/>
        <v>2497.3000000000002</v>
      </c>
      <c r="N58" s="39">
        <f>1921+576.3</f>
        <v>2497.3000000000002</v>
      </c>
      <c r="O58" s="41"/>
      <c r="P58" s="115">
        <v>1</v>
      </c>
      <c r="Q58" s="68">
        <v>576.29999999999995</v>
      </c>
      <c r="R58" s="285">
        <v>1</v>
      </c>
      <c r="S58" s="39">
        <f t="shared" si="3"/>
        <v>144.08000000000001</v>
      </c>
      <c r="T58" s="39">
        <f>144.08</f>
        <v>144.08000000000001</v>
      </c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70</v>
      </c>
      <c r="C59" s="374" t="s">
        <v>39</v>
      </c>
      <c r="D59" s="374" t="s">
        <v>284</v>
      </c>
      <c r="E59" s="374" t="s">
        <v>55</v>
      </c>
      <c r="F59" s="204" t="s">
        <v>285</v>
      </c>
      <c r="G59" s="176" t="s">
        <v>24</v>
      </c>
      <c r="H59" s="48">
        <v>13</v>
      </c>
      <c r="I59" s="203">
        <v>10</v>
      </c>
      <c r="J59" s="203">
        <v>14</v>
      </c>
      <c r="K59" s="65">
        <v>21010.75</v>
      </c>
      <c r="L59" s="224">
        <v>14</v>
      </c>
      <c r="M59" s="50">
        <f t="shared" si="2"/>
        <v>21010.75</v>
      </c>
      <c r="N59" s="65">
        <v>21010.75</v>
      </c>
      <c r="O59" s="225"/>
      <c r="P59" s="53">
        <v>35</v>
      </c>
      <c r="Q59" s="30">
        <v>84174.76</v>
      </c>
      <c r="R59" s="205">
        <v>34</v>
      </c>
      <c r="S59" s="26">
        <f t="shared" si="3"/>
        <v>83293.759999999995</v>
      </c>
      <c r="T59" s="30">
        <v>83293.759999999995</v>
      </c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25</v>
      </c>
      <c r="H60" s="272"/>
      <c r="I60" s="261"/>
      <c r="J60" s="261"/>
      <c r="K60" s="211"/>
      <c r="L60" s="210"/>
      <c r="M60" s="211">
        <f t="shared" si="2"/>
        <v>0</v>
      </c>
      <c r="N60" s="211"/>
      <c r="O60" s="212"/>
      <c r="P60" s="273"/>
      <c r="Q60" s="211"/>
      <c r="R60" s="210"/>
      <c r="S60" s="211">
        <f t="shared" si="3"/>
        <v>0</v>
      </c>
      <c r="T60" s="211"/>
      <c r="U60" s="212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361</v>
      </c>
      <c r="C61" s="374" t="s">
        <v>39</v>
      </c>
      <c r="D61" s="374" t="s">
        <v>393</v>
      </c>
      <c r="E61" s="377" t="s">
        <v>27</v>
      </c>
      <c r="F61" s="204" t="s">
        <v>394</v>
      </c>
      <c r="G61" s="213" t="s">
        <v>24</v>
      </c>
      <c r="H61" s="24">
        <v>7</v>
      </c>
      <c r="I61" s="62">
        <v>3</v>
      </c>
      <c r="J61" s="62">
        <v>3</v>
      </c>
      <c r="K61" s="30">
        <v>5443.83</v>
      </c>
      <c r="L61" s="205">
        <v>3</v>
      </c>
      <c r="M61" s="26">
        <f t="shared" si="2"/>
        <v>5443.83</v>
      </c>
      <c r="N61" s="30">
        <v>5443.83</v>
      </c>
      <c r="O61" s="28"/>
      <c r="P61" s="214"/>
      <c r="Q61" s="30"/>
      <c r="R61" s="27"/>
      <c r="S61" s="26">
        <f t="shared" si="3"/>
        <v>0</v>
      </c>
      <c r="T61" s="26"/>
      <c r="U61" s="2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80"/>
      <c r="F62" s="247"/>
      <c r="G62" s="279" t="s">
        <v>28</v>
      </c>
      <c r="H62" s="207">
        <v>5</v>
      </c>
      <c r="I62" s="208"/>
      <c r="J62" s="208"/>
      <c r="K62" s="209"/>
      <c r="L62" s="210"/>
      <c r="M62" s="211">
        <f t="shared" si="2"/>
        <v>0</v>
      </c>
      <c r="N62" s="211"/>
      <c r="O62" s="212"/>
      <c r="P62" s="280"/>
      <c r="Q62" s="209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362</v>
      </c>
      <c r="C63" s="374" t="s">
        <v>39</v>
      </c>
      <c r="D63" s="374" t="s">
        <v>395</v>
      </c>
      <c r="E63" s="377" t="s">
        <v>27</v>
      </c>
      <c r="F63" s="204" t="s">
        <v>396</v>
      </c>
      <c r="G63" s="176" t="s">
        <v>24</v>
      </c>
      <c r="H63" s="248">
        <v>5</v>
      </c>
      <c r="I63" s="62">
        <v>1</v>
      </c>
      <c r="J63" s="62">
        <v>1</v>
      </c>
      <c r="K63" s="30">
        <v>2531.11</v>
      </c>
      <c r="L63" s="205">
        <v>3</v>
      </c>
      <c r="M63" s="26">
        <f t="shared" si="2"/>
        <v>6733.37</v>
      </c>
      <c r="N63" s="30">
        <v>6733.37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34"/>
      <c r="G64" s="229" t="s">
        <v>28</v>
      </c>
      <c r="H64" s="258">
        <v>5</v>
      </c>
      <c r="I64" s="37"/>
      <c r="J64" s="37"/>
      <c r="K64" s="68"/>
      <c r="L64" s="40"/>
      <c r="M64" s="39">
        <f t="shared" si="2"/>
        <v>0</v>
      </c>
      <c r="N64" s="39"/>
      <c r="O64" s="41"/>
      <c r="P64" s="217"/>
      <c r="Q64" s="68"/>
      <c r="R64" s="40"/>
      <c r="S64" s="39">
        <f t="shared" si="3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6"/>
      <c r="B65" s="377" t="s">
        <v>72</v>
      </c>
      <c r="C65" s="377" t="s">
        <v>39</v>
      </c>
      <c r="D65" s="377" t="s">
        <v>363</v>
      </c>
      <c r="E65" s="377" t="s">
        <v>27</v>
      </c>
      <c r="F65" s="232" t="s">
        <v>364</v>
      </c>
      <c r="G65" s="95" t="s">
        <v>24</v>
      </c>
      <c r="H65" s="281">
        <v>5</v>
      </c>
      <c r="I65" s="266">
        <v>3</v>
      </c>
      <c r="J65" s="266">
        <v>3</v>
      </c>
      <c r="K65" s="79">
        <v>10543.17</v>
      </c>
      <c r="L65" s="268">
        <v>3</v>
      </c>
      <c r="M65" s="81">
        <f t="shared" si="2"/>
        <v>10543.17</v>
      </c>
      <c r="N65" s="79">
        <v>10543.17</v>
      </c>
      <c r="O65" s="219"/>
      <c r="P65" s="267">
        <v>3</v>
      </c>
      <c r="Q65" s="79">
        <v>4835.93</v>
      </c>
      <c r="R65" s="268">
        <v>3</v>
      </c>
      <c r="S65" s="81">
        <f t="shared" si="3"/>
        <v>4835.93</v>
      </c>
      <c r="T65" s="79">
        <v>4835.93</v>
      </c>
      <c r="U65" s="269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9"/>
      <c r="B66" s="380"/>
      <c r="C66" s="380"/>
      <c r="D66" s="380"/>
      <c r="E66" s="380"/>
      <c r="F66" s="233" t="s">
        <v>223</v>
      </c>
      <c r="G66" s="227" t="s">
        <v>28</v>
      </c>
      <c r="H66" s="112">
        <v>4</v>
      </c>
      <c r="I66" s="130">
        <v>4</v>
      </c>
      <c r="J66" s="130">
        <v>4</v>
      </c>
      <c r="K66" s="114">
        <v>6601.18</v>
      </c>
      <c r="L66" s="316">
        <v>3</v>
      </c>
      <c r="M66" s="129">
        <f t="shared" si="2"/>
        <v>5196.2800000000007</v>
      </c>
      <c r="N66" s="43">
        <f>1344.7+1738.48+2113.1</f>
        <v>5196.2800000000007</v>
      </c>
      <c r="O66" s="45"/>
      <c r="P66" s="103"/>
      <c r="Q66" s="43"/>
      <c r="R66" s="128"/>
      <c r="S66" s="129">
        <f t="shared" si="3"/>
        <v>0</v>
      </c>
      <c r="T66" s="43"/>
      <c r="U66" s="45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73</v>
      </c>
      <c r="C67" s="374" t="s">
        <v>22</v>
      </c>
      <c r="D67" s="374"/>
      <c r="E67" s="374" t="s">
        <v>27</v>
      </c>
      <c r="F67" s="204" t="s">
        <v>209</v>
      </c>
      <c r="G67" s="176" t="s">
        <v>24</v>
      </c>
      <c r="H67" s="61">
        <v>5</v>
      </c>
      <c r="I67" s="62">
        <v>2</v>
      </c>
      <c r="J67" s="62">
        <v>2</v>
      </c>
      <c r="K67" s="30">
        <v>4562.99</v>
      </c>
      <c r="L67" s="205">
        <v>2</v>
      </c>
      <c r="M67" s="26">
        <f t="shared" si="2"/>
        <v>4562.99</v>
      </c>
      <c r="N67" s="30">
        <v>4562.99</v>
      </c>
      <c r="O67" s="28"/>
      <c r="P67" s="29">
        <v>8</v>
      </c>
      <c r="Q67" s="30">
        <v>15651.3</v>
      </c>
      <c r="R67" s="205">
        <v>8</v>
      </c>
      <c r="S67" s="26">
        <f t="shared" si="3"/>
        <v>15651.3</v>
      </c>
      <c r="T67" s="30">
        <v>15651.3</v>
      </c>
      <c r="U67" s="2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105"/>
      <c r="G68" s="229" t="s">
        <v>28</v>
      </c>
      <c r="H68" s="106"/>
      <c r="I68" s="38"/>
      <c r="J68" s="38"/>
      <c r="K68" s="39"/>
      <c r="L68" s="40"/>
      <c r="M68" s="39">
        <f t="shared" si="2"/>
        <v>0</v>
      </c>
      <c r="N68" s="39"/>
      <c r="O68" s="41"/>
      <c r="P68" s="69"/>
      <c r="Q68" s="39"/>
      <c r="R68" s="40"/>
      <c r="S68" s="39">
        <f t="shared" si="3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74</v>
      </c>
      <c r="C69" s="374" t="s">
        <v>39</v>
      </c>
      <c r="D69" s="374" t="s">
        <v>264</v>
      </c>
      <c r="E69" s="374" t="s">
        <v>27</v>
      </c>
      <c r="F69" s="204" t="s">
        <v>265</v>
      </c>
      <c r="G69" s="176" t="s">
        <v>24</v>
      </c>
      <c r="H69" s="48">
        <v>2</v>
      </c>
      <c r="I69" s="49"/>
      <c r="J69" s="49"/>
      <c r="K69" s="50"/>
      <c r="L69" s="51"/>
      <c r="M69" s="50">
        <f t="shared" si="2"/>
        <v>0</v>
      </c>
      <c r="N69" s="50"/>
      <c r="O69" s="31"/>
      <c r="P69" s="108">
        <v>19</v>
      </c>
      <c r="Q69" s="65">
        <v>76696.490000000005</v>
      </c>
      <c r="R69" s="224">
        <v>15</v>
      </c>
      <c r="S69" s="50">
        <f t="shared" si="3"/>
        <v>73353.95</v>
      </c>
      <c r="T69" s="65">
        <v>73353.95</v>
      </c>
      <c r="U69" s="22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220" t="s">
        <v>286</v>
      </c>
      <c r="G70" s="229" t="s">
        <v>28</v>
      </c>
      <c r="H70" s="56">
        <v>5</v>
      </c>
      <c r="I70" s="130">
        <v>1</v>
      </c>
      <c r="J70" s="130">
        <v>1</v>
      </c>
      <c r="K70" s="114">
        <v>1056.5999999999999</v>
      </c>
      <c r="L70" s="270">
        <v>1</v>
      </c>
      <c r="M70" s="43">
        <f t="shared" si="2"/>
        <v>1152.5999999999999</v>
      </c>
      <c r="N70" s="43">
        <f>1152.6</f>
        <v>1152.5999999999999</v>
      </c>
      <c r="O70" s="41"/>
      <c r="P70" s="113">
        <v>1</v>
      </c>
      <c r="Q70" s="114">
        <v>2881.5</v>
      </c>
      <c r="R70" s="270">
        <v>1</v>
      </c>
      <c r="S70" s="43">
        <f t="shared" si="3"/>
        <v>2881.5</v>
      </c>
      <c r="T70" s="114">
        <v>2881.5</v>
      </c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76</v>
      </c>
      <c r="C71" s="374" t="s">
        <v>39</v>
      </c>
      <c r="D71" s="374" t="s">
        <v>397</v>
      </c>
      <c r="E71" s="374" t="s">
        <v>77</v>
      </c>
      <c r="F71" s="232" t="s">
        <v>398</v>
      </c>
      <c r="G71" s="23" t="s">
        <v>24</v>
      </c>
      <c r="H71" s="61">
        <v>10</v>
      </c>
      <c r="I71" s="62">
        <v>8</v>
      </c>
      <c r="J71" s="62">
        <v>9</v>
      </c>
      <c r="K71" s="30">
        <v>21654.32</v>
      </c>
      <c r="L71" s="205">
        <v>9</v>
      </c>
      <c r="M71" s="26">
        <f t="shared" si="2"/>
        <v>21654.32</v>
      </c>
      <c r="N71" s="30">
        <v>21654.32</v>
      </c>
      <c r="O71" s="225"/>
      <c r="P71" s="29">
        <v>5</v>
      </c>
      <c r="Q71" s="30">
        <v>10539.19</v>
      </c>
      <c r="R71" s="205">
        <v>5</v>
      </c>
      <c r="S71" s="26">
        <f t="shared" si="3"/>
        <v>10539.19</v>
      </c>
      <c r="T71" s="30">
        <v>10539.19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287</v>
      </c>
      <c r="G72" s="35" t="s">
        <v>28</v>
      </c>
      <c r="H72" s="117">
        <v>4</v>
      </c>
      <c r="I72" s="38"/>
      <c r="J72" s="38"/>
      <c r="K72" s="39"/>
      <c r="L72" s="40"/>
      <c r="M72" s="39">
        <f t="shared" si="2"/>
        <v>0</v>
      </c>
      <c r="N72" s="39"/>
      <c r="O72" s="41"/>
      <c r="P72" s="69"/>
      <c r="Q72" s="39"/>
      <c r="R72" s="40"/>
      <c r="S72" s="39">
        <f t="shared" si="3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78</v>
      </c>
      <c r="C73" s="381" t="s">
        <v>22</v>
      </c>
      <c r="D73" s="381"/>
      <c r="E73" s="374" t="s">
        <v>77</v>
      </c>
      <c r="F73" s="204" t="s">
        <v>408</v>
      </c>
      <c r="G73" s="47" t="s">
        <v>24</v>
      </c>
      <c r="H73" s="48">
        <v>2</v>
      </c>
      <c r="I73" s="203">
        <v>2</v>
      </c>
      <c r="J73" s="203">
        <v>3</v>
      </c>
      <c r="K73" s="65">
        <v>1661.67</v>
      </c>
      <c r="L73" s="224">
        <v>1</v>
      </c>
      <c r="M73" s="50">
        <f t="shared" si="2"/>
        <v>633.92999999999995</v>
      </c>
      <c r="N73" s="65">
        <v>633.92999999999995</v>
      </c>
      <c r="O73" s="225"/>
      <c r="P73" s="123"/>
      <c r="Q73" s="50"/>
      <c r="R73" s="51"/>
      <c r="S73" s="50">
        <f t="shared" si="3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126"/>
      <c r="G74" s="55" t="s">
        <v>28</v>
      </c>
      <c r="H74" s="131"/>
      <c r="I74" s="57"/>
      <c r="J74" s="57"/>
      <c r="K74" s="43"/>
      <c r="L74" s="44"/>
      <c r="M74" s="43">
        <f t="shared" si="2"/>
        <v>0</v>
      </c>
      <c r="N74" s="43"/>
      <c r="O74" s="41"/>
      <c r="P74" s="103"/>
      <c r="Q74" s="43"/>
      <c r="R74" s="44"/>
      <c r="S74" s="43">
        <f t="shared" si="3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79</v>
      </c>
      <c r="C75" s="374" t="s">
        <v>22</v>
      </c>
      <c r="D75" s="374"/>
      <c r="E75" s="374" t="s">
        <v>50</v>
      </c>
      <c r="F75" s="204" t="s">
        <v>444</v>
      </c>
      <c r="G75" s="23" t="s">
        <v>24</v>
      </c>
      <c r="H75" s="61">
        <v>7</v>
      </c>
      <c r="I75" s="62">
        <v>6</v>
      </c>
      <c r="J75" s="62">
        <v>9</v>
      </c>
      <c r="K75" s="30">
        <v>14971.8</v>
      </c>
      <c r="L75" s="205">
        <v>9</v>
      </c>
      <c r="M75" s="26">
        <f t="shared" si="2"/>
        <v>14971.8</v>
      </c>
      <c r="N75" s="30">
        <v>14971.8</v>
      </c>
      <c r="O75" s="31"/>
      <c r="P75" s="53">
        <v>3</v>
      </c>
      <c r="Q75" s="30">
        <v>6608.53</v>
      </c>
      <c r="R75" s="205">
        <v>2</v>
      </c>
      <c r="S75" s="26">
        <f t="shared" si="3"/>
        <v>4729.9799999999996</v>
      </c>
      <c r="T75" s="30">
        <v>4729.9799999999996</v>
      </c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34"/>
      <c r="G76" s="35" t="s">
        <v>25</v>
      </c>
      <c r="H76" s="117">
        <v>3</v>
      </c>
      <c r="I76" s="37">
        <v>2</v>
      </c>
      <c r="J76" s="37">
        <v>2</v>
      </c>
      <c r="K76" s="68">
        <v>1479.45</v>
      </c>
      <c r="L76" s="285">
        <v>2</v>
      </c>
      <c r="M76" s="68">
        <v>1479.45</v>
      </c>
      <c r="N76" s="68">
        <v>1479.45</v>
      </c>
      <c r="O76" s="41"/>
      <c r="P76" s="59"/>
      <c r="Q76" s="39"/>
      <c r="R76" s="40"/>
      <c r="S76" s="39">
        <f t="shared" si="3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80</v>
      </c>
      <c r="C77" s="381" t="s">
        <v>22</v>
      </c>
      <c r="D77" s="381"/>
      <c r="E77" s="381" t="s">
        <v>67</v>
      </c>
      <c r="F77" s="223" t="s">
        <v>399</v>
      </c>
      <c r="G77" s="47" t="s">
        <v>24</v>
      </c>
      <c r="H77" s="48">
        <v>9</v>
      </c>
      <c r="I77" s="203">
        <v>6</v>
      </c>
      <c r="J77" s="203">
        <v>9</v>
      </c>
      <c r="K77" s="114">
        <v>12064.84</v>
      </c>
      <c r="L77" s="224">
        <v>9</v>
      </c>
      <c r="M77" s="50">
        <f t="shared" ref="M77:M93" si="4">N77+O77</f>
        <v>12064.84</v>
      </c>
      <c r="N77" s="65">
        <v>12064.84</v>
      </c>
      <c r="O77" s="225"/>
      <c r="P77" s="108">
        <v>10</v>
      </c>
      <c r="Q77" s="65">
        <v>40632.5</v>
      </c>
      <c r="R77" s="224">
        <v>10</v>
      </c>
      <c r="S77" s="50">
        <f t="shared" si="3"/>
        <v>40632.5</v>
      </c>
      <c r="T77" s="65">
        <v>40632.5</v>
      </c>
      <c r="U77" s="225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8"/>
      <c r="I78" s="57"/>
      <c r="J78" s="57"/>
      <c r="L78" s="44"/>
      <c r="M78" s="43">
        <f t="shared" si="4"/>
        <v>0</v>
      </c>
      <c r="N78" s="43"/>
      <c r="O78" s="41"/>
      <c r="P78" s="103"/>
      <c r="Q78" s="43"/>
      <c r="R78" s="44"/>
      <c r="S78" s="43">
        <f t="shared" si="3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81</v>
      </c>
      <c r="C79" s="374" t="s">
        <v>39</v>
      </c>
      <c r="D79" s="374" t="s">
        <v>224</v>
      </c>
      <c r="E79" s="374" t="s">
        <v>65</v>
      </c>
      <c r="F79" s="204" t="s">
        <v>225</v>
      </c>
      <c r="G79" s="176" t="s">
        <v>24</v>
      </c>
      <c r="H79" s="248">
        <v>30</v>
      </c>
      <c r="I79" s="62">
        <v>25</v>
      </c>
      <c r="J79" s="62">
        <v>38</v>
      </c>
      <c r="K79" s="30">
        <v>75742.87</v>
      </c>
      <c r="L79" s="205">
        <v>38</v>
      </c>
      <c r="M79" s="26">
        <f t="shared" si="4"/>
        <v>75742.87</v>
      </c>
      <c r="N79" s="30">
        <v>75742.87</v>
      </c>
      <c r="O79" s="225"/>
      <c r="P79" s="29">
        <v>23</v>
      </c>
      <c r="Q79" s="30">
        <v>68475.47</v>
      </c>
      <c r="R79" s="205">
        <v>23</v>
      </c>
      <c r="S79" s="26">
        <f t="shared" si="3"/>
        <v>68475.47</v>
      </c>
      <c r="T79" s="30">
        <v>68475.47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247"/>
      <c r="G80" s="282" t="s">
        <v>28</v>
      </c>
      <c r="H80" s="283"/>
      <c r="I80" s="261"/>
      <c r="J80" s="261"/>
      <c r="K80" s="211"/>
      <c r="L80" s="210"/>
      <c r="M80" s="211">
        <f t="shared" si="4"/>
        <v>0</v>
      </c>
      <c r="N80" s="211"/>
      <c r="O80" s="212"/>
      <c r="P80" s="284"/>
      <c r="Q80" s="211"/>
      <c r="R80" s="210"/>
      <c r="S80" s="211">
        <f t="shared" si="3"/>
        <v>0</v>
      </c>
      <c r="T80" s="211"/>
      <c r="U80" s="212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365</v>
      </c>
      <c r="C81" s="374" t="s">
        <v>39</v>
      </c>
      <c r="D81" s="378" t="s">
        <v>409</v>
      </c>
      <c r="E81" s="374" t="s">
        <v>65</v>
      </c>
      <c r="F81" s="223" t="s">
        <v>410</v>
      </c>
      <c r="G81" s="213" t="s">
        <v>24</v>
      </c>
      <c r="H81" s="24">
        <v>6</v>
      </c>
      <c r="I81" s="62">
        <v>3</v>
      </c>
      <c r="J81" s="62">
        <v>3</v>
      </c>
      <c r="K81" s="30">
        <v>4115.55</v>
      </c>
      <c r="L81" s="205">
        <v>3</v>
      </c>
      <c r="M81" s="26">
        <f t="shared" si="4"/>
        <v>4115.55</v>
      </c>
      <c r="N81" s="30">
        <v>4115.55</v>
      </c>
      <c r="O81" s="28"/>
      <c r="P81" s="214"/>
      <c r="Q81" s="30"/>
      <c r="R81" s="27"/>
      <c r="S81" s="26">
        <f t="shared" si="3"/>
        <v>0</v>
      </c>
      <c r="T81" s="26"/>
      <c r="U81" s="2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47"/>
      <c r="G82" s="279" t="s">
        <v>28</v>
      </c>
      <c r="H82" s="207">
        <v>4</v>
      </c>
      <c r="I82" s="208">
        <v>1</v>
      </c>
      <c r="J82" s="208">
        <v>1</v>
      </c>
      <c r="K82" s="209">
        <v>2305.1999999999998</v>
      </c>
      <c r="L82" s="290">
        <v>1</v>
      </c>
      <c r="M82" s="211">
        <f t="shared" si="4"/>
        <v>2305.1999999999998</v>
      </c>
      <c r="N82" s="211">
        <f>2305.2</f>
        <v>2305.1999999999998</v>
      </c>
      <c r="O82" s="212"/>
      <c r="P82" s="280"/>
      <c r="Q82" s="209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400</v>
      </c>
      <c r="C83" s="374" t="s">
        <v>22</v>
      </c>
      <c r="D83" s="378"/>
      <c r="E83" s="374" t="s">
        <v>401</v>
      </c>
      <c r="F83" s="204" t="s">
        <v>402</v>
      </c>
      <c r="G83" s="213" t="s">
        <v>24</v>
      </c>
      <c r="H83" s="24"/>
      <c r="I83" s="62"/>
      <c r="J83" s="62"/>
      <c r="K83" s="30"/>
      <c r="L83" s="27"/>
      <c r="M83" s="26">
        <f t="shared" si="4"/>
        <v>0</v>
      </c>
      <c r="N83" s="26"/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34"/>
      <c r="G84" s="215" t="s">
        <v>28</v>
      </c>
      <c r="H84" s="66"/>
      <c r="I84" s="37"/>
      <c r="J84" s="37"/>
      <c r="K84" s="68"/>
      <c r="L84" s="40"/>
      <c r="M84" s="39">
        <f t="shared" si="4"/>
        <v>0</v>
      </c>
      <c r="N84" s="39"/>
      <c r="O84" s="41"/>
      <c r="P84" s="217"/>
      <c r="Q84" s="68"/>
      <c r="R84" s="40"/>
      <c r="S84" s="39">
        <f t="shared" si="3"/>
        <v>0</v>
      </c>
      <c r="T84" s="39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6"/>
      <c r="B85" s="377" t="s">
        <v>82</v>
      </c>
      <c r="C85" s="377" t="s">
        <v>22</v>
      </c>
      <c r="D85" s="400"/>
      <c r="E85" s="377" t="s">
        <v>83</v>
      </c>
      <c r="F85" s="223" t="s">
        <v>404</v>
      </c>
      <c r="G85" s="95" t="s">
        <v>24</v>
      </c>
      <c r="H85" s="281">
        <v>9</v>
      </c>
      <c r="I85" s="266">
        <v>8</v>
      </c>
      <c r="J85" s="266">
        <v>13</v>
      </c>
      <c r="K85" s="79">
        <v>22197.56</v>
      </c>
      <c r="L85" s="268">
        <v>13</v>
      </c>
      <c r="M85" s="81">
        <f t="shared" si="4"/>
        <v>22197.56</v>
      </c>
      <c r="N85" s="79">
        <v>22197.56</v>
      </c>
      <c r="O85" s="269"/>
      <c r="P85" s="267">
        <v>10</v>
      </c>
      <c r="Q85" s="79">
        <v>23116.35</v>
      </c>
      <c r="R85" s="268">
        <v>9</v>
      </c>
      <c r="S85" s="81">
        <f t="shared" si="3"/>
        <v>22011.75</v>
      </c>
      <c r="T85" s="79">
        <v>22011.75</v>
      </c>
      <c r="U85" s="269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54"/>
      <c r="G86" s="55" t="s">
        <v>25</v>
      </c>
      <c r="H86" s="121">
        <v>2</v>
      </c>
      <c r="I86" s="130">
        <v>1</v>
      </c>
      <c r="J86" s="130">
        <v>1</v>
      </c>
      <c r="K86" s="114">
        <v>1344.7</v>
      </c>
      <c r="L86" s="270">
        <v>1</v>
      </c>
      <c r="M86" s="43">
        <f t="shared" si="4"/>
        <v>1344.7</v>
      </c>
      <c r="N86" s="114">
        <v>1344.7</v>
      </c>
      <c r="O86" s="234"/>
      <c r="P86" s="103"/>
      <c r="Q86" s="43"/>
      <c r="R86" s="44"/>
      <c r="S86" s="43">
        <f t="shared" si="3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84</v>
      </c>
      <c r="C87" s="374"/>
      <c r="D87" s="378"/>
      <c r="E87" s="374"/>
      <c r="F87" s="60"/>
      <c r="G87" s="23" t="s">
        <v>24</v>
      </c>
      <c r="H87" s="119"/>
      <c r="I87" s="25"/>
      <c r="J87" s="25"/>
      <c r="K87" s="26"/>
      <c r="L87" s="27"/>
      <c r="M87" s="26">
        <f t="shared" si="4"/>
        <v>0</v>
      </c>
      <c r="N87" s="26"/>
      <c r="O87" s="31"/>
      <c r="P87" s="120"/>
      <c r="Q87" s="26"/>
      <c r="R87" s="27"/>
      <c r="S87" s="26">
        <f t="shared" si="3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32"/>
      <c r="G88" s="35" t="s">
        <v>28</v>
      </c>
      <c r="H88" s="36"/>
      <c r="I88" s="38"/>
      <c r="J88" s="38"/>
      <c r="K88" s="39"/>
      <c r="L88" s="40"/>
      <c r="M88" s="39">
        <f t="shared" si="4"/>
        <v>0</v>
      </c>
      <c r="N88" s="39"/>
      <c r="O88" s="41"/>
      <c r="P88" s="69"/>
      <c r="Q88" s="39"/>
      <c r="R88" s="40"/>
      <c r="S88" s="39">
        <f t="shared" si="3"/>
        <v>0</v>
      </c>
      <c r="T88" s="39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82"/>
      <c r="B89" s="381" t="s">
        <v>85</v>
      </c>
      <c r="C89" s="381" t="s">
        <v>22</v>
      </c>
      <c r="D89" s="385"/>
      <c r="E89" s="381" t="s">
        <v>27</v>
      </c>
      <c r="F89" s="127"/>
      <c r="G89" s="47" t="s">
        <v>24</v>
      </c>
      <c r="H89" s="98"/>
      <c r="I89" s="49"/>
      <c r="J89" s="49"/>
      <c r="K89" s="50"/>
      <c r="L89" s="51"/>
      <c r="M89" s="50">
        <f t="shared" si="4"/>
        <v>0</v>
      </c>
      <c r="N89" s="50"/>
      <c r="O89" s="31"/>
      <c r="P89" s="108">
        <v>1</v>
      </c>
      <c r="Q89" s="65">
        <v>405.02</v>
      </c>
      <c r="R89" s="51"/>
      <c r="S89" s="50">
        <f t="shared" si="3"/>
        <v>0</v>
      </c>
      <c r="T89" s="50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9"/>
      <c r="B90" s="380"/>
      <c r="C90" s="380"/>
      <c r="D90" s="380"/>
      <c r="E90" s="380"/>
      <c r="F90" s="226"/>
      <c r="G90" s="227" t="s">
        <v>28</v>
      </c>
      <c r="H90" s="116"/>
      <c r="I90" s="57"/>
      <c r="J90" s="57"/>
      <c r="K90" s="43"/>
      <c r="L90" s="44"/>
      <c r="M90" s="43">
        <f t="shared" si="4"/>
        <v>0</v>
      </c>
      <c r="N90" s="43"/>
      <c r="O90" s="41"/>
      <c r="P90" s="103"/>
      <c r="Q90" s="43"/>
      <c r="R90" s="44"/>
      <c r="S90" s="43">
        <f t="shared" si="3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86</v>
      </c>
      <c r="C91" s="374" t="s">
        <v>39</v>
      </c>
      <c r="D91" s="374" t="s">
        <v>266</v>
      </c>
      <c r="E91" s="374" t="s">
        <v>23</v>
      </c>
      <c r="F91" s="204" t="s">
        <v>267</v>
      </c>
      <c r="G91" s="176" t="s">
        <v>24</v>
      </c>
      <c r="H91" s="151">
        <v>2</v>
      </c>
      <c r="I91" s="25"/>
      <c r="J91" s="25"/>
      <c r="K91" s="26"/>
      <c r="L91" s="27"/>
      <c r="M91" s="26">
        <f t="shared" si="4"/>
        <v>0</v>
      </c>
      <c r="N91" s="26"/>
      <c r="O91" s="31"/>
      <c r="P91" s="53">
        <v>8</v>
      </c>
      <c r="Q91" s="30">
        <v>23413.73</v>
      </c>
      <c r="R91" s="205">
        <v>8</v>
      </c>
      <c r="S91" s="26">
        <f t="shared" si="3"/>
        <v>23413.73</v>
      </c>
      <c r="T91" s="30">
        <v>23413.73</v>
      </c>
      <c r="U91" s="225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05"/>
      <c r="G92" s="229" t="s">
        <v>25</v>
      </c>
      <c r="H92" s="118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87</v>
      </c>
      <c r="C93" s="374" t="s">
        <v>39</v>
      </c>
      <c r="D93" s="374" t="s">
        <v>88</v>
      </c>
      <c r="E93" s="374" t="s">
        <v>89</v>
      </c>
      <c r="F93" s="232" t="s">
        <v>268</v>
      </c>
      <c r="G93" s="23" t="s">
        <v>24</v>
      </c>
      <c r="H93" s="61">
        <v>14</v>
      </c>
      <c r="I93" s="62">
        <v>12</v>
      </c>
      <c r="J93" s="62">
        <v>15</v>
      </c>
      <c r="K93" s="30">
        <v>25934.49</v>
      </c>
      <c r="L93" s="205">
        <v>15</v>
      </c>
      <c r="M93" s="26">
        <f t="shared" si="4"/>
        <v>25934.49</v>
      </c>
      <c r="N93" s="30">
        <v>25934.49</v>
      </c>
      <c r="O93" s="31"/>
      <c r="P93" s="53">
        <v>10</v>
      </c>
      <c r="Q93" s="30">
        <v>37445.699999999997</v>
      </c>
      <c r="R93" s="205">
        <v>9</v>
      </c>
      <c r="S93" s="26">
        <f t="shared" si="3"/>
        <v>32936.699999999997</v>
      </c>
      <c r="T93" s="30">
        <v>32936.699999999997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290</v>
      </c>
      <c r="G94" s="35" t="s">
        <v>25</v>
      </c>
      <c r="H94" s="117">
        <v>7</v>
      </c>
      <c r="I94" s="37">
        <v>5</v>
      </c>
      <c r="J94" s="37">
        <v>5</v>
      </c>
      <c r="K94" s="68">
        <v>8538.9599999999991</v>
      </c>
      <c r="L94" s="285">
        <v>3</v>
      </c>
      <c r="M94" s="68">
        <v>4303.04</v>
      </c>
      <c r="N94" s="68">
        <v>4303.04</v>
      </c>
      <c r="O94" s="234"/>
      <c r="P94" s="115">
        <v>7</v>
      </c>
      <c r="Q94" s="68">
        <v>19517.36</v>
      </c>
      <c r="R94" s="285">
        <v>7</v>
      </c>
      <c r="S94" s="68">
        <v>19517.36</v>
      </c>
      <c r="T94" s="68">
        <v>19517.36</v>
      </c>
      <c r="U94" s="23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90</v>
      </c>
      <c r="C95" s="374" t="s">
        <v>39</v>
      </c>
      <c r="D95" s="374" t="s">
        <v>91</v>
      </c>
      <c r="E95" s="374" t="s">
        <v>27</v>
      </c>
      <c r="F95" s="204" t="s">
        <v>291</v>
      </c>
      <c r="G95" s="176" t="s">
        <v>24</v>
      </c>
      <c r="H95" s="48">
        <v>5</v>
      </c>
      <c r="I95" s="203">
        <v>2</v>
      </c>
      <c r="J95" s="203">
        <v>2</v>
      </c>
      <c r="K95" s="65">
        <v>2539.56</v>
      </c>
      <c r="L95" s="224">
        <v>2</v>
      </c>
      <c r="M95" s="50">
        <f t="shared" ref="M95:M101" si="5">N95+O95</f>
        <v>2539.56</v>
      </c>
      <c r="N95" s="65">
        <v>2539.56</v>
      </c>
      <c r="O95" s="31"/>
      <c r="P95" s="108">
        <v>8</v>
      </c>
      <c r="Q95" s="65">
        <v>93924.24</v>
      </c>
      <c r="R95" s="224">
        <v>8</v>
      </c>
      <c r="S95" s="50">
        <f t="shared" ref="S95:S101" si="6">T95+U95</f>
        <v>93924.24</v>
      </c>
      <c r="T95" s="65">
        <v>93924.24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229</v>
      </c>
      <c r="G96" s="229" t="s">
        <v>28</v>
      </c>
      <c r="H96" s="133">
        <v>2</v>
      </c>
      <c r="I96" s="130">
        <v>1</v>
      </c>
      <c r="J96" s="130">
        <v>1</v>
      </c>
      <c r="K96" s="114">
        <v>1344.7</v>
      </c>
      <c r="L96" s="270">
        <v>1</v>
      </c>
      <c r="M96" s="43">
        <f t="shared" si="5"/>
        <v>1344.7</v>
      </c>
      <c r="N96" s="43">
        <f>1344.7</f>
        <v>1344.7</v>
      </c>
      <c r="O96" s="41"/>
      <c r="P96" s="103"/>
      <c r="Q96" s="43"/>
      <c r="R96" s="44"/>
      <c r="S96" s="43">
        <f t="shared" si="6"/>
        <v>0</v>
      </c>
      <c r="T96" s="43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92</v>
      </c>
      <c r="C97" s="374" t="s">
        <v>22</v>
      </c>
      <c r="D97" s="374"/>
      <c r="E97" s="374" t="s">
        <v>27</v>
      </c>
      <c r="F97" s="232" t="s">
        <v>269</v>
      </c>
      <c r="G97" s="23" t="s">
        <v>24</v>
      </c>
      <c r="H97" s="151">
        <v>3</v>
      </c>
      <c r="I97" s="62">
        <v>2</v>
      </c>
      <c r="J97" s="62">
        <v>2</v>
      </c>
      <c r="K97" s="30">
        <v>6064.6</v>
      </c>
      <c r="L97" s="205">
        <v>2</v>
      </c>
      <c r="M97" s="26">
        <f t="shared" si="5"/>
        <v>6064.6</v>
      </c>
      <c r="N97" s="30">
        <v>6064.6</v>
      </c>
      <c r="O97" s="31"/>
      <c r="P97" s="53">
        <v>7</v>
      </c>
      <c r="Q97" s="30">
        <v>37669.07</v>
      </c>
      <c r="R97" s="205">
        <v>7</v>
      </c>
      <c r="S97" s="26">
        <f t="shared" si="6"/>
        <v>37669.07</v>
      </c>
      <c r="T97" s="30">
        <v>37669.07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33" t="s">
        <v>230</v>
      </c>
      <c r="G98" s="227" t="s">
        <v>28</v>
      </c>
      <c r="H98" s="133">
        <v>2</v>
      </c>
      <c r="I98" s="130">
        <v>2</v>
      </c>
      <c r="J98" s="130">
        <v>2</v>
      </c>
      <c r="K98" s="114">
        <v>1756.5</v>
      </c>
      <c r="L98" s="44"/>
      <c r="M98" s="43">
        <f t="shared" si="5"/>
        <v>0</v>
      </c>
      <c r="N98" s="43"/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93</v>
      </c>
      <c r="C99" s="374" t="s">
        <v>22</v>
      </c>
      <c r="D99" s="374"/>
      <c r="E99" s="374" t="s">
        <v>27</v>
      </c>
      <c r="F99" s="204" t="s">
        <v>412</v>
      </c>
      <c r="G99" s="176" t="s">
        <v>24</v>
      </c>
      <c r="H99" s="151">
        <v>3</v>
      </c>
      <c r="I99" s="62">
        <v>2</v>
      </c>
      <c r="J99" s="62">
        <v>3</v>
      </c>
      <c r="K99" s="30">
        <v>4738.63</v>
      </c>
      <c r="L99" s="205">
        <v>3</v>
      </c>
      <c r="M99" s="26">
        <f t="shared" si="5"/>
        <v>4738.63</v>
      </c>
      <c r="N99" s="30">
        <v>4738.63</v>
      </c>
      <c r="O99" s="225"/>
      <c r="P99" s="53">
        <v>3</v>
      </c>
      <c r="Q99" s="30">
        <v>15479.57</v>
      </c>
      <c r="R99" s="205">
        <v>3</v>
      </c>
      <c r="S99" s="26">
        <f t="shared" si="6"/>
        <v>15479.57</v>
      </c>
      <c r="T99" s="30">
        <v>15479.57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105"/>
      <c r="G100" s="229" t="s">
        <v>28</v>
      </c>
      <c r="H100" s="116"/>
      <c r="I100" s="57"/>
      <c r="J100" s="57"/>
      <c r="K100" s="43"/>
      <c r="L100" s="44"/>
      <c r="M100" s="43">
        <f t="shared" si="5"/>
        <v>0</v>
      </c>
      <c r="N100" s="43"/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94</v>
      </c>
      <c r="C101" s="374" t="s">
        <v>39</v>
      </c>
      <c r="D101" s="374" t="s">
        <v>95</v>
      </c>
      <c r="E101" s="374" t="s">
        <v>96</v>
      </c>
      <c r="F101" s="204" t="s">
        <v>292</v>
      </c>
      <c r="G101" s="176" t="s">
        <v>24</v>
      </c>
      <c r="H101" s="48">
        <v>6</v>
      </c>
      <c r="I101" s="62">
        <v>4</v>
      </c>
      <c r="J101" s="62">
        <v>4</v>
      </c>
      <c r="K101" s="30">
        <v>11188.97</v>
      </c>
      <c r="L101" s="205">
        <v>4</v>
      </c>
      <c r="M101" s="26">
        <f t="shared" si="5"/>
        <v>11188.97</v>
      </c>
      <c r="N101" s="30">
        <v>11188.97</v>
      </c>
      <c r="O101" s="31"/>
      <c r="P101" s="53">
        <v>21</v>
      </c>
      <c r="Q101" s="30">
        <v>51104.07</v>
      </c>
      <c r="R101" s="205">
        <v>21</v>
      </c>
      <c r="S101" s="26">
        <f t="shared" si="6"/>
        <v>53290.5</v>
      </c>
      <c r="T101" s="30">
        <v>53290.5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220" t="s">
        <v>293</v>
      </c>
      <c r="G102" s="307" t="s">
        <v>25</v>
      </c>
      <c r="H102" s="112">
        <v>7</v>
      </c>
      <c r="I102" s="130">
        <v>7</v>
      </c>
      <c r="J102" s="130">
        <v>7</v>
      </c>
      <c r="K102" s="114">
        <v>9494.5</v>
      </c>
      <c r="L102" s="270">
        <v>6</v>
      </c>
      <c r="M102" s="114">
        <v>8672.4</v>
      </c>
      <c r="N102" s="114">
        <v>8672.4</v>
      </c>
      <c r="O102" s="234"/>
      <c r="P102" s="113">
        <v>8</v>
      </c>
      <c r="Q102" s="114">
        <v>20762.439999999999</v>
      </c>
      <c r="R102" s="270">
        <v>8</v>
      </c>
      <c r="S102" s="114">
        <v>20762.439999999999</v>
      </c>
      <c r="T102" s="114">
        <v>20762.439999999999</v>
      </c>
      <c r="U102" s="23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97</v>
      </c>
      <c r="C103" s="374" t="s">
        <v>22</v>
      </c>
      <c r="D103" s="374"/>
      <c r="E103" s="374" t="s">
        <v>27</v>
      </c>
      <c r="F103" s="232" t="s">
        <v>406</v>
      </c>
      <c r="G103" s="176" t="s">
        <v>24</v>
      </c>
      <c r="H103" s="248">
        <v>6</v>
      </c>
      <c r="I103" s="62">
        <v>6</v>
      </c>
      <c r="J103" s="62">
        <v>6</v>
      </c>
      <c r="K103" s="30">
        <v>4786.25</v>
      </c>
      <c r="L103" s="205">
        <v>6</v>
      </c>
      <c r="M103" s="26">
        <f t="shared" ref="M103:M118" si="7">N103+O103</f>
        <v>4786.25</v>
      </c>
      <c r="N103" s="30">
        <v>4786.25</v>
      </c>
      <c r="O103" s="225"/>
      <c r="P103" s="53">
        <v>7</v>
      </c>
      <c r="Q103" s="30">
        <v>12035.94</v>
      </c>
      <c r="R103" s="205">
        <v>7</v>
      </c>
      <c r="S103" s="26">
        <f t="shared" ref="S103:S134" si="8">T103+U103</f>
        <v>12035.94</v>
      </c>
      <c r="T103" s="30">
        <v>12035.94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294</v>
      </c>
      <c r="G104" s="229" t="s">
        <v>28</v>
      </c>
      <c r="H104" s="251">
        <v>6</v>
      </c>
      <c r="I104" s="208">
        <v>4</v>
      </c>
      <c r="J104" s="208">
        <v>4</v>
      </c>
      <c r="K104" s="209">
        <v>5955.1</v>
      </c>
      <c r="L104" s="290">
        <v>3</v>
      </c>
      <c r="M104" s="211">
        <f t="shared" si="7"/>
        <v>4610.3999999999996</v>
      </c>
      <c r="N104" s="209">
        <f>1344.7+3265.7</f>
        <v>4610.3999999999996</v>
      </c>
      <c r="O104" s="212"/>
      <c r="P104" s="103"/>
      <c r="Q104" s="43"/>
      <c r="R104" s="270">
        <v>1</v>
      </c>
      <c r="S104" s="43">
        <f t="shared" si="8"/>
        <v>2209.15</v>
      </c>
      <c r="T104" s="114">
        <v>2209.15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6"/>
      <c r="B105" s="377" t="s">
        <v>98</v>
      </c>
      <c r="C105" s="377" t="s">
        <v>39</v>
      </c>
      <c r="D105" s="377" t="s">
        <v>270</v>
      </c>
      <c r="E105" s="377" t="s">
        <v>99</v>
      </c>
      <c r="F105" s="232" t="s">
        <v>271</v>
      </c>
      <c r="G105" s="73" t="s">
        <v>24</v>
      </c>
      <c r="H105" s="24">
        <v>10</v>
      </c>
      <c r="I105" s="62">
        <v>6</v>
      </c>
      <c r="J105" s="62">
        <v>8</v>
      </c>
      <c r="K105" s="30">
        <v>17278.02</v>
      </c>
      <c r="L105" s="205">
        <v>8</v>
      </c>
      <c r="M105" s="26">
        <f t="shared" si="7"/>
        <v>17278.02</v>
      </c>
      <c r="N105" s="30">
        <v>17278.02</v>
      </c>
      <c r="O105" s="241"/>
      <c r="P105" s="214">
        <v>12</v>
      </c>
      <c r="Q105" s="30">
        <v>50650.69</v>
      </c>
      <c r="R105" s="205">
        <v>12</v>
      </c>
      <c r="S105" s="26">
        <f t="shared" si="8"/>
        <v>50650.69</v>
      </c>
      <c r="T105" s="30">
        <v>50650.69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295</v>
      </c>
      <c r="G106" s="215" t="s">
        <v>28</v>
      </c>
      <c r="H106" s="66">
        <v>6</v>
      </c>
      <c r="I106" s="286">
        <v>5</v>
      </c>
      <c r="J106" s="286">
        <v>5</v>
      </c>
      <c r="K106" s="287">
        <v>11331</v>
      </c>
      <c r="L106" s="315">
        <v>3</v>
      </c>
      <c r="M106" s="39">
        <f t="shared" si="7"/>
        <v>6915.6</v>
      </c>
      <c r="N106" s="39">
        <f>1921+3073.6+1921</f>
        <v>6915.6</v>
      </c>
      <c r="O106" s="41"/>
      <c r="P106" s="217">
        <v>3</v>
      </c>
      <c r="Q106" s="37">
        <v>7587.95</v>
      </c>
      <c r="R106" s="285">
        <v>3</v>
      </c>
      <c r="S106" s="39">
        <f t="shared" si="8"/>
        <v>8740.5499999999993</v>
      </c>
      <c r="T106" s="68">
        <f>1056.55+3457.8+4226.2</f>
        <v>8740.5499999999993</v>
      </c>
      <c r="U106" s="41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82"/>
      <c r="B107" s="381" t="s">
        <v>100</v>
      </c>
      <c r="C107" s="374" t="s">
        <v>39</v>
      </c>
      <c r="D107" s="381" t="s">
        <v>296</v>
      </c>
      <c r="E107" s="381" t="s">
        <v>27</v>
      </c>
      <c r="F107" s="223" t="s">
        <v>297</v>
      </c>
      <c r="G107" s="47" t="s">
        <v>24</v>
      </c>
      <c r="H107" s="218"/>
      <c r="I107" s="96"/>
      <c r="J107" s="96"/>
      <c r="K107" s="81"/>
      <c r="L107" s="80"/>
      <c r="M107" s="81">
        <f t="shared" si="7"/>
        <v>0</v>
      </c>
      <c r="N107" s="81"/>
      <c r="O107" s="219"/>
      <c r="P107" s="108">
        <v>5</v>
      </c>
      <c r="Q107" s="65">
        <v>33607.81</v>
      </c>
      <c r="R107" s="224">
        <v>4</v>
      </c>
      <c r="S107" s="50">
        <f t="shared" si="8"/>
        <v>17684.7</v>
      </c>
      <c r="T107" s="65">
        <v>17684.7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298</v>
      </c>
      <c r="G108" s="35" t="s">
        <v>28</v>
      </c>
      <c r="H108" s="133">
        <v>5</v>
      </c>
      <c r="I108" s="37">
        <v>1</v>
      </c>
      <c r="J108" s="37">
        <v>1</v>
      </c>
      <c r="K108" s="68">
        <v>864.45</v>
      </c>
      <c r="L108" s="285">
        <v>1</v>
      </c>
      <c r="M108" s="39">
        <f t="shared" si="7"/>
        <v>864.15</v>
      </c>
      <c r="N108" s="39">
        <f>864.15</f>
        <v>864.15</v>
      </c>
      <c r="O108" s="41"/>
      <c r="P108" s="115">
        <v>1</v>
      </c>
      <c r="Q108" s="68">
        <v>1152.5999999999999</v>
      </c>
      <c r="R108" s="40"/>
      <c r="S108" s="39">
        <f t="shared" si="8"/>
        <v>0</v>
      </c>
      <c r="T108" s="39"/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102</v>
      </c>
      <c r="C109" s="381" t="s">
        <v>22</v>
      </c>
      <c r="D109" s="381"/>
      <c r="E109" s="381" t="s">
        <v>67</v>
      </c>
      <c r="F109" s="223" t="s">
        <v>272</v>
      </c>
      <c r="G109" s="23" t="s">
        <v>24</v>
      </c>
      <c r="H109" s="48">
        <v>7</v>
      </c>
      <c r="I109" s="203">
        <v>5</v>
      </c>
      <c r="J109" s="203">
        <v>6</v>
      </c>
      <c r="K109" s="65">
        <v>10235.59</v>
      </c>
      <c r="L109" s="224">
        <v>6</v>
      </c>
      <c r="M109" s="50">
        <f t="shared" si="7"/>
        <v>10235.59</v>
      </c>
      <c r="N109" s="65">
        <v>10235.59</v>
      </c>
      <c r="O109" s="225"/>
      <c r="P109" s="108">
        <v>9</v>
      </c>
      <c r="Q109" s="65">
        <v>19656.830000000002</v>
      </c>
      <c r="R109" s="224">
        <v>9</v>
      </c>
      <c r="S109" s="50">
        <f t="shared" si="8"/>
        <v>19656.830000000002</v>
      </c>
      <c r="T109" s="65">
        <v>19656.830000000002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9"/>
      <c r="B110" s="380"/>
      <c r="C110" s="380"/>
      <c r="D110" s="380"/>
      <c r="E110" s="380"/>
      <c r="F110" s="221" t="s">
        <v>299</v>
      </c>
      <c r="G110" s="55" t="s">
        <v>28</v>
      </c>
      <c r="H110" s="153">
        <v>8</v>
      </c>
      <c r="I110" s="130">
        <v>2</v>
      </c>
      <c r="J110" s="130">
        <v>2</v>
      </c>
      <c r="K110" s="114">
        <v>2443.1999999999998</v>
      </c>
      <c r="L110" s="316">
        <v>4</v>
      </c>
      <c r="M110" s="50">
        <f t="shared" si="7"/>
        <v>4428.0999999999995</v>
      </c>
      <c r="N110" s="43">
        <f>1290.6+1152.6+1290.6+694.3</f>
        <v>4428.0999999999995</v>
      </c>
      <c r="O110" s="41"/>
      <c r="P110" s="113">
        <v>3</v>
      </c>
      <c r="Q110" s="114">
        <v>14347.1</v>
      </c>
      <c r="R110" s="270">
        <v>4</v>
      </c>
      <c r="S110" s="43">
        <f t="shared" si="8"/>
        <v>19149.900000000001</v>
      </c>
      <c r="T110" s="114">
        <f>4358.2+3649.9+4802.5+6339.3</f>
        <v>19149.900000000001</v>
      </c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2"/>
      <c r="B111" s="374" t="s">
        <v>103</v>
      </c>
      <c r="C111" s="374" t="s">
        <v>22</v>
      </c>
      <c r="D111" s="374"/>
      <c r="E111" s="374" t="s">
        <v>67</v>
      </c>
      <c r="F111" s="223" t="s">
        <v>407</v>
      </c>
      <c r="G111" s="23" t="s">
        <v>24</v>
      </c>
      <c r="H111" s="48">
        <v>5</v>
      </c>
      <c r="I111" s="62">
        <v>1</v>
      </c>
      <c r="J111" s="62">
        <v>2</v>
      </c>
      <c r="K111" s="30">
        <v>3538.71</v>
      </c>
      <c r="L111" s="205">
        <v>2</v>
      </c>
      <c r="M111" s="26">
        <f t="shared" si="7"/>
        <v>3538.71</v>
      </c>
      <c r="N111" s="30">
        <v>3538.71</v>
      </c>
      <c r="O111" s="225"/>
      <c r="P111" s="53">
        <v>6</v>
      </c>
      <c r="Q111" s="30">
        <v>12782.06</v>
      </c>
      <c r="R111" s="205">
        <v>6</v>
      </c>
      <c r="S111" s="26">
        <f t="shared" si="8"/>
        <v>12782.06</v>
      </c>
      <c r="T111" s="30">
        <v>12782.06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3"/>
      <c r="B112" s="375"/>
      <c r="C112" s="375"/>
      <c r="D112" s="375"/>
      <c r="E112" s="375"/>
      <c r="F112" s="220" t="s">
        <v>300</v>
      </c>
      <c r="G112" s="35" t="s">
        <v>28</v>
      </c>
      <c r="H112" s="133">
        <v>5</v>
      </c>
      <c r="I112" s="37">
        <v>5</v>
      </c>
      <c r="J112" s="37">
        <v>5</v>
      </c>
      <c r="K112" s="68">
        <v>7735.6</v>
      </c>
      <c r="L112" s="285">
        <v>2</v>
      </c>
      <c r="M112" s="39">
        <f t="shared" si="7"/>
        <v>4934.5</v>
      </c>
      <c r="N112" s="39">
        <f>1580.8+3353.7</f>
        <v>4934.5</v>
      </c>
      <c r="O112" s="41"/>
      <c r="P112" s="115">
        <v>2</v>
      </c>
      <c r="Q112" s="68">
        <v>3490.8</v>
      </c>
      <c r="R112" s="285">
        <v>3</v>
      </c>
      <c r="S112" s="39">
        <f t="shared" si="8"/>
        <v>8836.6</v>
      </c>
      <c r="T112" s="39">
        <f>5378.8+1344.7+2113.1</f>
        <v>8836.6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104</v>
      </c>
      <c r="C113" s="374" t="s">
        <v>39</v>
      </c>
      <c r="D113" s="374" t="s">
        <v>301</v>
      </c>
      <c r="E113" s="374" t="s">
        <v>27</v>
      </c>
      <c r="F113" s="204" t="s">
        <v>302</v>
      </c>
      <c r="G113" s="176" t="s">
        <v>24</v>
      </c>
      <c r="H113" s="48">
        <v>17</v>
      </c>
      <c r="I113" s="203">
        <v>8</v>
      </c>
      <c r="J113" s="203">
        <v>8</v>
      </c>
      <c r="K113" s="65">
        <v>20025.38</v>
      </c>
      <c r="L113" s="224">
        <v>8</v>
      </c>
      <c r="M113" s="50">
        <f t="shared" si="7"/>
        <v>20025.38</v>
      </c>
      <c r="N113" s="65">
        <v>20025.38</v>
      </c>
      <c r="O113" s="225"/>
      <c r="P113" s="108">
        <v>20</v>
      </c>
      <c r="Q113" s="65">
        <v>59066.38</v>
      </c>
      <c r="R113" s="224">
        <v>16</v>
      </c>
      <c r="S113" s="50">
        <f t="shared" si="8"/>
        <v>54023.4</v>
      </c>
      <c r="T113" s="65">
        <v>54023.4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34"/>
      <c r="G114" s="229" t="s">
        <v>28</v>
      </c>
      <c r="H114" s="116"/>
      <c r="I114" s="57"/>
      <c r="J114" s="57"/>
      <c r="K114" s="43"/>
      <c r="L114" s="44"/>
      <c r="M114" s="43">
        <f t="shared" si="7"/>
        <v>0</v>
      </c>
      <c r="N114" s="43"/>
      <c r="O114" s="41"/>
      <c r="P114" s="103"/>
      <c r="Q114" s="43"/>
      <c r="R114" s="44"/>
      <c r="S114" s="43">
        <f t="shared" si="8"/>
        <v>0</v>
      </c>
      <c r="T114" s="43"/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106</v>
      </c>
      <c r="C115" s="377" t="s">
        <v>39</v>
      </c>
      <c r="D115" s="374" t="s">
        <v>107</v>
      </c>
      <c r="E115" s="374" t="s">
        <v>27</v>
      </c>
      <c r="F115" s="232" t="s">
        <v>366</v>
      </c>
      <c r="G115" s="23" t="s">
        <v>24</v>
      </c>
      <c r="H115" s="48">
        <v>8</v>
      </c>
      <c r="I115" s="62">
        <v>7</v>
      </c>
      <c r="J115" s="62">
        <v>7</v>
      </c>
      <c r="K115" s="30">
        <v>5591.09</v>
      </c>
      <c r="L115" s="205">
        <v>7</v>
      </c>
      <c r="M115" s="26">
        <f t="shared" si="7"/>
        <v>5591.09</v>
      </c>
      <c r="N115" s="30">
        <v>5591.09</v>
      </c>
      <c r="O115" s="31"/>
      <c r="P115" s="53">
        <v>9</v>
      </c>
      <c r="Q115" s="30">
        <v>63620.18</v>
      </c>
      <c r="R115" s="205">
        <v>9</v>
      </c>
      <c r="S115" s="26">
        <f t="shared" si="8"/>
        <v>63620.18</v>
      </c>
      <c r="T115" s="30">
        <v>63620.18</v>
      </c>
      <c r="U115" s="3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9"/>
      <c r="B116" s="380"/>
      <c r="C116" s="380"/>
      <c r="D116" s="380"/>
      <c r="E116" s="380"/>
      <c r="F116" s="233" t="s">
        <v>233</v>
      </c>
      <c r="G116" s="227" t="s">
        <v>28</v>
      </c>
      <c r="H116" s="153">
        <v>5</v>
      </c>
      <c r="I116" s="57"/>
      <c r="J116" s="57"/>
      <c r="K116" s="43"/>
      <c r="L116" s="270">
        <v>1</v>
      </c>
      <c r="M116" s="43">
        <f t="shared" si="7"/>
        <v>576.29999999999995</v>
      </c>
      <c r="N116" s="43">
        <f>576.3</f>
        <v>576.29999999999995</v>
      </c>
      <c r="O116" s="41"/>
      <c r="P116" s="113">
        <v>2</v>
      </c>
      <c r="Q116" s="114">
        <v>2881.5</v>
      </c>
      <c r="R116" s="270">
        <v>2</v>
      </c>
      <c r="S116" s="43">
        <f t="shared" si="8"/>
        <v>2881.5</v>
      </c>
      <c r="T116" s="57">
        <f>576.3+2305.2</f>
        <v>2881.5</v>
      </c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108</v>
      </c>
      <c r="C117" s="374" t="s">
        <v>46</v>
      </c>
      <c r="D117" s="374" t="s">
        <v>109</v>
      </c>
      <c r="E117" s="374" t="s">
        <v>27</v>
      </c>
      <c r="F117" s="204" t="s">
        <v>273</v>
      </c>
      <c r="G117" s="176" t="s">
        <v>24</v>
      </c>
      <c r="H117" s="151">
        <v>10</v>
      </c>
      <c r="I117" s="62">
        <v>9</v>
      </c>
      <c r="J117" s="62">
        <v>9</v>
      </c>
      <c r="K117" s="30">
        <v>8773.83</v>
      </c>
      <c r="L117" s="205">
        <v>9</v>
      </c>
      <c r="M117" s="26">
        <f t="shared" si="7"/>
        <v>8773.83</v>
      </c>
      <c r="N117" s="30">
        <v>8773.83</v>
      </c>
      <c r="O117" s="31"/>
      <c r="P117" s="53">
        <v>7</v>
      </c>
      <c r="Q117" s="30">
        <v>28154.06</v>
      </c>
      <c r="R117" s="205">
        <v>8</v>
      </c>
      <c r="S117" s="26">
        <f t="shared" si="8"/>
        <v>32433.51</v>
      </c>
      <c r="T117" s="30">
        <v>32433.51</v>
      </c>
      <c r="U117" s="225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7"/>
      <c r="B118" s="386"/>
      <c r="C118" s="386"/>
      <c r="D118" s="386"/>
      <c r="E118" s="386"/>
      <c r="F118" s="235" t="s">
        <v>234</v>
      </c>
      <c r="G118" s="252" t="s">
        <v>28</v>
      </c>
      <c r="H118" s="48">
        <v>6</v>
      </c>
      <c r="I118" s="246">
        <v>2</v>
      </c>
      <c r="J118" s="246">
        <v>2</v>
      </c>
      <c r="K118" s="158">
        <v>1152.5999999999999</v>
      </c>
      <c r="L118" s="317">
        <v>1</v>
      </c>
      <c r="M118" s="142">
        <f t="shared" si="7"/>
        <v>576.29999999999995</v>
      </c>
      <c r="N118" s="142">
        <f>576.3</f>
        <v>576.29999999999995</v>
      </c>
      <c r="O118" s="45"/>
      <c r="P118" s="157">
        <v>7</v>
      </c>
      <c r="Q118" s="158">
        <v>15445.86</v>
      </c>
      <c r="R118" s="317">
        <v>5</v>
      </c>
      <c r="S118" s="142">
        <f t="shared" si="8"/>
        <v>13044.61</v>
      </c>
      <c r="T118" s="142">
        <f>288.15+576.3+5648.76+3649.9+2881.5</f>
        <v>13044.61</v>
      </c>
      <c r="U118" s="4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145"/>
      <c r="G119" s="253" t="s">
        <v>25</v>
      </c>
      <c r="H119" s="306">
        <v>1</v>
      </c>
      <c r="I119" s="37">
        <v>1</v>
      </c>
      <c r="J119" s="37">
        <v>1</v>
      </c>
      <c r="K119" s="68">
        <v>2881.5</v>
      </c>
      <c r="L119" s="285">
        <v>1</v>
      </c>
      <c r="M119" s="68">
        <v>2881.5</v>
      </c>
      <c r="N119" s="68">
        <v>2881.5</v>
      </c>
      <c r="O119" s="41"/>
      <c r="P119" s="59"/>
      <c r="Q119" s="39"/>
      <c r="R119" s="40"/>
      <c r="S119" s="39">
        <f t="shared" si="8"/>
        <v>0</v>
      </c>
      <c r="T119" s="39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6"/>
      <c r="B120" s="377" t="s">
        <v>110</v>
      </c>
      <c r="C120" s="377" t="s">
        <v>22</v>
      </c>
      <c r="D120" s="377"/>
      <c r="E120" s="377" t="s">
        <v>67</v>
      </c>
      <c r="F120" s="232" t="s">
        <v>274</v>
      </c>
      <c r="G120" s="23" t="s">
        <v>24</v>
      </c>
      <c r="H120" s="48">
        <v>2</v>
      </c>
      <c r="I120" s="203">
        <v>1</v>
      </c>
      <c r="J120" s="203">
        <v>2</v>
      </c>
      <c r="K120" s="65">
        <v>4022.19</v>
      </c>
      <c r="L120" s="224">
        <v>2</v>
      </c>
      <c r="M120" s="50">
        <f t="shared" ref="M120:M134" si="9">N120+O120</f>
        <v>4022.19</v>
      </c>
      <c r="N120" s="65">
        <v>4022.19</v>
      </c>
      <c r="O120" s="31"/>
      <c r="P120" s="108">
        <v>6</v>
      </c>
      <c r="Q120" s="65">
        <v>21203.8</v>
      </c>
      <c r="R120" s="224">
        <v>5</v>
      </c>
      <c r="S120" s="50">
        <f t="shared" si="8"/>
        <v>20499</v>
      </c>
      <c r="T120" s="65">
        <v>20499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54"/>
      <c r="G121" s="55" t="s">
        <v>28</v>
      </c>
      <c r="H121" s="116"/>
      <c r="I121" s="57"/>
      <c r="J121" s="57"/>
      <c r="K121" s="43"/>
      <c r="L121" s="44"/>
      <c r="M121" s="43">
        <f t="shared" si="9"/>
        <v>0</v>
      </c>
      <c r="N121" s="43"/>
      <c r="O121" s="41"/>
      <c r="P121" s="103"/>
      <c r="Q121" s="43"/>
      <c r="R121" s="44"/>
      <c r="S121" s="43">
        <f t="shared" si="8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111</v>
      </c>
      <c r="C122" s="374" t="s">
        <v>39</v>
      </c>
      <c r="D122" s="374" t="s">
        <v>435</v>
      </c>
      <c r="E122" s="374" t="s">
        <v>112</v>
      </c>
      <c r="F122" s="232" t="s">
        <v>436</v>
      </c>
      <c r="G122" s="23" t="s">
        <v>24</v>
      </c>
      <c r="H122" s="48">
        <v>7</v>
      </c>
      <c r="I122" s="62">
        <v>4</v>
      </c>
      <c r="J122" s="62">
        <v>5</v>
      </c>
      <c r="K122" s="30">
        <v>5109.87</v>
      </c>
      <c r="L122" s="205">
        <v>5</v>
      </c>
      <c r="M122" s="26">
        <f t="shared" si="9"/>
        <v>5109.87</v>
      </c>
      <c r="N122" s="30">
        <v>5109.87</v>
      </c>
      <c r="O122" s="31"/>
      <c r="P122" s="53">
        <v>4</v>
      </c>
      <c r="Q122" s="30">
        <v>3732.5</v>
      </c>
      <c r="R122" s="205">
        <v>4</v>
      </c>
      <c r="S122" s="26">
        <f t="shared" si="8"/>
        <v>3732.5</v>
      </c>
      <c r="T122" s="30">
        <v>3732.5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235</v>
      </c>
      <c r="G123" s="227" t="s">
        <v>28</v>
      </c>
      <c r="H123" s="133">
        <v>1</v>
      </c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113</v>
      </c>
      <c r="C124" s="374" t="s">
        <v>39</v>
      </c>
      <c r="D124" s="374" t="s">
        <v>114</v>
      </c>
      <c r="E124" s="374" t="s">
        <v>27</v>
      </c>
      <c r="F124" s="204" t="s">
        <v>305</v>
      </c>
      <c r="G124" s="176" t="s">
        <v>24</v>
      </c>
      <c r="H124" s="48">
        <v>12</v>
      </c>
      <c r="I124" s="62">
        <v>12</v>
      </c>
      <c r="J124" s="62">
        <v>18</v>
      </c>
      <c r="K124" s="30">
        <v>38332.99</v>
      </c>
      <c r="L124" s="205">
        <v>18</v>
      </c>
      <c r="M124" s="26">
        <f t="shared" si="9"/>
        <v>38332.99</v>
      </c>
      <c r="N124" s="30">
        <v>38332.99</v>
      </c>
      <c r="O124" s="225"/>
      <c r="P124" s="53">
        <v>10</v>
      </c>
      <c r="Q124" s="30">
        <v>25611.57</v>
      </c>
      <c r="R124" s="205">
        <v>10</v>
      </c>
      <c r="S124" s="26">
        <f t="shared" si="8"/>
        <v>25611.57</v>
      </c>
      <c r="T124" s="30">
        <v>25611.57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220" t="s">
        <v>306</v>
      </c>
      <c r="G125" s="229" t="s">
        <v>28</v>
      </c>
      <c r="H125" s="56">
        <v>3</v>
      </c>
      <c r="I125" s="130">
        <v>2</v>
      </c>
      <c r="J125" s="130">
        <v>2</v>
      </c>
      <c r="K125" s="114">
        <v>2497.3000000000002</v>
      </c>
      <c r="L125" s="270">
        <v>2</v>
      </c>
      <c r="M125" s="43">
        <f t="shared" si="9"/>
        <v>2497.3000000000002</v>
      </c>
      <c r="N125" s="43">
        <f>1152.6+1344.7</f>
        <v>2497.3000000000002</v>
      </c>
      <c r="O125" s="45"/>
      <c r="P125" s="113">
        <v>2</v>
      </c>
      <c r="Q125" s="114">
        <v>5186.7</v>
      </c>
      <c r="R125" s="270">
        <v>2</v>
      </c>
      <c r="S125" s="43">
        <f t="shared" si="8"/>
        <v>5186.7</v>
      </c>
      <c r="T125" s="43">
        <f>5186.7</f>
        <v>5186.7</v>
      </c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115</v>
      </c>
      <c r="C126" s="374" t="s">
        <v>22</v>
      </c>
      <c r="D126" s="374"/>
      <c r="E126" s="374" t="s">
        <v>27</v>
      </c>
      <c r="F126" s="22"/>
      <c r="G126" s="23" t="s">
        <v>24</v>
      </c>
      <c r="H126" s="104"/>
      <c r="I126" s="25"/>
      <c r="J126" s="25"/>
      <c r="K126" s="26"/>
      <c r="L126" s="148"/>
      <c r="M126" s="149">
        <f t="shared" si="9"/>
        <v>0</v>
      </c>
      <c r="N126" s="26"/>
      <c r="O126" s="100"/>
      <c r="P126" s="120"/>
      <c r="Q126" s="26"/>
      <c r="R126" s="27"/>
      <c r="S126" s="26">
        <f t="shared" si="8"/>
        <v>0</v>
      </c>
      <c r="T126" s="26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34"/>
      <c r="G127" s="35" t="s">
        <v>28</v>
      </c>
      <c r="H127" s="106"/>
      <c r="I127" s="38"/>
      <c r="J127" s="38"/>
      <c r="K127" s="39"/>
      <c r="L127" s="40"/>
      <c r="M127" s="39">
        <f t="shared" si="9"/>
        <v>0</v>
      </c>
      <c r="N127" s="39"/>
      <c r="O127" s="41"/>
      <c r="P127" s="69"/>
      <c r="Q127" s="39"/>
      <c r="R127" s="40"/>
      <c r="S127" s="39">
        <f t="shared" si="8"/>
        <v>0</v>
      </c>
      <c r="T127" s="39"/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82"/>
      <c r="B128" s="381" t="s">
        <v>116</v>
      </c>
      <c r="C128" s="381" t="s">
        <v>22</v>
      </c>
      <c r="D128" s="381"/>
      <c r="E128" s="381" t="s">
        <v>27</v>
      </c>
      <c r="F128" s="223" t="s">
        <v>307</v>
      </c>
      <c r="G128" s="47" t="s">
        <v>24</v>
      </c>
      <c r="H128" s="61">
        <v>7</v>
      </c>
      <c r="I128" s="62">
        <v>3</v>
      </c>
      <c r="J128" s="62">
        <v>4</v>
      </c>
      <c r="K128" s="30">
        <v>5641.85</v>
      </c>
      <c r="L128" s="205">
        <v>4</v>
      </c>
      <c r="M128" s="26">
        <f t="shared" si="9"/>
        <v>5641.85</v>
      </c>
      <c r="N128" s="30">
        <v>5641.85</v>
      </c>
      <c r="O128" s="243"/>
      <c r="P128" s="64">
        <v>4</v>
      </c>
      <c r="Q128" s="65">
        <v>10597.93</v>
      </c>
      <c r="R128" s="224">
        <v>4</v>
      </c>
      <c r="S128" s="50">
        <f t="shared" si="8"/>
        <v>10597.93</v>
      </c>
      <c r="T128" s="65">
        <v>10597.93</v>
      </c>
      <c r="U128" s="225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33">
        <v>3</v>
      </c>
      <c r="I129" s="38"/>
      <c r="J129" s="38"/>
      <c r="K129" s="39"/>
      <c r="L129" s="40"/>
      <c r="M129" s="39">
        <f t="shared" si="9"/>
        <v>0</v>
      </c>
      <c r="N129" s="39"/>
      <c r="O129" s="41"/>
      <c r="P129" s="67">
        <v>1</v>
      </c>
      <c r="Q129" s="68">
        <v>2305.1999999999998</v>
      </c>
      <c r="R129" s="285">
        <v>1</v>
      </c>
      <c r="S129" s="39">
        <f t="shared" si="8"/>
        <v>2305.1999999999998</v>
      </c>
      <c r="T129" s="39">
        <f>2305.2</f>
        <v>2305.1999999999998</v>
      </c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117</v>
      </c>
      <c r="C130" s="381" t="s">
        <v>22</v>
      </c>
      <c r="D130" s="381"/>
      <c r="E130" s="381" t="s">
        <v>67</v>
      </c>
      <c r="F130" s="223" t="s">
        <v>308</v>
      </c>
      <c r="G130" s="23" t="s">
        <v>24</v>
      </c>
      <c r="H130" s="48">
        <v>14</v>
      </c>
      <c r="I130" s="203">
        <v>9</v>
      </c>
      <c r="J130" s="203">
        <v>11</v>
      </c>
      <c r="K130" s="65">
        <v>26414.7</v>
      </c>
      <c r="L130" s="224">
        <v>10</v>
      </c>
      <c r="M130" s="50">
        <f t="shared" si="9"/>
        <v>25838.400000000001</v>
      </c>
      <c r="N130" s="65">
        <v>25838.400000000001</v>
      </c>
      <c r="O130" s="225"/>
      <c r="P130" s="108">
        <v>28</v>
      </c>
      <c r="Q130" s="65">
        <v>105938.63</v>
      </c>
      <c r="R130" s="224">
        <v>23</v>
      </c>
      <c r="S130" s="50">
        <f t="shared" si="8"/>
        <v>79211.47</v>
      </c>
      <c r="T130" s="65">
        <v>79211.47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9"/>
      <c r="B131" s="380"/>
      <c r="C131" s="380"/>
      <c r="D131" s="380"/>
      <c r="E131" s="380"/>
      <c r="F131" s="226"/>
      <c r="G131" s="227" t="s">
        <v>28</v>
      </c>
      <c r="H131" s="116"/>
      <c r="I131" s="57"/>
      <c r="J131" s="57"/>
      <c r="K131" s="43"/>
      <c r="L131" s="44"/>
      <c r="M131" s="43">
        <f t="shared" si="9"/>
        <v>0</v>
      </c>
      <c r="N131" s="43"/>
      <c r="O131" s="41"/>
      <c r="P131" s="103"/>
      <c r="Q131" s="43"/>
      <c r="R131" s="44"/>
      <c r="S131" s="43">
        <f t="shared" si="8"/>
        <v>0</v>
      </c>
      <c r="T131" s="43"/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2"/>
      <c r="B132" s="374" t="s">
        <v>118</v>
      </c>
      <c r="C132" s="374" t="s">
        <v>39</v>
      </c>
      <c r="D132" s="374" t="s">
        <v>309</v>
      </c>
      <c r="E132" s="374" t="s">
        <v>27</v>
      </c>
      <c r="F132" s="204" t="s">
        <v>310</v>
      </c>
      <c r="G132" s="176" t="s">
        <v>24</v>
      </c>
      <c r="H132" s="151">
        <v>11</v>
      </c>
      <c r="I132" s="62">
        <v>5</v>
      </c>
      <c r="J132" s="62">
        <v>6</v>
      </c>
      <c r="K132" s="30">
        <v>11483.56</v>
      </c>
      <c r="L132" s="205">
        <v>6</v>
      </c>
      <c r="M132" s="26">
        <f t="shared" si="9"/>
        <v>11483.56</v>
      </c>
      <c r="N132" s="30">
        <v>11483.56</v>
      </c>
      <c r="O132" s="31"/>
      <c r="P132" s="53">
        <v>14</v>
      </c>
      <c r="Q132" s="30">
        <v>53062.44</v>
      </c>
      <c r="R132" s="205">
        <v>13</v>
      </c>
      <c r="S132" s="26">
        <f t="shared" si="8"/>
        <v>52477.24</v>
      </c>
      <c r="T132" s="30">
        <v>52477.24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3"/>
      <c r="B133" s="375"/>
      <c r="C133" s="375"/>
      <c r="D133" s="375"/>
      <c r="E133" s="375"/>
      <c r="F133" s="152"/>
      <c r="G133" s="229" t="s">
        <v>28</v>
      </c>
      <c r="H133" s="116"/>
      <c r="I133" s="38"/>
      <c r="J133" s="38"/>
      <c r="K133" s="39"/>
      <c r="L133" s="40"/>
      <c r="M133" s="39">
        <f t="shared" si="9"/>
        <v>0</v>
      </c>
      <c r="N133" s="39"/>
      <c r="O133" s="41"/>
      <c r="P133" s="59"/>
      <c r="Q133" s="39"/>
      <c r="R133" s="40"/>
      <c r="S133" s="39">
        <f t="shared" si="8"/>
        <v>0</v>
      </c>
      <c r="T133" s="39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119</v>
      </c>
      <c r="C134" s="374" t="s">
        <v>39</v>
      </c>
      <c r="D134" s="374" t="s">
        <v>311</v>
      </c>
      <c r="E134" s="374" t="s">
        <v>121</v>
      </c>
      <c r="F134" s="232" t="s">
        <v>312</v>
      </c>
      <c r="G134" s="23" t="s">
        <v>24</v>
      </c>
      <c r="H134" s="151">
        <v>13</v>
      </c>
      <c r="I134" s="62">
        <v>9</v>
      </c>
      <c r="J134" s="62">
        <v>10</v>
      </c>
      <c r="K134" s="30">
        <v>16506.099999999999</v>
      </c>
      <c r="L134" s="205">
        <v>8</v>
      </c>
      <c r="M134" s="26">
        <f t="shared" si="9"/>
        <v>10751.27</v>
      </c>
      <c r="N134" s="30">
        <v>10751.27</v>
      </c>
      <c r="O134" s="31"/>
      <c r="P134" s="53">
        <v>25</v>
      </c>
      <c r="Q134" s="30">
        <v>40527.589999999997</v>
      </c>
      <c r="R134" s="205">
        <v>24</v>
      </c>
      <c r="S134" s="26">
        <f t="shared" si="8"/>
        <v>39369.230000000003</v>
      </c>
      <c r="T134" s="30">
        <v>39369.230000000003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80"/>
      <c r="C135" s="380"/>
      <c r="D135" s="380"/>
      <c r="E135" s="380"/>
      <c r="F135" s="233" t="s">
        <v>313</v>
      </c>
      <c r="G135" s="227" t="s">
        <v>25</v>
      </c>
      <c r="H135" s="260">
        <v>5</v>
      </c>
      <c r="I135" s="208">
        <v>3</v>
      </c>
      <c r="J135" s="208">
        <v>3</v>
      </c>
      <c r="K135" s="209">
        <v>3668.91</v>
      </c>
      <c r="L135" s="290">
        <v>3</v>
      </c>
      <c r="M135" s="209">
        <v>3668.91</v>
      </c>
      <c r="N135" s="209">
        <v>3668.91</v>
      </c>
      <c r="O135" s="263"/>
      <c r="P135" s="262">
        <v>4</v>
      </c>
      <c r="Q135" s="209">
        <v>16712.7</v>
      </c>
      <c r="R135" s="290">
        <v>4</v>
      </c>
      <c r="S135" s="209">
        <v>16712.7</v>
      </c>
      <c r="T135" s="209">
        <v>16712.7</v>
      </c>
      <c r="U135" s="212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367</v>
      </c>
      <c r="C136" s="374"/>
      <c r="D136" s="374"/>
      <c r="E136" s="374"/>
      <c r="F136" s="204"/>
      <c r="G136" s="213" t="s">
        <v>24</v>
      </c>
      <c r="H136" s="61"/>
      <c r="I136" s="62"/>
      <c r="J136" s="62"/>
      <c r="K136" s="30"/>
      <c r="L136" s="27"/>
      <c r="M136" s="26">
        <f t="shared" ref="M136:M149" si="10">N136+O136</f>
        <v>0</v>
      </c>
      <c r="N136" s="26"/>
      <c r="O136" s="28"/>
      <c r="P136" s="214"/>
      <c r="Q136" s="30"/>
      <c r="R136" s="205"/>
      <c r="S136" s="26">
        <f t="shared" ref="S136:S149" si="11">T136+U136</f>
        <v>0</v>
      </c>
      <c r="T136" s="30"/>
      <c r="U136" s="2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75"/>
      <c r="C137" s="375"/>
      <c r="D137" s="375"/>
      <c r="E137" s="375"/>
      <c r="F137" s="220"/>
      <c r="G137" s="215" t="s">
        <v>28</v>
      </c>
      <c r="H137" s="117">
        <v>4</v>
      </c>
      <c r="I137" s="37"/>
      <c r="J137" s="37"/>
      <c r="K137" s="68"/>
      <c r="L137" s="40"/>
      <c r="M137" s="39">
        <f t="shared" si="10"/>
        <v>0</v>
      </c>
      <c r="N137" s="39"/>
      <c r="O137" s="41"/>
      <c r="P137" s="217"/>
      <c r="Q137" s="68"/>
      <c r="R137" s="285"/>
      <c r="S137" s="39">
        <f t="shared" si="11"/>
        <v>0</v>
      </c>
      <c r="T137" s="68"/>
      <c r="U137" s="23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6"/>
      <c r="B138" s="377" t="s">
        <v>122</v>
      </c>
      <c r="C138" s="377" t="s">
        <v>39</v>
      </c>
      <c r="D138" s="377" t="s">
        <v>123</v>
      </c>
      <c r="E138" s="377" t="s">
        <v>55</v>
      </c>
      <c r="F138" s="232" t="s">
        <v>236</v>
      </c>
      <c r="G138" s="291" t="s">
        <v>24</v>
      </c>
      <c r="H138" s="265">
        <v>19</v>
      </c>
      <c r="I138" s="266">
        <v>18</v>
      </c>
      <c r="J138" s="266">
        <v>23</v>
      </c>
      <c r="K138" s="79">
        <v>36303.949999999997</v>
      </c>
      <c r="L138" s="268">
        <v>21</v>
      </c>
      <c r="M138" s="81">
        <f t="shared" si="10"/>
        <v>34306.980000000003</v>
      </c>
      <c r="N138" s="79">
        <v>34306.980000000003</v>
      </c>
      <c r="O138" s="269"/>
      <c r="P138" s="267">
        <v>17</v>
      </c>
      <c r="Q138" s="79">
        <v>78816.3</v>
      </c>
      <c r="R138" s="268">
        <v>16</v>
      </c>
      <c r="S138" s="81">
        <f t="shared" si="11"/>
        <v>76490.14</v>
      </c>
      <c r="T138" s="79">
        <v>76490.14</v>
      </c>
      <c r="U138" s="269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34"/>
      <c r="G139" s="229" t="s">
        <v>25</v>
      </c>
      <c r="H139" s="116"/>
      <c r="I139" s="38"/>
      <c r="J139" s="38"/>
      <c r="K139" s="39"/>
      <c r="L139" s="40"/>
      <c r="M139" s="39">
        <f t="shared" si="10"/>
        <v>0</v>
      </c>
      <c r="N139" s="39"/>
      <c r="O139" s="41"/>
      <c r="P139" s="59"/>
      <c r="Q139" s="39"/>
      <c r="R139" s="40"/>
      <c r="S139" s="39">
        <f t="shared" si="11"/>
        <v>0</v>
      </c>
      <c r="T139" s="39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6"/>
      <c r="B140" s="377" t="s">
        <v>124</v>
      </c>
      <c r="C140" s="377" t="s">
        <v>39</v>
      </c>
      <c r="D140" s="377" t="s">
        <v>314</v>
      </c>
      <c r="E140" s="377" t="s">
        <v>27</v>
      </c>
      <c r="F140" s="232" t="s">
        <v>237</v>
      </c>
      <c r="G140" s="23" t="s">
        <v>24</v>
      </c>
      <c r="H140" s="48">
        <v>14</v>
      </c>
      <c r="I140" s="203">
        <v>6</v>
      </c>
      <c r="J140" s="203">
        <v>9</v>
      </c>
      <c r="K140" s="65">
        <v>19328.72</v>
      </c>
      <c r="L140" s="224">
        <v>8</v>
      </c>
      <c r="M140" s="50">
        <f t="shared" si="10"/>
        <v>19328.72</v>
      </c>
      <c r="N140" s="65">
        <v>19328.72</v>
      </c>
      <c r="O140" s="225"/>
      <c r="P140" s="108">
        <v>52</v>
      </c>
      <c r="Q140" s="65">
        <v>311364.90999999997</v>
      </c>
      <c r="R140" s="224">
        <v>51</v>
      </c>
      <c r="S140" s="50">
        <f t="shared" si="11"/>
        <v>310160.71000000002</v>
      </c>
      <c r="T140" s="65">
        <v>310160.71000000002</v>
      </c>
      <c r="U140" s="225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87"/>
      <c r="B141" s="386"/>
      <c r="C141" s="386"/>
      <c r="D141" s="386"/>
      <c r="E141" s="386"/>
      <c r="F141" s="135"/>
      <c r="G141" s="154" t="s">
        <v>25</v>
      </c>
      <c r="H141" s="98"/>
      <c r="I141" s="155"/>
      <c r="J141" s="155"/>
      <c r="K141" s="239" t="s">
        <v>43</v>
      </c>
      <c r="L141" s="128"/>
      <c r="M141" s="129">
        <f t="shared" si="10"/>
        <v>0</v>
      </c>
      <c r="N141" s="129"/>
      <c r="O141" s="45"/>
      <c r="P141" s="156"/>
      <c r="Q141" s="129"/>
      <c r="R141" s="128"/>
      <c r="S141" s="129">
        <f t="shared" si="11"/>
        <v>0</v>
      </c>
      <c r="T141" s="129"/>
      <c r="U141" s="45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9"/>
      <c r="B142" s="380"/>
      <c r="C142" s="380"/>
      <c r="D142" s="380"/>
      <c r="E142" s="380"/>
      <c r="F142" s="54"/>
      <c r="G142" s="55" t="s">
        <v>28</v>
      </c>
      <c r="H142" s="111"/>
      <c r="I142" s="57"/>
      <c r="J142" s="57"/>
      <c r="K142" s="43"/>
      <c r="L142" s="44"/>
      <c r="M142" s="43">
        <f t="shared" si="10"/>
        <v>0</v>
      </c>
      <c r="N142" s="43"/>
      <c r="O142" s="41"/>
      <c r="P142" s="113">
        <v>2</v>
      </c>
      <c r="Q142" s="114">
        <v>6912.6</v>
      </c>
      <c r="R142" s="270">
        <v>3</v>
      </c>
      <c r="S142" s="43">
        <f t="shared" si="11"/>
        <v>9220.7999999999993</v>
      </c>
      <c r="T142" s="114">
        <f>2305.2+4226.2+2689.4</f>
        <v>9220.7999999999993</v>
      </c>
      <c r="U142" s="4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126</v>
      </c>
      <c r="C143" s="374" t="s">
        <v>22</v>
      </c>
      <c r="D143" s="378"/>
      <c r="E143" s="374" t="s">
        <v>65</v>
      </c>
      <c r="F143" s="232" t="s">
        <v>443</v>
      </c>
      <c r="G143" s="23" t="s">
        <v>24</v>
      </c>
      <c r="H143" s="151">
        <v>3</v>
      </c>
      <c r="I143" s="62">
        <v>1</v>
      </c>
      <c r="J143" s="62">
        <v>1</v>
      </c>
      <c r="K143" s="30">
        <v>384.2</v>
      </c>
      <c r="L143" s="205">
        <v>1</v>
      </c>
      <c r="M143" s="26">
        <f t="shared" si="10"/>
        <v>384.2</v>
      </c>
      <c r="N143" s="30">
        <v>384.2</v>
      </c>
      <c r="O143" s="225"/>
      <c r="P143" s="53">
        <v>15</v>
      </c>
      <c r="Q143" s="30">
        <v>10414.84</v>
      </c>
      <c r="R143" s="205">
        <v>4</v>
      </c>
      <c r="S143" s="26">
        <f t="shared" si="11"/>
        <v>10414.84</v>
      </c>
      <c r="T143" s="30">
        <v>10414.84</v>
      </c>
      <c r="U143" s="22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54" t="s">
        <v>316</v>
      </c>
      <c r="G144" s="35" t="s">
        <v>28</v>
      </c>
      <c r="H144" s="153">
        <v>6</v>
      </c>
      <c r="I144" s="37">
        <v>3</v>
      </c>
      <c r="J144" s="37">
        <v>3</v>
      </c>
      <c r="K144" s="68">
        <v>3710.1</v>
      </c>
      <c r="L144" s="40"/>
      <c r="M144" s="39">
        <f t="shared" si="10"/>
        <v>2305.1999999999998</v>
      </c>
      <c r="N144" s="39">
        <f>2305.2</f>
        <v>2305.1999999999998</v>
      </c>
      <c r="O144" s="41"/>
      <c r="P144" s="115">
        <v>2</v>
      </c>
      <c r="Q144" s="68">
        <v>2044.7</v>
      </c>
      <c r="R144" s="285">
        <v>2</v>
      </c>
      <c r="S144" s="39">
        <f t="shared" si="11"/>
        <v>2400.9499999999998</v>
      </c>
      <c r="T144" s="39">
        <f>1056.55+1344.4</f>
        <v>2400.9499999999998</v>
      </c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2"/>
      <c r="B145" s="381" t="s">
        <v>127</v>
      </c>
      <c r="C145" s="381" t="s">
        <v>22</v>
      </c>
      <c r="D145" s="381"/>
      <c r="E145" s="381" t="s">
        <v>67</v>
      </c>
      <c r="F145" s="223" t="s">
        <v>368</v>
      </c>
      <c r="G145" s="47" t="s">
        <v>24</v>
      </c>
      <c r="H145" s="48">
        <v>8</v>
      </c>
      <c r="I145" s="203">
        <v>7</v>
      </c>
      <c r="J145" s="203">
        <v>8</v>
      </c>
      <c r="K145" s="65">
        <v>11145</v>
      </c>
      <c r="L145" s="224">
        <v>8</v>
      </c>
      <c r="M145" s="50">
        <f t="shared" si="10"/>
        <v>11145</v>
      </c>
      <c r="N145" s="65">
        <v>11145</v>
      </c>
      <c r="O145" s="225"/>
      <c r="P145" s="108">
        <v>8</v>
      </c>
      <c r="Q145" s="65">
        <v>29582.03</v>
      </c>
      <c r="R145" s="224">
        <v>8</v>
      </c>
      <c r="S145" s="50">
        <f t="shared" si="11"/>
        <v>29582.03</v>
      </c>
      <c r="T145" s="65">
        <v>29582.03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33" t="s">
        <v>317</v>
      </c>
      <c r="G146" s="227" t="s">
        <v>28</v>
      </c>
      <c r="H146" s="153">
        <v>7</v>
      </c>
      <c r="I146" s="37">
        <v>4</v>
      </c>
      <c r="J146" s="37">
        <v>4</v>
      </c>
      <c r="K146" s="68">
        <v>5174.6000000000004</v>
      </c>
      <c r="L146" s="285">
        <v>4</v>
      </c>
      <c r="M146" s="39">
        <f t="shared" si="10"/>
        <v>5220.5999999999995</v>
      </c>
      <c r="N146" s="39">
        <f>1578.8+1152.6+1152.6+1336.6</f>
        <v>5220.5999999999995</v>
      </c>
      <c r="O146" s="41"/>
      <c r="P146" s="115">
        <v>2</v>
      </c>
      <c r="Q146" s="68">
        <v>15088</v>
      </c>
      <c r="R146" s="285">
        <v>2</v>
      </c>
      <c r="S146" s="39">
        <f t="shared" si="11"/>
        <v>15088</v>
      </c>
      <c r="T146" s="39">
        <f>4034.1+11053.9</f>
        <v>15088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128</v>
      </c>
      <c r="C147" s="374" t="s">
        <v>39</v>
      </c>
      <c r="D147" s="374" t="s">
        <v>129</v>
      </c>
      <c r="E147" s="374" t="s">
        <v>121</v>
      </c>
      <c r="F147" s="60"/>
      <c r="G147" s="176" t="s">
        <v>24</v>
      </c>
      <c r="H147" s="107"/>
      <c r="I147" s="49"/>
      <c r="J147" s="127"/>
      <c r="K147" s="50"/>
      <c r="L147" s="51"/>
      <c r="M147" s="50">
        <f t="shared" si="10"/>
        <v>0</v>
      </c>
      <c r="N147" s="50"/>
      <c r="O147" s="31"/>
      <c r="P147" s="108">
        <v>1</v>
      </c>
      <c r="Q147" s="65">
        <v>14638.71</v>
      </c>
      <c r="R147" s="51"/>
      <c r="S147" s="50">
        <f t="shared" si="1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53">
        <v>1</v>
      </c>
      <c r="I148" s="57"/>
      <c r="J148" s="57"/>
      <c r="K148" s="43"/>
      <c r="L148" s="44"/>
      <c r="M148" s="43">
        <f t="shared" si="10"/>
        <v>0</v>
      </c>
      <c r="N148" s="43"/>
      <c r="O148" s="41"/>
      <c r="P148" s="103"/>
      <c r="Q148" s="43"/>
      <c r="R148" s="44"/>
      <c r="S148" s="43">
        <f t="shared" si="11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130</v>
      </c>
      <c r="C149" s="374" t="s">
        <v>22</v>
      </c>
      <c r="D149" s="374"/>
      <c r="E149" s="374" t="s">
        <v>131</v>
      </c>
      <c r="F149" s="232" t="s">
        <v>411</v>
      </c>
      <c r="G149" s="176" t="s">
        <v>24</v>
      </c>
      <c r="H149" s="48">
        <v>6</v>
      </c>
      <c r="I149" s="62">
        <v>2</v>
      </c>
      <c r="J149" s="62">
        <v>2</v>
      </c>
      <c r="K149" s="30">
        <v>2935.73</v>
      </c>
      <c r="L149" s="205">
        <v>2</v>
      </c>
      <c r="M149" s="26">
        <f t="shared" si="10"/>
        <v>2935.73</v>
      </c>
      <c r="N149" s="30">
        <v>2935.73</v>
      </c>
      <c r="O149" s="31"/>
      <c r="P149" s="53">
        <v>4</v>
      </c>
      <c r="Q149" s="30">
        <v>22885.21</v>
      </c>
      <c r="R149" s="205">
        <v>3</v>
      </c>
      <c r="S149" s="26">
        <f t="shared" si="11"/>
        <v>21438.7</v>
      </c>
      <c r="T149" s="30">
        <v>21438.7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2">
        <v>5</v>
      </c>
      <c r="I150" s="130">
        <v>3</v>
      </c>
      <c r="J150" s="130">
        <v>3</v>
      </c>
      <c r="K150" s="114">
        <v>2783</v>
      </c>
      <c r="L150" s="270">
        <v>2</v>
      </c>
      <c r="M150" s="114">
        <v>1728.9</v>
      </c>
      <c r="N150" s="114">
        <v>1728.9</v>
      </c>
      <c r="O150" s="234"/>
      <c r="P150" s="113">
        <v>3</v>
      </c>
      <c r="Q150" s="114">
        <v>7539.8</v>
      </c>
      <c r="R150" s="270">
        <v>3</v>
      </c>
      <c r="S150" s="114">
        <v>7539.8</v>
      </c>
      <c r="T150" s="114">
        <v>7539.8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132</v>
      </c>
      <c r="C151" s="374" t="s">
        <v>39</v>
      </c>
      <c r="D151" s="374" t="s">
        <v>238</v>
      </c>
      <c r="E151" s="377" t="s">
        <v>136</v>
      </c>
      <c r="F151" s="232" t="s">
        <v>239</v>
      </c>
      <c r="G151" s="23" t="s">
        <v>24</v>
      </c>
      <c r="H151" s="61">
        <v>10</v>
      </c>
      <c r="I151" s="62">
        <v>8</v>
      </c>
      <c r="J151" s="62">
        <v>10</v>
      </c>
      <c r="K151" s="30">
        <v>13129.56</v>
      </c>
      <c r="L151" s="205">
        <v>10</v>
      </c>
      <c r="M151" s="26">
        <f t="shared" ref="M151:M227" si="12">N151+O151</f>
        <v>13129.56</v>
      </c>
      <c r="N151" s="30">
        <v>13129.56</v>
      </c>
      <c r="O151" s="225"/>
      <c r="P151" s="53">
        <v>12</v>
      </c>
      <c r="Q151" s="30">
        <v>41109.72</v>
      </c>
      <c r="R151" s="205">
        <v>11</v>
      </c>
      <c r="S151" s="26">
        <f t="shared" ref="S151:S183" si="13">T151+U151</f>
        <v>39894.660000000003</v>
      </c>
      <c r="T151" s="30">
        <v>39894.660000000003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240</v>
      </c>
      <c r="G152" s="154" t="s">
        <v>28</v>
      </c>
      <c r="H152" s="112">
        <v>9</v>
      </c>
      <c r="I152" s="271">
        <v>4</v>
      </c>
      <c r="J152" s="271">
        <v>4</v>
      </c>
      <c r="K152" s="239">
        <v>9412.9</v>
      </c>
      <c r="L152" s="316">
        <v>4</v>
      </c>
      <c r="M152" s="129">
        <f t="shared" si="12"/>
        <v>9412.9</v>
      </c>
      <c r="N152" s="129">
        <f>1728.9+2305.2+576.3+4802.5</f>
        <v>9412.9</v>
      </c>
      <c r="O152" s="45"/>
      <c r="P152" s="238">
        <v>7</v>
      </c>
      <c r="Q152" s="239">
        <v>11775.73</v>
      </c>
      <c r="R152" s="316">
        <v>8</v>
      </c>
      <c r="S152" s="129">
        <f t="shared" si="13"/>
        <v>12985.960000000001</v>
      </c>
      <c r="T152" s="239">
        <f>288.15+6934.81+3073.6+1344.7+1344.7</f>
        <v>12985.960000000001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126"/>
      <c r="G153" s="55" t="s">
        <v>25</v>
      </c>
      <c r="H153" s="131"/>
      <c r="I153" s="57"/>
      <c r="J153" s="57"/>
      <c r="K153" s="43"/>
      <c r="L153" s="44"/>
      <c r="M153" s="43">
        <f t="shared" si="12"/>
        <v>0</v>
      </c>
      <c r="N153" s="43"/>
      <c r="O153" s="41"/>
      <c r="P153" s="103"/>
      <c r="Q153" s="43"/>
      <c r="R153" s="44"/>
      <c r="S153" s="43">
        <f t="shared" si="13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133</v>
      </c>
      <c r="C154" s="374" t="s">
        <v>39</v>
      </c>
      <c r="D154" s="374" t="s">
        <v>448</v>
      </c>
      <c r="E154" s="381" t="s">
        <v>23</v>
      </c>
      <c r="F154" s="232" t="s">
        <v>449</v>
      </c>
      <c r="G154" s="23" t="s">
        <v>24</v>
      </c>
      <c r="H154" s="61">
        <v>9</v>
      </c>
      <c r="I154" s="62">
        <v>6</v>
      </c>
      <c r="J154" s="62">
        <v>6</v>
      </c>
      <c r="K154" s="30">
        <v>16306.8</v>
      </c>
      <c r="L154" s="205">
        <v>6</v>
      </c>
      <c r="M154" s="26">
        <f t="shared" si="12"/>
        <v>16306.8</v>
      </c>
      <c r="N154" s="30">
        <v>16306.8</v>
      </c>
      <c r="O154" s="31"/>
      <c r="P154" s="53">
        <v>1</v>
      </c>
      <c r="Q154" s="30">
        <v>1415.78</v>
      </c>
      <c r="R154" s="205">
        <v>1</v>
      </c>
      <c r="S154" s="26">
        <f t="shared" si="13"/>
        <v>1415.78</v>
      </c>
      <c r="T154" s="30">
        <v>1415.78</v>
      </c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35" t="s">
        <v>25</v>
      </c>
      <c r="H155" s="106"/>
      <c r="I155" s="38"/>
      <c r="J155" s="38"/>
      <c r="K155" s="39"/>
      <c r="L155" s="40"/>
      <c r="M155" s="39">
        <f t="shared" si="12"/>
        <v>0</v>
      </c>
      <c r="N155" s="39"/>
      <c r="O155" s="41"/>
      <c r="P155" s="59"/>
      <c r="Q155" s="39"/>
      <c r="R155" s="40"/>
      <c r="S155" s="39">
        <f t="shared" si="13"/>
        <v>0</v>
      </c>
      <c r="T155" s="39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134</v>
      </c>
      <c r="C156" s="374" t="s">
        <v>39</v>
      </c>
      <c r="D156" s="374" t="s">
        <v>280</v>
      </c>
      <c r="E156" s="374" t="s">
        <v>136</v>
      </c>
      <c r="F156" s="204" t="s">
        <v>282</v>
      </c>
      <c r="G156" s="176" t="s">
        <v>24</v>
      </c>
      <c r="H156" s="48">
        <v>10</v>
      </c>
      <c r="I156" s="203">
        <v>6</v>
      </c>
      <c r="J156" s="203">
        <v>6</v>
      </c>
      <c r="K156" s="65">
        <v>8949.17</v>
      </c>
      <c r="L156" s="224">
        <v>8</v>
      </c>
      <c r="M156" s="50">
        <f t="shared" si="12"/>
        <v>9644.25</v>
      </c>
      <c r="N156" s="65">
        <v>9644.25</v>
      </c>
      <c r="O156" s="225"/>
      <c r="P156" s="108">
        <v>5</v>
      </c>
      <c r="Q156" s="65">
        <v>27150.720000000001</v>
      </c>
      <c r="R156" s="224">
        <v>5</v>
      </c>
      <c r="S156" s="50">
        <f t="shared" si="13"/>
        <v>27150.720000000001</v>
      </c>
      <c r="T156" s="65">
        <v>27150.720000000001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5" t="s">
        <v>321</v>
      </c>
      <c r="G157" s="252" t="s">
        <v>28</v>
      </c>
      <c r="H157" s="151">
        <v>9</v>
      </c>
      <c r="I157" s="246">
        <v>3</v>
      </c>
      <c r="J157" s="246">
        <v>3</v>
      </c>
      <c r="K157" s="158">
        <v>7437.4</v>
      </c>
      <c r="L157" s="317">
        <v>2</v>
      </c>
      <c r="M157" s="142">
        <f t="shared" si="12"/>
        <v>4226.2</v>
      </c>
      <c r="N157" s="142">
        <f>1921+2305.2</f>
        <v>4226.2</v>
      </c>
      <c r="O157" s="45"/>
      <c r="P157" s="157">
        <v>4</v>
      </c>
      <c r="Q157" s="158">
        <v>8625.2900000000009</v>
      </c>
      <c r="R157" s="224">
        <v>5</v>
      </c>
      <c r="S157" s="50">
        <f t="shared" si="13"/>
        <v>9681.84</v>
      </c>
      <c r="T157" s="158">
        <f>6224.04+3457.8</f>
        <v>9681.84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34"/>
      <c r="G158" s="229" t="s">
        <v>25</v>
      </c>
      <c r="H158" s="118"/>
      <c r="I158" s="57"/>
      <c r="J158" s="57"/>
      <c r="K158" s="43"/>
      <c r="L158" s="44"/>
      <c r="M158" s="43">
        <f t="shared" si="12"/>
        <v>0</v>
      </c>
      <c r="N158" s="43"/>
      <c r="O158" s="41"/>
      <c r="P158" s="103"/>
      <c r="Q158" s="43"/>
      <c r="R158" s="44"/>
      <c r="S158" s="43">
        <f t="shared" si="13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137</v>
      </c>
      <c r="C159" s="377" t="s">
        <v>39</v>
      </c>
      <c r="D159" s="374" t="s">
        <v>322</v>
      </c>
      <c r="E159" s="377" t="s">
        <v>27</v>
      </c>
      <c r="F159" s="232" t="s">
        <v>323</v>
      </c>
      <c r="G159" s="23" t="s">
        <v>24</v>
      </c>
      <c r="H159" s="24">
        <v>11</v>
      </c>
      <c r="I159" s="62">
        <v>5</v>
      </c>
      <c r="J159" s="62">
        <v>6</v>
      </c>
      <c r="K159" s="30">
        <v>13009.58</v>
      </c>
      <c r="L159" s="205">
        <v>5</v>
      </c>
      <c r="M159" s="26">
        <f t="shared" si="12"/>
        <v>8972.02</v>
      </c>
      <c r="N159" s="30">
        <v>8972.02</v>
      </c>
      <c r="O159" s="31"/>
      <c r="P159" s="53">
        <v>1</v>
      </c>
      <c r="Q159" s="30">
        <v>576.29999999999995</v>
      </c>
      <c r="R159" s="205">
        <v>2</v>
      </c>
      <c r="S159" s="26">
        <f t="shared" si="13"/>
        <v>3779.47</v>
      </c>
      <c r="T159" s="30">
        <v>3779.47</v>
      </c>
      <c r="U159" s="22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80"/>
      <c r="F160" s="220" t="s">
        <v>241</v>
      </c>
      <c r="G160" s="35" t="s">
        <v>28</v>
      </c>
      <c r="H160" s="66">
        <v>7</v>
      </c>
      <c r="I160" s="37">
        <v>3</v>
      </c>
      <c r="J160" s="37">
        <v>3</v>
      </c>
      <c r="K160" s="68">
        <v>3637.8</v>
      </c>
      <c r="L160" s="285">
        <v>3</v>
      </c>
      <c r="M160" s="39">
        <f t="shared" si="12"/>
        <v>3637.8</v>
      </c>
      <c r="N160" s="39">
        <f>576.3+1716.8+1344.7</f>
        <v>3637.8</v>
      </c>
      <c r="O160" s="41"/>
      <c r="P160" s="115">
        <v>2</v>
      </c>
      <c r="Q160" s="68">
        <v>3265.7</v>
      </c>
      <c r="R160" s="285">
        <v>2</v>
      </c>
      <c r="S160" s="39">
        <f t="shared" si="13"/>
        <v>3265.7</v>
      </c>
      <c r="T160" s="39">
        <f>1921+1344.7</f>
        <v>3265.7</v>
      </c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138</v>
      </c>
      <c r="C161" s="374" t="s">
        <v>22</v>
      </c>
      <c r="D161" s="374"/>
      <c r="E161" s="374" t="s">
        <v>27</v>
      </c>
      <c r="F161" s="204" t="s">
        <v>324</v>
      </c>
      <c r="G161" s="176" t="s">
        <v>24</v>
      </c>
      <c r="H161" s="151">
        <v>7</v>
      </c>
      <c r="I161" s="203">
        <v>5</v>
      </c>
      <c r="J161" s="203">
        <v>6</v>
      </c>
      <c r="K161" s="65">
        <v>13186.17</v>
      </c>
      <c r="L161" s="224">
        <v>6</v>
      </c>
      <c r="M161" s="50">
        <f t="shared" si="12"/>
        <v>13186.17</v>
      </c>
      <c r="N161" s="65">
        <v>13186.17</v>
      </c>
      <c r="O161" s="31"/>
      <c r="P161" s="108">
        <v>8</v>
      </c>
      <c r="Q161" s="65">
        <v>16335.71</v>
      </c>
      <c r="R161" s="224">
        <v>8</v>
      </c>
      <c r="S161" s="50">
        <f t="shared" si="13"/>
        <v>16335.71</v>
      </c>
      <c r="T161" s="65">
        <v>16335.71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220" t="s">
        <v>242</v>
      </c>
      <c r="G162" s="229" t="s">
        <v>28</v>
      </c>
      <c r="H162" s="133">
        <v>6</v>
      </c>
      <c r="I162" s="130">
        <v>3</v>
      </c>
      <c r="J162" s="130">
        <v>3</v>
      </c>
      <c r="K162" s="114">
        <v>5993.52</v>
      </c>
      <c r="L162" s="270">
        <v>4</v>
      </c>
      <c r="M162" s="43">
        <f t="shared" si="12"/>
        <v>7146.12</v>
      </c>
      <c r="N162" s="43">
        <f>3880.42+1344.7+1921</f>
        <v>7146.12</v>
      </c>
      <c r="O162" s="41"/>
      <c r="P162" s="113">
        <v>5</v>
      </c>
      <c r="Q162" s="114">
        <v>11814.15</v>
      </c>
      <c r="R162" s="270">
        <v>4</v>
      </c>
      <c r="S162" s="43">
        <f t="shared" si="13"/>
        <v>9893.15</v>
      </c>
      <c r="T162" s="114">
        <f>4802.5+2401.25+2689.4</f>
        <v>9893.15</v>
      </c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139</v>
      </c>
      <c r="C163" s="374" t="s">
        <v>22</v>
      </c>
      <c r="D163" s="374"/>
      <c r="E163" s="374" t="s">
        <v>67</v>
      </c>
      <c r="F163" s="232" t="s">
        <v>325</v>
      </c>
      <c r="G163" s="23" t="s">
        <v>24</v>
      </c>
      <c r="H163" s="151">
        <v>5</v>
      </c>
      <c r="I163" s="62">
        <v>5</v>
      </c>
      <c r="J163" s="62">
        <v>6</v>
      </c>
      <c r="K163" s="30">
        <v>13798.74</v>
      </c>
      <c r="L163" s="205">
        <v>6</v>
      </c>
      <c r="M163" s="26">
        <f t="shared" si="12"/>
        <v>13798.74</v>
      </c>
      <c r="N163" s="30">
        <v>13798.74</v>
      </c>
      <c r="O163" s="225"/>
      <c r="P163" s="53">
        <v>13</v>
      </c>
      <c r="Q163" s="30">
        <v>42590.99</v>
      </c>
      <c r="R163" s="205">
        <v>13</v>
      </c>
      <c r="S163" s="26">
        <f t="shared" si="13"/>
        <v>42590.99</v>
      </c>
      <c r="T163" s="30">
        <v>42590.99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233" t="s">
        <v>326</v>
      </c>
      <c r="G164" s="227" t="s">
        <v>28</v>
      </c>
      <c r="H164" s="112">
        <v>6</v>
      </c>
      <c r="I164" s="130">
        <v>2</v>
      </c>
      <c r="J164" s="130">
        <v>2</v>
      </c>
      <c r="K164" s="114">
        <v>2331</v>
      </c>
      <c r="L164" s="270">
        <v>1</v>
      </c>
      <c r="M164" s="43">
        <f t="shared" si="12"/>
        <v>1728.9</v>
      </c>
      <c r="N164" s="43">
        <f>1728.9</f>
        <v>1728.9</v>
      </c>
      <c r="O164" s="45"/>
      <c r="P164" s="113">
        <v>4</v>
      </c>
      <c r="Q164" s="114">
        <v>9785.2000000000007</v>
      </c>
      <c r="R164" s="270">
        <v>5</v>
      </c>
      <c r="S164" s="43">
        <f t="shared" si="13"/>
        <v>12558.900000000001</v>
      </c>
      <c r="T164" s="114">
        <f>6269.7+3984+2305.2</f>
        <v>12558.900000000001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140</v>
      </c>
      <c r="C165" s="374" t="s">
        <v>39</v>
      </c>
      <c r="D165" s="374" t="s">
        <v>369</v>
      </c>
      <c r="E165" s="374" t="s">
        <v>27</v>
      </c>
      <c r="F165" s="204" t="s">
        <v>370</v>
      </c>
      <c r="G165" s="176" t="s">
        <v>24</v>
      </c>
      <c r="H165" s="24">
        <v>8</v>
      </c>
      <c r="I165" s="62">
        <v>5</v>
      </c>
      <c r="J165" s="62">
        <v>6</v>
      </c>
      <c r="K165" s="30">
        <v>16681.05</v>
      </c>
      <c r="L165" s="205">
        <v>6</v>
      </c>
      <c r="M165" s="26">
        <f t="shared" si="12"/>
        <v>16681.05</v>
      </c>
      <c r="N165" s="30">
        <v>16681.05</v>
      </c>
      <c r="O165" s="159"/>
      <c r="P165" s="53">
        <v>3</v>
      </c>
      <c r="Q165" s="30">
        <v>20168.78</v>
      </c>
      <c r="R165" s="205">
        <v>3</v>
      </c>
      <c r="S165" s="26">
        <f t="shared" si="13"/>
        <v>20168.78</v>
      </c>
      <c r="T165" s="30">
        <v>20168.78</v>
      </c>
      <c r="U165" s="2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33" t="s">
        <v>243</v>
      </c>
      <c r="G166" s="282" t="s">
        <v>28</v>
      </c>
      <c r="H166" s="207">
        <v>5</v>
      </c>
      <c r="I166" s="208">
        <v>1</v>
      </c>
      <c r="J166" s="208">
        <v>1</v>
      </c>
      <c r="K166" s="209">
        <v>1728</v>
      </c>
      <c r="L166" s="210"/>
      <c r="M166" s="211">
        <f t="shared" si="12"/>
        <v>1728.9</v>
      </c>
      <c r="N166" s="211">
        <f>1728.9</f>
        <v>1728.9</v>
      </c>
      <c r="O166" s="274"/>
      <c r="P166" s="262">
        <v>3</v>
      </c>
      <c r="Q166" s="209">
        <v>5494.06</v>
      </c>
      <c r="R166" s="290">
        <v>5</v>
      </c>
      <c r="S166" s="211">
        <f t="shared" si="13"/>
        <v>13447</v>
      </c>
      <c r="T166" s="211">
        <f>4034.1+3073.6+5071.44+1267.86</f>
        <v>13447</v>
      </c>
      <c r="U166" s="212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413</v>
      </c>
      <c r="C167" s="374" t="s">
        <v>22</v>
      </c>
      <c r="D167" s="374"/>
      <c r="E167" s="374" t="s">
        <v>391</v>
      </c>
      <c r="F167" s="204" t="s">
        <v>414</v>
      </c>
      <c r="G167" s="176" t="s">
        <v>24</v>
      </c>
      <c r="H167" s="24">
        <v>3</v>
      </c>
      <c r="I167" s="62">
        <v>2</v>
      </c>
      <c r="J167" s="62">
        <v>4</v>
      </c>
      <c r="K167" s="30">
        <v>11800.29</v>
      </c>
      <c r="L167" s="205">
        <v>5</v>
      </c>
      <c r="M167" s="26">
        <f t="shared" si="12"/>
        <v>15627.55</v>
      </c>
      <c r="N167" s="30">
        <v>15627.55</v>
      </c>
      <c r="O167" s="28"/>
      <c r="P167" s="214"/>
      <c r="Q167" s="30"/>
      <c r="R167" s="205"/>
      <c r="S167" s="26">
        <f t="shared" si="13"/>
        <v>0</v>
      </c>
      <c r="T167" s="30"/>
      <c r="U167" s="2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20"/>
      <c r="G168" s="229" t="s">
        <v>28</v>
      </c>
      <c r="H168" s="66"/>
      <c r="I168" s="38"/>
      <c r="J168" s="38"/>
      <c r="K168" s="39"/>
      <c r="L168" s="40"/>
      <c r="M168" s="39">
        <f t="shared" si="12"/>
        <v>0</v>
      </c>
      <c r="N168" s="39"/>
      <c r="O168" s="41"/>
      <c r="P168" s="217"/>
      <c r="Q168" s="68"/>
      <c r="R168" s="285"/>
      <c r="S168" s="39">
        <f t="shared" si="13"/>
        <v>0</v>
      </c>
      <c r="T168" s="68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141</v>
      </c>
      <c r="C169" s="374" t="s">
        <v>39</v>
      </c>
      <c r="D169" s="374" t="s">
        <v>371</v>
      </c>
      <c r="E169" s="374" t="s">
        <v>27</v>
      </c>
      <c r="F169" s="204" t="s">
        <v>372</v>
      </c>
      <c r="G169" s="176" t="s">
        <v>24</v>
      </c>
      <c r="H169" s="281">
        <v>7</v>
      </c>
      <c r="I169" s="266">
        <v>2</v>
      </c>
      <c r="J169" s="266">
        <v>2</v>
      </c>
      <c r="K169" s="79">
        <v>7085.44</v>
      </c>
      <c r="L169" s="268">
        <v>2</v>
      </c>
      <c r="M169" s="81">
        <f t="shared" si="12"/>
        <v>7085.44</v>
      </c>
      <c r="N169" s="79">
        <v>7085.44</v>
      </c>
      <c r="O169" s="219"/>
      <c r="P169" s="267">
        <v>2</v>
      </c>
      <c r="Q169" s="79">
        <v>4949.17</v>
      </c>
      <c r="R169" s="268">
        <v>2</v>
      </c>
      <c r="S169" s="81">
        <f t="shared" si="13"/>
        <v>4949.17</v>
      </c>
      <c r="T169" s="79">
        <v>4949.17</v>
      </c>
      <c r="U169" s="219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34"/>
      <c r="G170" s="229" t="s">
        <v>28</v>
      </c>
      <c r="H170" s="118"/>
      <c r="I170" s="57"/>
      <c r="J170" s="57"/>
      <c r="K170" s="43"/>
      <c r="L170" s="44"/>
      <c r="M170" s="43">
        <f t="shared" si="12"/>
        <v>0</v>
      </c>
      <c r="N170" s="43"/>
      <c r="O170" s="45"/>
      <c r="P170" s="103"/>
      <c r="Q170" s="43"/>
      <c r="R170" s="44"/>
      <c r="S170" s="43">
        <f t="shared" si="13"/>
        <v>0</v>
      </c>
      <c r="T170" s="43"/>
      <c r="U170" s="4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142</v>
      </c>
      <c r="C171" s="374" t="s">
        <v>39</v>
      </c>
      <c r="D171" s="374" t="s">
        <v>415</v>
      </c>
      <c r="E171" s="374" t="s">
        <v>27</v>
      </c>
      <c r="F171" s="232" t="s">
        <v>416</v>
      </c>
      <c r="G171" s="23" t="s">
        <v>24</v>
      </c>
      <c r="H171" s="24">
        <v>4</v>
      </c>
      <c r="I171" s="62">
        <v>2</v>
      </c>
      <c r="J171" s="62">
        <v>2</v>
      </c>
      <c r="K171" s="30">
        <v>524.91</v>
      </c>
      <c r="L171" s="205">
        <v>2</v>
      </c>
      <c r="M171" s="26">
        <f t="shared" si="12"/>
        <v>524.91</v>
      </c>
      <c r="N171" s="30">
        <v>524.91</v>
      </c>
      <c r="O171" s="241"/>
      <c r="P171" s="53">
        <v>1</v>
      </c>
      <c r="Q171" s="30">
        <v>412.05</v>
      </c>
      <c r="R171" s="205">
        <v>1</v>
      </c>
      <c r="S171" s="26">
        <f t="shared" si="13"/>
        <v>412.05</v>
      </c>
      <c r="T171" s="30">
        <v>412.05</v>
      </c>
      <c r="U171" s="2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6"/>
      <c r="G172" s="227" t="s">
        <v>28</v>
      </c>
      <c r="H172" s="311"/>
      <c r="I172" s="261"/>
      <c r="J172" s="261"/>
      <c r="K172" s="211"/>
      <c r="L172" s="210"/>
      <c r="M172" s="211">
        <f t="shared" si="12"/>
        <v>0</v>
      </c>
      <c r="N172" s="211"/>
      <c r="O172" s="212"/>
      <c r="P172" s="273"/>
      <c r="Q172" s="211"/>
      <c r="R172" s="210"/>
      <c r="S172" s="211">
        <f t="shared" si="13"/>
        <v>0</v>
      </c>
      <c r="T172" s="211"/>
      <c r="U172" s="212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424</v>
      </c>
      <c r="C173" s="374" t="s">
        <v>22</v>
      </c>
      <c r="D173" s="374"/>
      <c r="E173" s="374" t="s">
        <v>65</v>
      </c>
      <c r="F173" s="232" t="s">
        <v>437</v>
      </c>
      <c r="G173" s="213" t="s">
        <v>24</v>
      </c>
      <c r="H173" s="24">
        <v>3</v>
      </c>
      <c r="I173" s="62">
        <v>1</v>
      </c>
      <c r="J173" s="62">
        <v>1</v>
      </c>
      <c r="K173" s="30">
        <v>1285.1500000000001</v>
      </c>
      <c r="L173" s="205">
        <v>1</v>
      </c>
      <c r="M173" s="26">
        <f t="shared" si="12"/>
        <v>1285.1500000000001</v>
      </c>
      <c r="N173" s="30">
        <v>1285.1500000000001</v>
      </c>
      <c r="O173" s="28"/>
      <c r="P173" s="214"/>
      <c r="Q173" s="30"/>
      <c r="R173" s="205"/>
      <c r="S173" s="26">
        <f t="shared" si="13"/>
        <v>0</v>
      </c>
      <c r="T173" s="30"/>
      <c r="U173" s="2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/>
      <c r="G174" s="215" t="s">
        <v>28</v>
      </c>
      <c r="H174" s="66"/>
      <c r="I174" s="38"/>
      <c r="J174" s="38"/>
      <c r="K174" s="39"/>
      <c r="L174" s="40"/>
      <c r="M174" s="39">
        <f t="shared" si="12"/>
        <v>0</v>
      </c>
      <c r="N174" s="39"/>
      <c r="O174" s="41"/>
      <c r="P174" s="217"/>
      <c r="Q174" s="68"/>
      <c r="R174" s="285"/>
      <c r="S174" s="39">
        <f t="shared" si="13"/>
        <v>0</v>
      </c>
      <c r="T174" s="68"/>
      <c r="U174" s="23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143</v>
      </c>
      <c r="C175" s="377" t="s">
        <v>39</v>
      </c>
      <c r="D175" s="377" t="s">
        <v>327</v>
      </c>
      <c r="E175" s="377" t="s">
        <v>145</v>
      </c>
      <c r="F175" s="232" t="s">
        <v>215</v>
      </c>
      <c r="G175" s="95" t="s">
        <v>24</v>
      </c>
      <c r="H175" s="281">
        <v>4</v>
      </c>
      <c r="I175" s="266">
        <v>3</v>
      </c>
      <c r="J175" s="266">
        <v>3</v>
      </c>
      <c r="K175" s="79">
        <v>3521.24</v>
      </c>
      <c r="L175" s="268">
        <v>3</v>
      </c>
      <c r="M175" s="81">
        <f t="shared" si="12"/>
        <v>3521.24</v>
      </c>
      <c r="N175" s="79">
        <v>3521.24</v>
      </c>
      <c r="O175" s="219"/>
      <c r="P175" s="267">
        <v>15</v>
      </c>
      <c r="Q175" s="79">
        <v>43575.18</v>
      </c>
      <c r="R175" s="268">
        <v>15</v>
      </c>
      <c r="S175" s="81">
        <f t="shared" si="13"/>
        <v>43575.18</v>
      </c>
      <c r="T175" s="79">
        <v>43575.18</v>
      </c>
      <c r="U175" s="269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9"/>
      <c r="B176" s="380"/>
      <c r="C176" s="380"/>
      <c r="D176" s="380"/>
      <c r="E176" s="380"/>
      <c r="F176" s="233" t="s">
        <v>244</v>
      </c>
      <c r="G176" s="227" t="s">
        <v>28</v>
      </c>
      <c r="H176" s="133">
        <v>8</v>
      </c>
      <c r="I176" s="130">
        <v>3</v>
      </c>
      <c r="J176" s="130">
        <v>3</v>
      </c>
      <c r="K176" s="114">
        <v>10338.32</v>
      </c>
      <c r="L176" s="316">
        <v>2</v>
      </c>
      <c r="M176" s="50">
        <f t="shared" si="12"/>
        <v>3649.9</v>
      </c>
      <c r="N176" s="43">
        <f>2497.3+1152.6</f>
        <v>3649.9</v>
      </c>
      <c r="O176" s="41"/>
      <c r="P176" s="113">
        <v>2</v>
      </c>
      <c r="Q176" s="114">
        <v>7924</v>
      </c>
      <c r="R176" s="270">
        <v>3</v>
      </c>
      <c r="S176" s="43">
        <f t="shared" si="13"/>
        <v>8500.2999999999993</v>
      </c>
      <c r="T176" s="114">
        <f>576.3+5426.7+2497.3</f>
        <v>8500.2999999999993</v>
      </c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146</v>
      </c>
      <c r="C177" s="374" t="s">
        <v>39</v>
      </c>
      <c r="D177" s="374" t="s">
        <v>328</v>
      </c>
      <c r="E177" s="374" t="s">
        <v>27</v>
      </c>
      <c r="F177" s="204" t="s">
        <v>329</v>
      </c>
      <c r="G177" s="176" t="s">
        <v>24</v>
      </c>
      <c r="H177" s="48">
        <v>8</v>
      </c>
      <c r="I177" s="62">
        <v>5</v>
      </c>
      <c r="J177" s="62">
        <v>5</v>
      </c>
      <c r="K177" s="30">
        <v>21141.24</v>
      </c>
      <c r="L177" s="205">
        <v>5</v>
      </c>
      <c r="M177" s="26">
        <f t="shared" si="12"/>
        <v>21141.24</v>
      </c>
      <c r="N177" s="30">
        <v>21141.24</v>
      </c>
      <c r="O177" s="225"/>
      <c r="P177" s="53">
        <v>10</v>
      </c>
      <c r="Q177" s="30">
        <v>30372.12</v>
      </c>
      <c r="R177" s="205">
        <v>10</v>
      </c>
      <c r="S177" s="26">
        <f t="shared" si="13"/>
        <v>30372.12</v>
      </c>
      <c r="T177" s="30">
        <v>30372.12</v>
      </c>
      <c r="U177" s="22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 t="s">
        <v>330</v>
      </c>
      <c r="G178" s="229" t="s">
        <v>28</v>
      </c>
      <c r="H178" s="153">
        <v>3</v>
      </c>
      <c r="I178" s="57"/>
      <c r="J178" s="57"/>
      <c r="K178" s="43"/>
      <c r="L178" s="44"/>
      <c r="M178" s="43">
        <f t="shared" si="12"/>
        <v>0</v>
      </c>
      <c r="N178" s="43"/>
      <c r="O178" s="41"/>
      <c r="P178" s="115">
        <v>6</v>
      </c>
      <c r="Q178" s="68">
        <v>27573.17</v>
      </c>
      <c r="R178" s="285">
        <v>5</v>
      </c>
      <c r="S178" s="39">
        <f t="shared" si="13"/>
        <v>19344.469999999998</v>
      </c>
      <c r="T178" s="68">
        <f>576.3+15944.3+1479.17+1344.7</f>
        <v>19344.469999999998</v>
      </c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2"/>
      <c r="B179" s="374" t="s">
        <v>148</v>
      </c>
      <c r="C179" s="374" t="s">
        <v>39</v>
      </c>
      <c r="D179" s="374" t="s">
        <v>149</v>
      </c>
      <c r="E179" s="374" t="s">
        <v>27</v>
      </c>
      <c r="F179" s="204" t="s">
        <v>218</v>
      </c>
      <c r="G179" s="176" t="s">
        <v>24</v>
      </c>
      <c r="H179" s="48">
        <v>15</v>
      </c>
      <c r="I179" s="62">
        <v>14</v>
      </c>
      <c r="J179" s="204">
        <v>17</v>
      </c>
      <c r="K179" s="30">
        <v>33571.980000000003</v>
      </c>
      <c r="L179" s="205">
        <v>17</v>
      </c>
      <c r="M179" s="26">
        <f t="shared" si="12"/>
        <v>33571.980000000003</v>
      </c>
      <c r="N179" s="30">
        <v>33571.980000000003</v>
      </c>
      <c r="O179" s="225"/>
      <c r="P179" s="108">
        <v>23</v>
      </c>
      <c r="Q179" s="65">
        <v>81517.899999999994</v>
      </c>
      <c r="R179" s="224">
        <v>22</v>
      </c>
      <c r="S179" s="50">
        <f t="shared" si="13"/>
        <v>79924.350000000006</v>
      </c>
      <c r="T179" s="65">
        <v>79924.350000000006</v>
      </c>
      <c r="U179" s="22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3"/>
      <c r="B180" s="375"/>
      <c r="C180" s="375"/>
      <c r="D180" s="375"/>
      <c r="E180" s="375"/>
      <c r="F180" s="34"/>
      <c r="G180" s="229" t="s">
        <v>28</v>
      </c>
      <c r="H180" s="292">
        <v>2</v>
      </c>
      <c r="I180" s="208">
        <v>1</v>
      </c>
      <c r="J180" s="208">
        <v>1</v>
      </c>
      <c r="K180" s="209">
        <v>3010.5</v>
      </c>
      <c r="L180" s="210"/>
      <c r="M180" s="211">
        <f t="shared" si="12"/>
        <v>0</v>
      </c>
      <c r="N180" s="211"/>
      <c r="O180" s="212"/>
      <c r="P180" s="262">
        <v>1</v>
      </c>
      <c r="Q180" s="209">
        <v>576.29999999999995</v>
      </c>
      <c r="R180" s="290">
        <v>2</v>
      </c>
      <c r="S180" s="211">
        <f t="shared" si="13"/>
        <v>2497.3000000000002</v>
      </c>
      <c r="T180" s="209">
        <f>1921+576.3</f>
        <v>2497.3000000000002</v>
      </c>
      <c r="U180" s="212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373</v>
      </c>
      <c r="C181" s="374" t="s">
        <v>22</v>
      </c>
      <c r="D181" s="374"/>
      <c r="E181" s="374" t="s">
        <v>27</v>
      </c>
      <c r="F181" s="232" t="s">
        <v>417</v>
      </c>
      <c r="G181" s="213" t="s">
        <v>24</v>
      </c>
      <c r="H181" s="61">
        <v>1</v>
      </c>
      <c r="I181" s="62">
        <v>1</v>
      </c>
      <c r="J181" s="62">
        <v>1</v>
      </c>
      <c r="K181" s="326">
        <v>662.31</v>
      </c>
      <c r="L181" s="327">
        <v>1</v>
      </c>
      <c r="M181" s="162">
        <f t="shared" si="12"/>
        <v>662.31</v>
      </c>
      <c r="N181" s="326">
        <v>662.31</v>
      </c>
      <c r="O181" s="28"/>
      <c r="P181" s="275"/>
      <c r="Q181" s="26"/>
      <c r="R181" s="27"/>
      <c r="S181" s="26">
        <f t="shared" si="13"/>
        <v>0</v>
      </c>
      <c r="T181" s="26"/>
      <c r="U181" s="28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105"/>
      <c r="G182" s="215" t="s">
        <v>28</v>
      </c>
      <c r="H182" s="117">
        <v>4</v>
      </c>
      <c r="I182" s="37">
        <v>1</v>
      </c>
      <c r="J182" s="37">
        <v>1</v>
      </c>
      <c r="K182" s="318">
        <v>1056.22</v>
      </c>
      <c r="L182" s="343">
        <v>1</v>
      </c>
      <c r="M182" s="164">
        <f t="shared" si="12"/>
        <v>1056.55</v>
      </c>
      <c r="N182" s="164">
        <f>1056.55</f>
        <v>1056.55</v>
      </c>
      <c r="O182" s="41"/>
      <c r="P182" s="276"/>
      <c r="Q182" s="39"/>
      <c r="R182" s="40"/>
      <c r="S182" s="39">
        <f t="shared" si="13"/>
        <v>0</v>
      </c>
      <c r="T182" s="39"/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6"/>
      <c r="B183" s="402" t="s">
        <v>150</v>
      </c>
      <c r="C183" s="377" t="s">
        <v>39</v>
      </c>
      <c r="D183" s="377" t="s">
        <v>151</v>
      </c>
      <c r="E183" s="377" t="s">
        <v>152</v>
      </c>
      <c r="F183" s="72"/>
      <c r="G183" s="95" t="s">
        <v>24</v>
      </c>
      <c r="H183" s="74"/>
      <c r="I183" s="96"/>
      <c r="J183" s="96"/>
      <c r="K183" s="293"/>
      <c r="L183" s="294"/>
      <c r="M183" s="293">
        <f t="shared" si="12"/>
        <v>0</v>
      </c>
      <c r="N183" s="293"/>
      <c r="O183" s="82"/>
      <c r="P183" s="295"/>
      <c r="Q183" s="81"/>
      <c r="R183" s="80"/>
      <c r="S183" s="81">
        <f t="shared" si="13"/>
        <v>0</v>
      </c>
      <c r="T183" s="81"/>
      <c r="U183" s="8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89"/>
      <c r="C184" s="375"/>
      <c r="D184" s="375"/>
      <c r="E184" s="375"/>
      <c r="F184" s="220" t="s">
        <v>331</v>
      </c>
      <c r="G184" s="35" t="s">
        <v>25</v>
      </c>
      <c r="H184" s="106"/>
      <c r="I184" s="38"/>
      <c r="J184" s="38"/>
      <c r="K184" s="164"/>
      <c r="L184" s="165"/>
      <c r="M184" s="164">
        <f t="shared" si="12"/>
        <v>0</v>
      </c>
      <c r="N184" s="164"/>
      <c r="O184" s="41"/>
      <c r="P184" s="67">
        <v>4</v>
      </c>
      <c r="Q184" s="68">
        <v>19199.810000000001</v>
      </c>
      <c r="R184" s="285">
        <v>4</v>
      </c>
      <c r="S184" s="68">
        <v>19199.810000000001</v>
      </c>
      <c r="T184" s="68">
        <v>19199.810000000001</v>
      </c>
      <c r="U184" s="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82"/>
      <c r="B185" s="381" t="s">
        <v>153</v>
      </c>
      <c r="C185" s="374" t="s">
        <v>39</v>
      </c>
      <c r="D185" s="381" t="s">
        <v>332</v>
      </c>
      <c r="E185" s="381" t="s">
        <v>27</v>
      </c>
      <c r="F185" s="223" t="s">
        <v>333</v>
      </c>
      <c r="G185" s="47" t="s">
        <v>24</v>
      </c>
      <c r="H185" s="48">
        <v>15</v>
      </c>
      <c r="I185" s="203">
        <v>13</v>
      </c>
      <c r="J185" s="203">
        <v>18</v>
      </c>
      <c r="K185" s="242">
        <v>41848.25</v>
      </c>
      <c r="L185" s="320">
        <v>19</v>
      </c>
      <c r="M185" s="166">
        <f t="shared" si="12"/>
        <v>42473.63</v>
      </c>
      <c r="N185" s="242">
        <v>42473.63</v>
      </c>
      <c r="O185" s="225"/>
      <c r="P185" s="108">
        <v>6</v>
      </c>
      <c r="Q185" s="65">
        <v>34185.78</v>
      </c>
      <c r="R185" s="224">
        <v>6</v>
      </c>
      <c r="S185" s="50">
        <f t="shared" ref="S185:S204" si="14">T185+U185</f>
        <v>34185.78</v>
      </c>
      <c r="T185" s="65">
        <v>34185.78</v>
      </c>
      <c r="U185" s="225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9"/>
      <c r="B186" s="380"/>
      <c r="C186" s="375"/>
      <c r="D186" s="380"/>
      <c r="E186" s="380"/>
      <c r="F186" s="34"/>
      <c r="G186" s="35" t="s">
        <v>28</v>
      </c>
      <c r="H186" s="153">
        <v>1</v>
      </c>
      <c r="I186" s="130">
        <v>1</v>
      </c>
      <c r="J186" s="130">
        <v>1</v>
      </c>
      <c r="K186" s="114">
        <v>1152.5999999999999</v>
      </c>
      <c r="L186" s="270">
        <v>1</v>
      </c>
      <c r="M186" s="43">
        <f t="shared" si="12"/>
        <v>1152.5999999999999</v>
      </c>
      <c r="N186" s="43">
        <f>1152.6</f>
        <v>1152.5999999999999</v>
      </c>
      <c r="O186" s="41"/>
      <c r="P186" s="113">
        <v>2</v>
      </c>
      <c r="Q186" s="114">
        <v>16904.8</v>
      </c>
      <c r="R186" s="270">
        <v>3</v>
      </c>
      <c r="S186" s="43">
        <f t="shared" si="14"/>
        <v>18825.8</v>
      </c>
      <c r="T186" s="114">
        <f>1921+11718.1+5186.7</f>
        <v>18825.8</v>
      </c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2"/>
      <c r="B187" s="374" t="s">
        <v>155</v>
      </c>
      <c r="C187" s="374" t="s">
        <v>22</v>
      </c>
      <c r="D187" s="374"/>
      <c r="E187" s="374" t="s">
        <v>37</v>
      </c>
      <c r="F187" s="223" t="s">
        <v>245</v>
      </c>
      <c r="G187" s="23" t="s">
        <v>24</v>
      </c>
      <c r="H187" s="48">
        <v>5</v>
      </c>
      <c r="I187" s="62">
        <v>4</v>
      </c>
      <c r="J187" s="62">
        <v>4</v>
      </c>
      <c r="K187" s="30">
        <v>5891.75</v>
      </c>
      <c r="L187" s="205">
        <v>4</v>
      </c>
      <c r="M187" s="26">
        <f t="shared" si="12"/>
        <v>5891.75</v>
      </c>
      <c r="N187" s="30">
        <v>5891.75</v>
      </c>
      <c r="O187" s="31"/>
      <c r="P187" s="53">
        <v>7</v>
      </c>
      <c r="Q187" s="30">
        <v>16748.509999999998</v>
      </c>
      <c r="R187" s="205">
        <v>7</v>
      </c>
      <c r="S187" s="26">
        <f t="shared" si="14"/>
        <v>16748.509999999998</v>
      </c>
      <c r="T187" s="30">
        <v>16748.509999999998</v>
      </c>
      <c r="U187" s="22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75"/>
      <c r="C188" s="375"/>
      <c r="D188" s="375"/>
      <c r="E188" s="375"/>
      <c r="F188" s="105"/>
      <c r="G188" s="35" t="s">
        <v>28</v>
      </c>
      <c r="H188" s="116"/>
      <c r="I188" s="38"/>
      <c r="J188" s="38"/>
      <c r="K188" s="39"/>
      <c r="L188" s="40"/>
      <c r="M188" s="39">
        <f t="shared" si="12"/>
        <v>0</v>
      </c>
      <c r="N188" s="39"/>
      <c r="O188" s="41"/>
      <c r="P188" s="59"/>
      <c r="Q188" s="39"/>
      <c r="R188" s="40"/>
      <c r="S188" s="39">
        <f t="shared" si="14"/>
        <v>0</v>
      </c>
      <c r="T188" s="39"/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156</v>
      </c>
      <c r="C189" s="381" t="s">
        <v>46</v>
      </c>
      <c r="D189" s="385" t="s">
        <v>418</v>
      </c>
      <c r="E189" s="381" t="s">
        <v>27</v>
      </c>
      <c r="F189" s="223" t="s">
        <v>419</v>
      </c>
      <c r="G189" s="23" t="s">
        <v>24</v>
      </c>
      <c r="H189" s="98"/>
      <c r="I189" s="49"/>
      <c r="J189" s="49"/>
      <c r="K189" s="50"/>
      <c r="L189" s="51"/>
      <c r="M189" s="50">
        <f t="shared" si="12"/>
        <v>0</v>
      </c>
      <c r="N189" s="50"/>
      <c r="O189" s="31"/>
      <c r="P189" s="108">
        <v>2</v>
      </c>
      <c r="Q189" s="65">
        <v>14241.9</v>
      </c>
      <c r="R189" s="224">
        <v>2</v>
      </c>
      <c r="S189" s="50">
        <f t="shared" si="14"/>
        <v>14241.9</v>
      </c>
      <c r="T189" s="65">
        <v>14241.9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80"/>
      <c r="D190" s="380"/>
      <c r="E190" s="380"/>
      <c r="F190" s="54"/>
      <c r="G190" s="55" t="s">
        <v>28</v>
      </c>
      <c r="H190" s="118"/>
      <c r="I190" s="57"/>
      <c r="J190" s="57"/>
      <c r="K190" s="43"/>
      <c r="L190" s="44"/>
      <c r="M190" s="43">
        <f t="shared" si="12"/>
        <v>0</v>
      </c>
      <c r="N190" s="43"/>
      <c r="O190" s="41"/>
      <c r="P190" s="113">
        <v>1</v>
      </c>
      <c r="Q190" s="114">
        <v>0</v>
      </c>
      <c r="R190" s="44"/>
      <c r="S190" s="43">
        <f t="shared" si="14"/>
        <v>0</v>
      </c>
      <c r="T190" s="43"/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157</v>
      </c>
      <c r="C191" s="390"/>
      <c r="D191" s="374"/>
      <c r="E191" s="374"/>
      <c r="F191" s="22"/>
      <c r="G191" s="23" t="s">
        <v>24</v>
      </c>
      <c r="H191" s="104"/>
      <c r="I191" s="25"/>
      <c r="J191" s="25"/>
      <c r="K191" s="26"/>
      <c r="L191" s="27"/>
      <c r="M191" s="26">
        <f t="shared" si="12"/>
        <v>0</v>
      </c>
      <c r="N191" s="26"/>
      <c r="O191" s="31"/>
      <c r="P191" s="120"/>
      <c r="Q191" s="26"/>
      <c r="R191" s="27"/>
      <c r="S191" s="26">
        <f t="shared" si="14"/>
        <v>0</v>
      </c>
      <c r="T191" s="26"/>
      <c r="U191" s="3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34"/>
      <c r="G192" s="35" t="s">
        <v>28</v>
      </c>
      <c r="H192" s="106"/>
      <c r="I192" s="38"/>
      <c r="J192" s="38"/>
      <c r="K192" s="39"/>
      <c r="L192" s="40"/>
      <c r="M192" s="39">
        <f t="shared" si="12"/>
        <v>0</v>
      </c>
      <c r="N192" s="39"/>
      <c r="O192" s="41"/>
      <c r="P192" s="6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2"/>
      <c r="B193" s="374" t="s">
        <v>158</v>
      </c>
      <c r="C193" s="374" t="s">
        <v>39</v>
      </c>
      <c r="D193" s="374" t="s">
        <v>288</v>
      </c>
      <c r="E193" s="374" t="s">
        <v>27</v>
      </c>
      <c r="F193" s="204" t="s">
        <v>289</v>
      </c>
      <c r="G193" s="176" t="s">
        <v>24</v>
      </c>
      <c r="H193" s="48">
        <v>9</v>
      </c>
      <c r="I193" s="203">
        <v>8</v>
      </c>
      <c r="J193" s="203">
        <v>8</v>
      </c>
      <c r="K193" s="65">
        <v>11987.81</v>
      </c>
      <c r="L193" s="224">
        <v>9</v>
      </c>
      <c r="M193" s="50">
        <f t="shared" si="12"/>
        <v>22982.49</v>
      </c>
      <c r="N193" s="65">
        <v>22982.49</v>
      </c>
      <c r="O193" s="225"/>
      <c r="P193" s="108">
        <v>8</v>
      </c>
      <c r="Q193" s="65">
        <v>20431.349999999999</v>
      </c>
      <c r="R193" s="224">
        <v>8</v>
      </c>
      <c r="S193" s="50">
        <f t="shared" si="14"/>
        <v>20431.349999999999</v>
      </c>
      <c r="T193" s="65">
        <v>20431.349999999999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3"/>
      <c r="B194" s="375"/>
      <c r="C194" s="375"/>
      <c r="D194" s="375"/>
      <c r="E194" s="375"/>
      <c r="F194" s="220" t="s">
        <v>334</v>
      </c>
      <c r="G194" s="229" t="s">
        <v>28</v>
      </c>
      <c r="H194" s="117">
        <v>4</v>
      </c>
      <c r="I194" s="37">
        <v>3</v>
      </c>
      <c r="J194" s="37">
        <v>3</v>
      </c>
      <c r="K194" s="68">
        <v>4329.3999999999996</v>
      </c>
      <c r="L194" s="285">
        <v>1</v>
      </c>
      <c r="M194" s="39">
        <f t="shared" si="12"/>
        <v>1921</v>
      </c>
      <c r="N194" s="39">
        <f>1921</f>
        <v>1921</v>
      </c>
      <c r="O194" s="41"/>
      <c r="P194" s="59"/>
      <c r="Q194" s="39"/>
      <c r="R194" s="40"/>
      <c r="S194" s="39">
        <f t="shared" si="14"/>
        <v>1152.5999999999999</v>
      </c>
      <c r="T194" s="68">
        <v>1152.5999999999999</v>
      </c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6"/>
      <c r="B195" s="377" t="s">
        <v>159</v>
      </c>
      <c r="C195" s="377" t="s">
        <v>22</v>
      </c>
      <c r="D195" s="377"/>
      <c r="E195" s="377" t="s">
        <v>160</v>
      </c>
      <c r="F195" s="232" t="s">
        <v>246</v>
      </c>
      <c r="G195" s="95" t="s">
        <v>24</v>
      </c>
      <c r="H195" s="48">
        <v>16</v>
      </c>
      <c r="I195" s="203">
        <v>16</v>
      </c>
      <c r="J195" s="203">
        <v>24</v>
      </c>
      <c r="K195" s="65">
        <v>46779.08</v>
      </c>
      <c r="L195" s="224">
        <v>24</v>
      </c>
      <c r="M195" s="50">
        <f t="shared" si="12"/>
        <v>46779.08</v>
      </c>
      <c r="N195" s="65">
        <v>46779.08</v>
      </c>
      <c r="O195" s="225"/>
      <c r="P195" s="108">
        <v>27</v>
      </c>
      <c r="Q195" s="65">
        <v>43490.11</v>
      </c>
      <c r="R195" s="224">
        <v>26</v>
      </c>
      <c r="S195" s="50">
        <f t="shared" si="14"/>
        <v>42356.26</v>
      </c>
      <c r="T195" s="65">
        <v>42356.26</v>
      </c>
      <c r="U195" s="225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54"/>
      <c r="G196" s="55" t="s">
        <v>28</v>
      </c>
      <c r="H196" s="112">
        <v>6</v>
      </c>
      <c r="I196" s="130">
        <v>2</v>
      </c>
      <c r="J196" s="130">
        <v>2</v>
      </c>
      <c r="K196" s="114">
        <v>2401.25</v>
      </c>
      <c r="L196" s="316">
        <v>2</v>
      </c>
      <c r="M196" s="50">
        <f t="shared" si="12"/>
        <v>2401.25</v>
      </c>
      <c r="N196" s="43">
        <f>1056.55+1344.7</f>
        <v>2401.25</v>
      </c>
      <c r="O196" s="41"/>
      <c r="P196" s="113">
        <v>3</v>
      </c>
      <c r="Q196" s="114">
        <v>5551.69</v>
      </c>
      <c r="R196" s="270">
        <v>3</v>
      </c>
      <c r="S196" s="43">
        <f t="shared" si="14"/>
        <v>5551.69</v>
      </c>
      <c r="T196" s="43">
        <f>5551.69</f>
        <v>5551.69</v>
      </c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161</v>
      </c>
      <c r="C197" s="377" t="s">
        <v>22</v>
      </c>
      <c r="D197" s="374"/>
      <c r="E197" s="374" t="s">
        <v>450</v>
      </c>
      <c r="F197" s="204" t="s">
        <v>451</v>
      </c>
      <c r="G197" s="23" t="s">
        <v>24</v>
      </c>
      <c r="H197" s="24">
        <v>8</v>
      </c>
      <c r="I197" s="25"/>
      <c r="J197" s="25"/>
      <c r="K197" s="26"/>
      <c r="L197" s="205">
        <v>2</v>
      </c>
      <c r="M197" s="26">
        <f t="shared" si="12"/>
        <v>3016.65</v>
      </c>
      <c r="N197" s="30">
        <v>3016.65</v>
      </c>
      <c r="O197" s="31"/>
      <c r="P197" s="53">
        <v>3</v>
      </c>
      <c r="Q197" s="30">
        <v>14217.44</v>
      </c>
      <c r="R197" s="205">
        <v>11</v>
      </c>
      <c r="S197" s="26">
        <f t="shared" si="14"/>
        <v>35207.21</v>
      </c>
      <c r="T197" s="30">
        <v>35207.21</v>
      </c>
      <c r="U197" s="3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92"/>
      <c r="F198" s="34"/>
      <c r="G198" s="35" t="s">
        <v>28</v>
      </c>
      <c r="H198" s="66">
        <v>4</v>
      </c>
      <c r="I198" s="38"/>
      <c r="J198" s="38"/>
      <c r="K198" s="39"/>
      <c r="L198" s="40"/>
      <c r="M198" s="39">
        <f t="shared" si="12"/>
        <v>0</v>
      </c>
      <c r="N198" s="39"/>
      <c r="O198" s="41"/>
      <c r="P198" s="59"/>
      <c r="Q198" s="39"/>
      <c r="R198" s="40"/>
      <c r="S198" s="39">
        <f t="shared" si="14"/>
        <v>0</v>
      </c>
      <c r="T198" s="39"/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82"/>
      <c r="B199" s="381" t="s">
        <v>162</v>
      </c>
      <c r="C199" s="381" t="s">
        <v>39</v>
      </c>
      <c r="D199" s="381" t="s">
        <v>163</v>
      </c>
      <c r="E199" s="374" t="s">
        <v>27</v>
      </c>
      <c r="F199" s="135"/>
      <c r="G199" s="47" t="s">
        <v>24</v>
      </c>
      <c r="H199" s="98"/>
      <c r="I199" s="49"/>
      <c r="J199" s="49"/>
      <c r="K199" s="50"/>
      <c r="L199" s="51"/>
      <c r="M199" s="50">
        <f t="shared" si="12"/>
        <v>0</v>
      </c>
      <c r="N199" s="50"/>
      <c r="O199" s="31"/>
      <c r="P199" s="123"/>
      <c r="Q199" s="50"/>
      <c r="R199" s="51"/>
      <c r="S199" s="50">
        <f t="shared" si="14"/>
        <v>0</v>
      </c>
      <c r="T199" s="50"/>
      <c r="U199" s="3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7"/>
      <c r="B200" s="386"/>
      <c r="C200" s="386"/>
      <c r="D200" s="386"/>
      <c r="E200" s="386"/>
      <c r="F200" s="54"/>
      <c r="G200" s="47" t="s">
        <v>25</v>
      </c>
      <c r="H200" s="98"/>
      <c r="I200" s="49"/>
      <c r="J200" s="49"/>
      <c r="K200" s="50"/>
      <c r="L200" s="51"/>
      <c r="M200" s="50">
        <f t="shared" si="12"/>
        <v>0</v>
      </c>
      <c r="N200" s="50"/>
      <c r="O200" s="45"/>
      <c r="P200" s="123"/>
      <c r="Q200" s="50"/>
      <c r="R200" s="51"/>
      <c r="S200" s="50">
        <f t="shared" si="14"/>
        <v>0</v>
      </c>
      <c r="T200" s="50"/>
      <c r="U200" s="4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116"/>
      <c r="I201" s="57"/>
      <c r="J201" s="57"/>
      <c r="K201" s="43"/>
      <c r="L201" s="44"/>
      <c r="M201" s="43">
        <f t="shared" si="12"/>
        <v>0</v>
      </c>
      <c r="N201" s="43"/>
      <c r="O201" s="41"/>
      <c r="P201" s="113">
        <v>1</v>
      </c>
      <c r="Q201" s="114">
        <v>4602.5</v>
      </c>
      <c r="R201" s="270">
        <v>1</v>
      </c>
      <c r="S201" s="43">
        <f t="shared" si="14"/>
        <v>4602.5</v>
      </c>
      <c r="T201" s="114">
        <v>4602.5</v>
      </c>
      <c r="U201" s="23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164</v>
      </c>
      <c r="C202" s="374" t="s">
        <v>22</v>
      </c>
      <c r="D202" s="374"/>
      <c r="E202" s="374" t="s">
        <v>27</v>
      </c>
      <c r="F202" s="22"/>
      <c r="G202" s="23" t="s">
        <v>24</v>
      </c>
      <c r="H202" s="98"/>
      <c r="I202" s="25"/>
      <c r="J202" s="25"/>
      <c r="K202" s="26"/>
      <c r="L202" s="27"/>
      <c r="M202" s="26">
        <f t="shared" si="12"/>
        <v>0</v>
      </c>
      <c r="N202" s="26"/>
      <c r="O202" s="31"/>
      <c r="P202" s="99"/>
      <c r="Q202" s="26"/>
      <c r="R202" s="27"/>
      <c r="S202" s="26">
        <f t="shared" si="14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1" t="s">
        <v>335</v>
      </c>
      <c r="G203" s="55" t="s">
        <v>28</v>
      </c>
      <c r="H203" s="56">
        <v>4</v>
      </c>
      <c r="I203" s="57"/>
      <c r="J203" s="57"/>
      <c r="K203" s="43"/>
      <c r="L203" s="44"/>
      <c r="M203" s="43">
        <f t="shared" si="12"/>
        <v>0</v>
      </c>
      <c r="N203" s="43"/>
      <c r="O203" s="41"/>
      <c r="P203" s="113">
        <v>4</v>
      </c>
      <c r="Q203" s="114">
        <v>7395.85</v>
      </c>
      <c r="R203" s="270">
        <v>5</v>
      </c>
      <c r="S203" s="43">
        <f t="shared" si="14"/>
        <v>8452.4000000000015</v>
      </c>
      <c r="T203" s="114">
        <f>4034.1+1921+2497.3</f>
        <v>8452.4000000000015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165</v>
      </c>
      <c r="C204" s="374"/>
      <c r="D204" s="374"/>
      <c r="E204" s="374"/>
      <c r="F204" s="22"/>
      <c r="G204" s="23" t="s">
        <v>24</v>
      </c>
      <c r="H204" s="119"/>
      <c r="I204" s="25"/>
      <c r="J204" s="25"/>
      <c r="K204" s="26"/>
      <c r="L204" s="27"/>
      <c r="M204" s="26">
        <f t="shared" si="12"/>
        <v>0</v>
      </c>
      <c r="N204" s="26"/>
      <c r="O204" s="31"/>
      <c r="P204" s="99"/>
      <c r="Q204" s="26"/>
      <c r="R204" s="27"/>
      <c r="S204" s="26">
        <f t="shared" si="14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34"/>
      <c r="G205" s="35" t="s">
        <v>25</v>
      </c>
      <c r="H205" s="66">
        <v>1</v>
      </c>
      <c r="I205" s="38"/>
      <c r="J205" s="38"/>
      <c r="K205" s="39"/>
      <c r="L205" s="40"/>
      <c r="M205" s="39">
        <f t="shared" si="12"/>
        <v>0</v>
      </c>
      <c r="N205" s="39"/>
      <c r="O205" s="41"/>
      <c r="P205" s="115">
        <v>2</v>
      </c>
      <c r="Q205" s="68">
        <v>288.14999999999998</v>
      </c>
      <c r="R205" s="285">
        <v>1</v>
      </c>
      <c r="S205" s="68">
        <v>288.14999999999998</v>
      </c>
      <c r="T205" s="68">
        <v>288.14999999999998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454</v>
      </c>
      <c r="C206" s="377" t="s">
        <v>39</v>
      </c>
      <c r="D206" s="405" t="s">
        <v>455</v>
      </c>
      <c r="E206" s="381" t="s">
        <v>27</v>
      </c>
      <c r="F206" s="305"/>
      <c r="G206" s="23" t="s">
        <v>24</v>
      </c>
      <c r="H206" s="328"/>
      <c r="I206" s="71"/>
      <c r="J206" s="71"/>
      <c r="K206" s="93"/>
      <c r="L206" s="92"/>
      <c r="M206" s="26">
        <f t="shared" si="12"/>
        <v>0</v>
      </c>
      <c r="N206" s="93"/>
      <c r="O206" s="94"/>
      <c r="P206" s="329"/>
      <c r="Q206" s="91"/>
      <c r="R206" s="330"/>
      <c r="S206" s="26">
        <f t="shared" ref="S206:S222" si="15">T206+U206</f>
        <v>0</v>
      </c>
      <c r="T206" s="91"/>
      <c r="U206" s="3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406"/>
      <c r="E207" s="375"/>
      <c r="F207" s="235"/>
      <c r="G207" s="332" t="s">
        <v>28</v>
      </c>
      <c r="H207" s="333">
        <v>2</v>
      </c>
      <c r="I207" s="139"/>
      <c r="J207" s="139"/>
      <c r="K207" s="142"/>
      <c r="L207" s="143"/>
      <c r="M207" s="26">
        <f t="shared" si="12"/>
        <v>0</v>
      </c>
      <c r="N207" s="142"/>
      <c r="O207" s="142"/>
      <c r="P207" s="246"/>
      <c r="Q207" s="158"/>
      <c r="R207" s="317"/>
      <c r="S207" s="26">
        <f t="shared" si="15"/>
        <v>0</v>
      </c>
      <c r="T207" s="91"/>
      <c r="U207" s="3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166</v>
      </c>
      <c r="C208" s="381" t="s">
        <v>22</v>
      </c>
      <c r="D208" s="377"/>
      <c r="E208" s="381" t="s">
        <v>27</v>
      </c>
      <c r="F208" s="235" t="s">
        <v>420</v>
      </c>
      <c r="G208" s="332" t="s">
        <v>24</v>
      </c>
      <c r="H208" s="333">
        <v>1</v>
      </c>
      <c r="I208" s="139"/>
      <c r="J208" s="139"/>
      <c r="K208" s="142"/>
      <c r="L208" s="143"/>
      <c r="M208" s="142">
        <f t="shared" si="12"/>
        <v>0</v>
      </c>
      <c r="N208" s="142"/>
      <c r="O208" s="142"/>
      <c r="P208" s="246">
        <v>3</v>
      </c>
      <c r="Q208" s="158">
        <v>12689.15</v>
      </c>
      <c r="R208" s="317">
        <v>3</v>
      </c>
      <c r="S208" s="50">
        <f t="shared" si="15"/>
        <v>12689.15</v>
      </c>
      <c r="T208" s="65">
        <v>12689.15</v>
      </c>
      <c r="U208" s="225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226"/>
      <c r="G209" s="227" t="s">
        <v>28</v>
      </c>
      <c r="H209" s="334"/>
      <c r="I209" s="57"/>
      <c r="J209" s="57"/>
      <c r="K209" s="43"/>
      <c r="L209" s="44"/>
      <c r="M209" s="43">
        <f t="shared" si="12"/>
        <v>0</v>
      </c>
      <c r="N209" s="43"/>
      <c r="O209" s="45"/>
      <c r="P209" s="273"/>
      <c r="Q209" s="211"/>
      <c r="R209" s="210"/>
      <c r="S209" s="211">
        <f t="shared" si="15"/>
        <v>0</v>
      </c>
      <c r="T209" s="211"/>
      <c r="U209" s="21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2"/>
      <c r="B210" s="374" t="s">
        <v>167</v>
      </c>
      <c r="C210" s="374" t="s">
        <v>46</v>
      </c>
      <c r="D210" s="374" t="s">
        <v>168</v>
      </c>
      <c r="E210" s="374" t="s">
        <v>27</v>
      </c>
      <c r="F210" s="204" t="s">
        <v>421</v>
      </c>
      <c r="G210" s="176" t="s">
        <v>24</v>
      </c>
      <c r="H210" s="248">
        <v>4</v>
      </c>
      <c r="I210" s="62">
        <v>3</v>
      </c>
      <c r="J210" s="62">
        <v>3</v>
      </c>
      <c r="K210" s="30">
        <v>2022.81</v>
      </c>
      <c r="L210" s="205">
        <v>3</v>
      </c>
      <c r="M210" s="26">
        <f t="shared" si="12"/>
        <v>2022.81</v>
      </c>
      <c r="N210" s="30">
        <v>2022.81</v>
      </c>
      <c r="O210" s="308"/>
      <c r="P210" s="99"/>
      <c r="Q210" s="26"/>
      <c r="R210" s="27"/>
      <c r="S210" s="26">
        <f t="shared" si="15"/>
        <v>0</v>
      </c>
      <c r="T210" s="26"/>
      <c r="U210" s="28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375"/>
      <c r="E211" s="375"/>
      <c r="F211" s="220" t="s">
        <v>247</v>
      </c>
      <c r="G211" s="229" t="s">
        <v>28</v>
      </c>
      <c r="H211" s="258">
        <v>5</v>
      </c>
      <c r="I211" s="37">
        <v>4</v>
      </c>
      <c r="J211" s="37">
        <v>4</v>
      </c>
      <c r="K211" s="68">
        <v>9389.9500000000007</v>
      </c>
      <c r="L211" s="285">
        <v>4</v>
      </c>
      <c r="M211" s="39">
        <f t="shared" si="12"/>
        <v>16194.029999999999</v>
      </c>
      <c r="N211" s="39">
        <f>1985.09+7101.24+2689.4+4418.3</f>
        <v>16194.029999999999</v>
      </c>
      <c r="O211" s="309"/>
      <c r="P211" s="310">
        <v>6</v>
      </c>
      <c r="Q211" s="245">
        <v>28151.200000000001</v>
      </c>
      <c r="R211" s="285">
        <v>5</v>
      </c>
      <c r="S211" s="39">
        <f t="shared" si="15"/>
        <v>12486.5</v>
      </c>
      <c r="T211" s="68">
        <f>4034.1+1152.6+2881.5+2497.3+1921</f>
        <v>12486.5</v>
      </c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6"/>
      <c r="B212" s="377" t="s">
        <v>169</v>
      </c>
      <c r="C212" s="377" t="s">
        <v>39</v>
      </c>
      <c r="D212" s="377"/>
      <c r="E212" s="377" t="s">
        <v>27</v>
      </c>
      <c r="F212" s="72"/>
      <c r="G212" s="291" t="s">
        <v>24</v>
      </c>
      <c r="H212" s="98"/>
      <c r="I212" s="49"/>
      <c r="J212" s="49"/>
      <c r="K212" s="50"/>
      <c r="L212" s="51"/>
      <c r="M212" s="50">
        <f t="shared" si="12"/>
        <v>0</v>
      </c>
      <c r="N212" s="50"/>
      <c r="O212" s="31"/>
      <c r="P212" s="277"/>
      <c r="Q212" s="81"/>
      <c r="R212" s="80"/>
      <c r="S212" s="81">
        <f t="shared" si="15"/>
        <v>0</v>
      </c>
      <c r="T212" s="81"/>
      <c r="U212" s="21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0" t="s">
        <v>336</v>
      </c>
      <c r="G213" s="229" t="s">
        <v>28</v>
      </c>
      <c r="H213" s="153">
        <v>3</v>
      </c>
      <c r="I213" s="57"/>
      <c r="J213" s="57"/>
      <c r="K213" s="43"/>
      <c r="L213" s="44"/>
      <c r="M213" s="43">
        <f t="shared" si="12"/>
        <v>0</v>
      </c>
      <c r="N213" s="43"/>
      <c r="O213" s="41"/>
      <c r="P213" s="113">
        <v>1</v>
      </c>
      <c r="Q213" s="114">
        <v>3842</v>
      </c>
      <c r="R213" s="316">
        <v>1</v>
      </c>
      <c r="S213" s="50">
        <f t="shared" si="15"/>
        <v>3842</v>
      </c>
      <c r="T213" s="43">
        <f>3842</f>
        <v>3842</v>
      </c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170</v>
      </c>
      <c r="C214" s="374" t="s">
        <v>22</v>
      </c>
      <c r="D214" s="374"/>
      <c r="E214" s="374" t="s">
        <v>160</v>
      </c>
      <c r="F214" s="232" t="s">
        <v>248</v>
      </c>
      <c r="G214" s="23" t="s">
        <v>24</v>
      </c>
      <c r="H214" s="48">
        <v>15</v>
      </c>
      <c r="I214" s="62">
        <v>13</v>
      </c>
      <c r="J214" s="62">
        <v>20</v>
      </c>
      <c r="K214" s="30">
        <v>45826.94</v>
      </c>
      <c r="L214" s="205">
        <v>20</v>
      </c>
      <c r="M214" s="26">
        <f t="shared" si="12"/>
        <v>45826.94</v>
      </c>
      <c r="N214" s="30">
        <v>45826.94</v>
      </c>
      <c r="O214" s="225"/>
      <c r="P214" s="53">
        <v>20</v>
      </c>
      <c r="Q214" s="30">
        <v>64727.57</v>
      </c>
      <c r="R214" s="205">
        <v>20</v>
      </c>
      <c r="S214" s="26">
        <f t="shared" si="15"/>
        <v>64727.57</v>
      </c>
      <c r="T214" s="30">
        <v>64727.57</v>
      </c>
      <c r="U214" s="225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105"/>
      <c r="G215" s="35" t="s">
        <v>28</v>
      </c>
      <c r="H215" s="116"/>
      <c r="I215" s="38"/>
      <c r="J215" s="38"/>
      <c r="K215" s="39"/>
      <c r="L215" s="40"/>
      <c r="M215" s="39">
        <f t="shared" si="12"/>
        <v>0</v>
      </c>
      <c r="N215" s="39"/>
      <c r="O215" s="41"/>
      <c r="P215" s="59"/>
      <c r="Q215" s="39"/>
      <c r="R215" s="40"/>
      <c r="S215" s="39">
        <f t="shared" si="15"/>
        <v>0</v>
      </c>
      <c r="T215" s="39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2"/>
      <c r="B216" s="374" t="s">
        <v>171</v>
      </c>
      <c r="C216" s="374" t="s">
        <v>39</v>
      </c>
      <c r="D216" s="374" t="s">
        <v>374</v>
      </c>
      <c r="E216" s="374" t="s">
        <v>27</v>
      </c>
      <c r="F216" s="223" t="s">
        <v>375</v>
      </c>
      <c r="G216" s="176" t="s">
        <v>24</v>
      </c>
      <c r="H216" s="48">
        <v>4</v>
      </c>
      <c r="I216" s="203">
        <v>2</v>
      </c>
      <c r="J216" s="203">
        <v>2</v>
      </c>
      <c r="K216" s="65">
        <v>3169.65</v>
      </c>
      <c r="L216" s="224">
        <v>2</v>
      </c>
      <c r="M216" s="50">
        <f t="shared" si="12"/>
        <v>3169.65</v>
      </c>
      <c r="N216" s="65">
        <v>3169.65</v>
      </c>
      <c r="O216" s="31"/>
      <c r="P216" s="108">
        <v>6</v>
      </c>
      <c r="Q216" s="65">
        <v>16741.060000000001</v>
      </c>
      <c r="R216" s="224">
        <v>6</v>
      </c>
      <c r="S216" s="50">
        <f t="shared" si="15"/>
        <v>16741.060000000001</v>
      </c>
      <c r="T216" s="65">
        <v>16741.060000000001</v>
      </c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337</v>
      </c>
      <c r="G217" s="229" t="s">
        <v>28</v>
      </c>
      <c r="H217" s="133">
        <v>3</v>
      </c>
      <c r="I217" s="130">
        <v>1</v>
      </c>
      <c r="J217" s="130">
        <v>1</v>
      </c>
      <c r="K217" s="114">
        <v>3457.8</v>
      </c>
      <c r="L217" s="316">
        <v>1</v>
      </c>
      <c r="M217" s="50">
        <f t="shared" si="12"/>
        <v>3457.8</v>
      </c>
      <c r="N217" s="43">
        <f>3457.8</f>
        <v>3457.8</v>
      </c>
      <c r="O217" s="41"/>
      <c r="P217" s="113">
        <v>2</v>
      </c>
      <c r="Q217" s="114">
        <v>7299.8</v>
      </c>
      <c r="R217" s="270">
        <v>2</v>
      </c>
      <c r="S217" s="43">
        <f t="shared" si="15"/>
        <v>7299.7999999999993</v>
      </c>
      <c r="T217" s="43">
        <f>3073.6+4226.2</f>
        <v>7299.7999999999993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172</v>
      </c>
      <c r="C218" s="374" t="s">
        <v>39</v>
      </c>
      <c r="D218" s="374" t="s">
        <v>303</v>
      </c>
      <c r="E218" s="374" t="s">
        <v>121</v>
      </c>
      <c r="F218" s="204" t="s">
        <v>304</v>
      </c>
      <c r="G218" s="176" t="s">
        <v>24</v>
      </c>
      <c r="H218" s="48">
        <v>18</v>
      </c>
      <c r="I218" s="62">
        <v>9</v>
      </c>
      <c r="J218" s="62">
        <v>10</v>
      </c>
      <c r="K218" s="30">
        <v>7339.68</v>
      </c>
      <c r="L218" s="205">
        <v>10</v>
      </c>
      <c r="M218" s="26">
        <f t="shared" si="12"/>
        <v>7339.68</v>
      </c>
      <c r="N218" s="30">
        <v>7339.68</v>
      </c>
      <c r="O218" s="225"/>
      <c r="P218" s="53">
        <v>28</v>
      </c>
      <c r="Q218" s="30">
        <v>74352.649999999994</v>
      </c>
      <c r="R218" s="205">
        <v>26</v>
      </c>
      <c r="S218" s="26">
        <f t="shared" si="15"/>
        <v>73507.41</v>
      </c>
      <c r="T218" s="30">
        <v>73507.41</v>
      </c>
      <c r="U218" s="30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229" t="s">
        <v>25</v>
      </c>
      <c r="H219" s="102"/>
      <c r="I219" s="57"/>
      <c r="J219" s="57"/>
      <c r="K219" s="43"/>
      <c r="L219" s="44"/>
      <c r="M219" s="43">
        <f t="shared" si="12"/>
        <v>0</v>
      </c>
      <c r="N219" s="43"/>
      <c r="O219" s="41"/>
      <c r="P219" s="113">
        <v>1</v>
      </c>
      <c r="Q219" s="114">
        <v>1728.9</v>
      </c>
      <c r="R219" s="270">
        <v>1</v>
      </c>
      <c r="S219" s="43">
        <f t="shared" si="15"/>
        <v>1728.9</v>
      </c>
      <c r="T219" s="114">
        <v>1728.9</v>
      </c>
      <c r="U219" s="23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173</v>
      </c>
      <c r="C220" s="374" t="s">
        <v>39</v>
      </c>
      <c r="D220" s="374" t="s">
        <v>338</v>
      </c>
      <c r="E220" s="374" t="s">
        <v>121</v>
      </c>
      <c r="F220" s="232" t="s">
        <v>376</v>
      </c>
      <c r="G220" s="23" t="s">
        <v>24</v>
      </c>
      <c r="H220" s="61">
        <v>29</v>
      </c>
      <c r="I220" s="25"/>
      <c r="J220" s="25"/>
      <c r="K220" s="26"/>
      <c r="L220" s="27"/>
      <c r="M220" s="26">
        <f t="shared" si="12"/>
        <v>0</v>
      </c>
      <c r="N220" s="26"/>
      <c r="O220" s="31"/>
      <c r="P220" s="53">
        <v>6</v>
      </c>
      <c r="Q220" s="30">
        <v>5292.88</v>
      </c>
      <c r="R220" s="205">
        <v>5</v>
      </c>
      <c r="S220" s="26">
        <f t="shared" si="15"/>
        <v>4887.8599999999997</v>
      </c>
      <c r="T220" s="30">
        <v>4887.8599999999997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339</v>
      </c>
      <c r="G221" s="35" t="s">
        <v>25</v>
      </c>
      <c r="H221" s="117">
        <v>11</v>
      </c>
      <c r="I221" s="37">
        <v>1</v>
      </c>
      <c r="J221" s="37">
        <v>1</v>
      </c>
      <c r="K221" s="68">
        <v>1152.5999999999999</v>
      </c>
      <c r="L221" s="285">
        <v>1</v>
      </c>
      <c r="M221" s="39">
        <f t="shared" si="12"/>
        <v>1152.5999999999999</v>
      </c>
      <c r="N221" s="68">
        <v>1152.5999999999999</v>
      </c>
      <c r="O221" s="234"/>
      <c r="P221" s="115">
        <v>2</v>
      </c>
      <c r="Q221" s="68">
        <v>4942.5</v>
      </c>
      <c r="R221" s="285">
        <v>2</v>
      </c>
      <c r="S221" s="39">
        <f t="shared" si="15"/>
        <v>4942.5</v>
      </c>
      <c r="T221" s="68">
        <v>4942.5</v>
      </c>
      <c r="U221" s="23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174</v>
      </c>
      <c r="C222" s="374" t="s">
        <v>39</v>
      </c>
      <c r="D222" s="374" t="s">
        <v>175</v>
      </c>
      <c r="E222" s="374" t="s">
        <v>176</v>
      </c>
      <c r="F222" s="204" t="s">
        <v>377</v>
      </c>
      <c r="G222" s="176" t="s">
        <v>24</v>
      </c>
      <c r="H222" s="48">
        <v>12</v>
      </c>
      <c r="I222" s="203">
        <v>10</v>
      </c>
      <c r="J222" s="203">
        <v>11</v>
      </c>
      <c r="K222" s="65">
        <v>20832.330000000002</v>
      </c>
      <c r="L222" s="224">
        <v>11</v>
      </c>
      <c r="M222" s="50">
        <f t="shared" si="12"/>
        <v>20832.330000000002</v>
      </c>
      <c r="N222" s="65">
        <v>20832.330000000002</v>
      </c>
      <c r="O222" s="225"/>
      <c r="P222" s="108">
        <v>18</v>
      </c>
      <c r="Q222" s="65">
        <v>56598.95</v>
      </c>
      <c r="R222" s="224">
        <v>18</v>
      </c>
      <c r="S222" s="50">
        <f t="shared" si="15"/>
        <v>56598.95</v>
      </c>
      <c r="T222" s="65">
        <v>56598.95</v>
      </c>
      <c r="U222" s="225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220" t="s">
        <v>340</v>
      </c>
      <c r="G223" s="229" t="s">
        <v>25</v>
      </c>
      <c r="H223" s="153">
        <v>2</v>
      </c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9</v>
      </c>
      <c r="Q223" s="114">
        <v>44675.6</v>
      </c>
      <c r="R223" s="270">
        <v>9</v>
      </c>
      <c r="S223" s="114">
        <v>44675.6</v>
      </c>
      <c r="T223" s="114">
        <v>44675.6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177</v>
      </c>
      <c r="C224" s="377" t="s">
        <v>39</v>
      </c>
      <c r="D224" s="374" t="s">
        <v>226</v>
      </c>
      <c r="E224" s="374" t="s">
        <v>27</v>
      </c>
      <c r="F224" s="204" t="s">
        <v>227</v>
      </c>
      <c r="G224" s="23" t="s">
        <v>24</v>
      </c>
      <c r="H224" s="48">
        <v>5</v>
      </c>
      <c r="I224" s="62">
        <v>3</v>
      </c>
      <c r="J224" s="62">
        <v>3</v>
      </c>
      <c r="K224" s="30">
        <v>1969.94</v>
      </c>
      <c r="L224" s="205">
        <v>3</v>
      </c>
      <c r="M224" s="26">
        <f t="shared" si="12"/>
        <v>1969.94</v>
      </c>
      <c r="N224" s="30">
        <v>1969.94</v>
      </c>
      <c r="O224" s="225"/>
      <c r="P224" s="53">
        <v>16</v>
      </c>
      <c r="Q224" s="30">
        <v>53460.74</v>
      </c>
      <c r="R224" s="205">
        <v>16</v>
      </c>
      <c r="S224" s="26">
        <f t="shared" ref="S224:S227" si="16">T224+U224</f>
        <v>53460.74</v>
      </c>
      <c r="T224" s="30">
        <v>53460.74</v>
      </c>
      <c r="U224" s="225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80"/>
      <c r="D225" s="375"/>
      <c r="E225" s="375"/>
      <c r="F225" s="126"/>
      <c r="G225" s="55" t="s">
        <v>28</v>
      </c>
      <c r="H225" s="118"/>
      <c r="I225" s="57"/>
      <c r="J225" s="57"/>
      <c r="K225" s="43"/>
      <c r="L225" s="44"/>
      <c r="M225" s="43">
        <f t="shared" si="12"/>
        <v>0</v>
      </c>
      <c r="N225" s="43"/>
      <c r="O225" s="41"/>
      <c r="P225" s="103"/>
      <c r="Q225" s="43"/>
      <c r="R225" s="44"/>
      <c r="S225" s="43">
        <f t="shared" si="16"/>
        <v>0</v>
      </c>
      <c r="T225" s="43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178</v>
      </c>
      <c r="C226" s="374" t="s">
        <v>22</v>
      </c>
      <c r="D226" s="374"/>
      <c r="E226" s="374" t="s">
        <v>27</v>
      </c>
      <c r="F226" s="223" t="s">
        <v>452</v>
      </c>
      <c r="G226" s="176" t="s">
        <v>24</v>
      </c>
      <c r="H226" s="61">
        <v>3</v>
      </c>
      <c r="I226" s="62">
        <v>2</v>
      </c>
      <c r="J226" s="62">
        <v>2</v>
      </c>
      <c r="K226" s="30">
        <v>2387.8000000000002</v>
      </c>
      <c r="L226" s="205">
        <v>2</v>
      </c>
      <c r="M226" s="26">
        <f t="shared" si="12"/>
        <v>2387.8000000000002</v>
      </c>
      <c r="N226" s="30">
        <v>2387.8000000000002</v>
      </c>
      <c r="O226" s="31"/>
      <c r="P226" s="29">
        <v>1</v>
      </c>
      <c r="Q226" s="30">
        <v>2466.56</v>
      </c>
      <c r="R226" s="205">
        <v>1</v>
      </c>
      <c r="S226" s="26">
        <f t="shared" si="16"/>
        <v>2466.56</v>
      </c>
      <c r="T226" s="30">
        <v>2466.56</v>
      </c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21"/>
      <c r="G227" s="252" t="s">
        <v>28</v>
      </c>
      <c r="H227" s="322"/>
      <c r="I227" s="139"/>
      <c r="J227" s="139"/>
      <c r="K227" s="142"/>
      <c r="L227" s="143"/>
      <c r="M227" s="142">
        <f t="shared" si="12"/>
        <v>0</v>
      </c>
      <c r="N227" s="142"/>
      <c r="O227" s="323"/>
      <c r="P227" s="324"/>
      <c r="Q227" s="142"/>
      <c r="R227" s="143"/>
      <c r="S227" s="142">
        <f t="shared" si="16"/>
        <v>0</v>
      </c>
      <c r="T227" s="142"/>
      <c r="U227" s="323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445</v>
      </c>
      <c r="C228" s="374"/>
      <c r="D228" s="374"/>
      <c r="E228" s="374"/>
      <c r="F228" s="72"/>
      <c r="G228" s="176" t="s">
        <v>24</v>
      </c>
      <c r="H228" s="265"/>
      <c r="I228" s="266"/>
      <c r="J228" s="96"/>
      <c r="K228" s="81"/>
      <c r="L228" s="80"/>
      <c r="M228" s="81"/>
      <c r="N228" s="81"/>
      <c r="O228" s="82"/>
      <c r="P228" s="295"/>
      <c r="Q228" s="81"/>
      <c r="R228" s="80"/>
      <c r="S228" s="81"/>
      <c r="T228" s="81"/>
      <c r="U228" s="8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6"/>
      <c r="G229" s="252" t="s">
        <v>28</v>
      </c>
      <c r="H229" s="302">
        <v>1</v>
      </c>
      <c r="I229" s="261"/>
      <c r="J229" s="261"/>
      <c r="K229" s="211"/>
      <c r="L229" s="210"/>
      <c r="M229" s="211"/>
      <c r="N229" s="211"/>
      <c r="O229" s="212"/>
      <c r="P229" s="284"/>
      <c r="Q229" s="211"/>
      <c r="R229" s="210"/>
      <c r="S229" s="211"/>
      <c r="T229" s="211"/>
      <c r="U229" s="21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179</v>
      </c>
      <c r="C230" s="374"/>
      <c r="D230" s="374"/>
      <c r="E230" s="374" t="s">
        <v>27</v>
      </c>
      <c r="F230" s="22"/>
      <c r="G230" s="176" t="s">
        <v>24</v>
      </c>
      <c r="H230" s="61">
        <v>2</v>
      </c>
      <c r="I230" s="25"/>
      <c r="J230" s="25"/>
      <c r="K230" s="26"/>
      <c r="L230" s="27"/>
      <c r="M230" s="26">
        <f t="shared" ref="M230:M248" si="17">N230+O230</f>
        <v>0</v>
      </c>
      <c r="N230" s="26"/>
      <c r="O230" s="28"/>
      <c r="P230" s="120"/>
      <c r="Q230" s="26"/>
      <c r="R230" s="27"/>
      <c r="S230" s="26">
        <f t="shared" ref="S230:S248" si="18">T230+U230</f>
        <v>0</v>
      </c>
      <c r="T230" s="26"/>
      <c r="U230" s="28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29" t="s">
        <v>28</v>
      </c>
      <c r="H231" s="298"/>
      <c r="I231" s="261"/>
      <c r="J231" s="261"/>
      <c r="K231" s="211"/>
      <c r="L231" s="210"/>
      <c r="M231" s="211">
        <f t="shared" si="17"/>
        <v>0</v>
      </c>
      <c r="N231" s="211"/>
      <c r="O231" s="212"/>
      <c r="P231" s="284"/>
      <c r="Q231" s="211"/>
      <c r="R231" s="210"/>
      <c r="S231" s="211">
        <f t="shared" si="18"/>
        <v>0</v>
      </c>
      <c r="T231" s="211"/>
      <c r="U231" s="21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378</v>
      </c>
      <c r="C232" s="374" t="s">
        <v>46</v>
      </c>
      <c r="D232" s="374" t="s">
        <v>422</v>
      </c>
      <c r="E232" s="374" t="s">
        <v>27</v>
      </c>
      <c r="F232" s="232" t="s">
        <v>423</v>
      </c>
      <c r="G232" s="213" t="s">
        <v>24</v>
      </c>
      <c r="H232" s="61">
        <v>11</v>
      </c>
      <c r="I232" s="62">
        <v>7</v>
      </c>
      <c r="J232" s="62">
        <v>8</v>
      </c>
      <c r="K232" s="30">
        <v>8606.68</v>
      </c>
      <c r="L232" s="205">
        <v>8</v>
      </c>
      <c r="M232" s="26">
        <f t="shared" si="17"/>
        <v>8606.68</v>
      </c>
      <c r="N232" s="30">
        <v>8606.68</v>
      </c>
      <c r="O232" s="28"/>
      <c r="P232" s="214"/>
      <c r="Q232" s="30"/>
      <c r="R232" s="205"/>
      <c r="S232" s="26">
        <f t="shared" si="18"/>
        <v>0</v>
      </c>
      <c r="T232" s="30"/>
      <c r="U232" s="24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0"/>
      <c r="G233" s="215" t="s">
        <v>28</v>
      </c>
      <c r="H233" s="117">
        <v>5</v>
      </c>
      <c r="I233" s="37">
        <v>1</v>
      </c>
      <c r="J233" s="37">
        <v>1</v>
      </c>
      <c r="K233" s="68">
        <v>1152.5999999999999</v>
      </c>
      <c r="L233" s="285">
        <v>1</v>
      </c>
      <c r="M233" s="39">
        <f t="shared" si="17"/>
        <v>1152.5999999999999</v>
      </c>
      <c r="N233" s="39">
        <f>1152.6</f>
        <v>1152.5999999999999</v>
      </c>
      <c r="O233" s="41"/>
      <c r="P233" s="217"/>
      <c r="Q233" s="68"/>
      <c r="R233" s="285"/>
      <c r="S233" s="39">
        <f t="shared" si="18"/>
        <v>0</v>
      </c>
      <c r="T233" s="68"/>
      <c r="U233" s="23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6"/>
      <c r="B234" s="377" t="s">
        <v>180</v>
      </c>
      <c r="C234" s="377" t="s">
        <v>46</v>
      </c>
      <c r="D234" s="377" t="s">
        <v>181</v>
      </c>
      <c r="E234" s="377" t="s">
        <v>27</v>
      </c>
      <c r="F234" s="232" t="s">
        <v>228</v>
      </c>
      <c r="G234" s="95" t="s">
        <v>24</v>
      </c>
      <c r="H234" s="265">
        <v>12</v>
      </c>
      <c r="I234" s="266">
        <v>7</v>
      </c>
      <c r="J234" s="266">
        <v>8</v>
      </c>
      <c r="K234" s="79">
        <v>5763.01</v>
      </c>
      <c r="L234" s="268">
        <v>8</v>
      </c>
      <c r="M234" s="81">
        <f t="shared" si="17"/>
        <v>5763.01</v>
      </c>
      <c r="N234" s="79">
        <v>5763.01</v>
      </c>
      <c r="O234" s="219"/>
      <c r="P234" s="267">
        <v>14</v>
      </c>
      <c r="Q234" s="79">
        <v>65943.149999999994</v>
      </c>
      <c r="R234" s="268">
        <v>14</v>
      </c>
      <c r="S234" s="26">
        <f t="shared" si="18"/>
        <v>65943.149999999994</v>
      </c>
      <c r="T234" s="79">
        <v>65943.149999999994</v>
      </c>
      <c r="U234" s="269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9"/>
      <c r="B235" s="380"/>
      <c r="C235" s="380"/>
      <c r="D235" s="380"/>
      <c r="E235" s="380"/>
      <c r="F235" s="54"/>
      <c r="G235" s="55" t="s">
        <v>28</v>
      </c>
      <c r="H235" s="116"/>
      <c r="I235" s="57"/>
      <c r="J235" s="57"/>
      <c r="K235" s="43"/>
      <c r="L235" s="128"/>
      <c r="M235" s="50">
        <f t="shared" si="17"/>
        <v>0</v>
      </c>
      <c r="N235" s="43"/>
      <c r="O235" s="41"/>
      <c r="P235" s="113">
        <v>3</v>
      </c>
      <c r="Q235" s="114">
        <v>15175.95</v>
      </c>
      <c r="R235" s="270">
        <v>3</v>
      </c>
      <c r="S235" s="43">
        <f t="shared" si="18"/>
        <v>2881.5499999999997</v>
      </c>
      <c r="T235" s="114">
        <f>2209.2+672.35</f>
        <v>2881.5499999999997</v>
      </c>
      <c r="U235" s="4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6.5" customHeight="1">
      <c r="A236" s="372"/>
      <c r="B236" s="374" t="s">
        <v>182</v>
      </c>
      <c r="C236" s="374" t="s">
        <v>46</v>
      </c>
      <c r="D236" s="374" t="s">
        <v>181</v>
      </c>
      <c r="E236" s="374" t="s">
        <v>27</v>
      </c>
      <c r="F236" s="204" t="s">
        <v>379</v>
      </c>
      <c r="G236" s="23" t="s">
        <v>24</v>
      </c>
      <c r="H236" s="48">
        <v>16</v>
      </c>
      <c r="I236" s="62">
        <v>16</v>
      </c>
      <c r="J236" s="62">
        <v>18</v>
      </c>
      <c r="K236" s="30">
        <v>24999.53</v>
      </c>
      <c r="L236" s="205">
        <v>18</v>
      </c>
      <c r="M236" s="26">
        <f t="shared" si="17"/>
        <v>24999.53</v>
      </c>
      <c r="N236" s="30">
        <v>24999.53</v>
      </c>
      <c r="O236" s="31"/>
      <c r="P236" s="53">
        <v>11</v>
      </c>
      <c r="Q236" s="30">
        <v>66117.05</v>
      </c>
      <c r="R236" s="205">
        <v>10</v>
      </c>
      <c r="S236" s="26">
        <f t="shared" si="18"/>
        <v>58580.480000000003</v>
      </c>
      <c r="T236" s="30">
        <v>58580.480000000003</v>
      </c>
      <c r="U236" s="100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6.5" customHeight="1">
      <c r="A237" s="373"/>
      <c r="B237" s="375"/>
      <c r="C237" s="375"/>
      <c r="D237" s="375"/>
      <c r="E237" s="375"/>
      <c r="F237" s="34"/>
      <c r="G237" s="35" t="s">
        <v>28</v>
      </c>
      <c r="H237" s="116"/>
      <c r="I237" s="38"/>
      <c r="J237" s="38"/>
      <c r="K237" s="39"/>
      <c r="L237" s="40"/>
      <c r="M237" s="39">
        <f t="shared" si="17"/>
        <v>0</v>
      </c>
      <c r="N237" s="39"/>
      <c r="O237" s="41"/>
      <c r="P237" s="115">
        <v>2</v>
      </c>
      <c r="Q237" s="68">
        <v>4418.3</v>
      </c>
      <c r="R237" s="285">
        <v>1</v>
      </c>
      <c r="S237" s="39">
        <f t="shared" si="18"/>
        <v>3073.6</v>
      </c>
      <c r="T237" s="39">
        <f>3073.6</f>
        <v>3073.6</v>
      </c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6.5" customHeight="1">
      <c r="A238" s="382"/>
      <c r="B238" s="381" t="s">
        <v>183</v>
      </c>
      <c r="C238" s="381" t="s">
        <v>22</v>
      </c>
      <c r="D238" s="381"/>
      <c r="E238" s="381" t="s">
        <v>99</v>
      </c>
      <c r="F238" s="223" t="s">
        <v>380</v>
      </c>
      <c r="G238" s="23" t="s">
        <v>24</v>
      </c>
      <c r="H238" s="48">
        <v>6</v>
      </c>
      <c r="I238" s="203">
        <v>2</v>
      </c>
      <c r="J238" s="203">
        <v>3</v>
      </c>
      <c r="K238" s="65">
        <v>4599.43</v>
      </c>
      <c r="L238" s="224">
        <v>2</v>
      </c>
      <c r="M238" s="50">
        <f t="shared" si="17"/>
        <v>2320.1799999999998</v>
      </c>
      <c r="N238" s="65">
        <v>2320.1799999999998</v>
      </c>
      <c r="O238" s="31"/>
      <c r="P238" s="108">
        <v>11</v>
      </c>
      <c r="Q238" s="65">
        <v>20748.419999999998</v>
      </c>
      <c r="R238" s="224">
        <v>11</v>
      </c>
      <c r="S238" s="50">
        <f t="shared" si="18"/>
        <v>20748.419999999998</v>
      </c>
      <c r="T238" s="65">
        <v>20748.419999999998</v>
      </c>
      <c r="U238" s="225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6.5" customHeight="1">
      <c r="A239" s="379"/>
      <c r="B239" s="380"/>
      <c r="C239" s="380"/>
      <c r="D239" s="380"/>
      <c r="E239" s="380"/>
      <c r="F239" s="233" t="s">
        <v>252</v>
      </c>
      <c r="G239" s="227" t="s">
        <v>28</v>
      </c>
      <c r="H239" s="292">
        <v>6</v>
      </c>
      <c r="I239" s="208">
        <v>1</v>
      </c>
      <c r="J239" s="208">
        <v>1</v>
      </c>
      <c r="K239" s="209">
        <v>3073.6</v>
      </c>
      <c r="L239" s="210"/>
      <c r="M239" s="211">
        <f t="shared" si="17"/>
        <v>0</v>
      </c>
      <c r="N239" s="211"/>
      <c r="O239" s="212"/>
      <c r="P239" s="262">
        <v>3</v>
      </c>
      <c r="Q239" s="209">
        <v>7185.1</v>
      </c>
      <c r="R239" s="290">
        <v>2</v>
      </c>
      <c r="S239" s="211">
        <f t="shared" si="18"/>
        <v>5378.8</v>
      </c>
      <c r="T239" s="211">
        <f>4034.1+1344.7</f>
        <v>5378.8</v>
      </c>
      <c r="U239" s="21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425</v>
      </c>
      <c r="C240" s="374" t="s">
        <v>22</v>
      </c>
      <c r="D240" s="374"/>
      <c r="E240" s="374" t="s">
        <v>131</v>
      </c>
      <c r="F240" s="204" t="s">
        <v>426</v>
      </c>
      <c r="G240" s="176" t="s">
        <v>24</v>
      </c>
      <c r="H240" s="61">
        <v>2</v>
      </c>
      <c r="I240" s="62">
        <v>1</v>
      </c>
      <c r="J240" s="62">
        <v>1</v>
      </c>
      <c r="K240" s="30">
        <v>2161.6999999999998</v>
      </c>
      <c r="L240" s="205">
        <v>2</v>
      </c>
      <c r="M240" s="26">
        <f t="shared" si="17"/>
        <v>3486.32</v>
      </c>
      <c r="N240" s="30">
        <v>3486.32</v>
      </c>
      <c r="O240" s="28"/>
      <c r="P240" s="275"/>
      <c r="Q240" s="26"/>
      <c r="R240" s="27"/>
      <c r="S240" s="26">
        <f t="shared" si="18"/>
        <v>0</v>
      </c>
      <c r="T240" s="26"/>
      <c r="U240" s="28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229" t="s">
        <v>25</v>
      </c>
      <c r="H241" s="106"/>
      <c r="I241" s="38"/>
      <c r="J241" s="38"/>
      <c r="K241" s="39"/>
      <c r="L241" s="40"/>
      <c r="M241" s="39">
        <f t="shared" si="17"/>
        <v>0</v>
      </c>
      <c r="N241" s="39"/>
      <c r="O241" s="41"/>
      <c r="P241" s="276"/>
      <c r="Q241" s="39"/>
      <c r="R241" s="40"/>
      <c r="S241" s="39">
        <f t="shared" si="18"/>
        <v>0</v>
      </c>
      <c r="T241" s="39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6"/>
      <c r="B242" s="377" t="s">
        <v>184</v>
      </c>
      <c r="C242" s="377" t="s">
        <v>22</v>
      </c>
      <c r="D242" s="377"/>
      <c r="E242" s="377" t="s">
        <v>27</v>
      </c>
      <c r="F242" s="223" t="s">
        <v>453</v>
      </c>
      <c r="G242" s="95" t="s">
        <v>24</v>
      </c>
      <c r="H242" s="265">
        <v>1</v>
      </c>
      <c r="I242" s="266">
        <v>1</v>
      </c>
      <c r="J242" s="266">
        <v>1</v>
      </c>
      <c r="K242" s="79">
        <v>950.9</v>
      </c>
      <c r="L242" s="268">
        <v>1</v>
      </c>
      <c r="M242" s="81">
        <f t="shared" si="17"/>
        <v>950.9</v>
      </c>
      <c r="N242" s="79">
        <v>950.9</v>
      </c>
      <c r="O242" s="219"/>
      <c r="P242" s="277"/>
      <c r="Q242" s="81"/>
      <c r="R242" s="80"/>
      <c r="S242" s="81">
        <f t="shared" si="18"/>
        <v>0</v>
      </c>
      <c r="T242" s="81"/>
      <c r="U242" s="219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253</v>
      </c>
      <c r="G243" s="227" t="s">
        <v>28</v>
      </c>
      <c r="H243" s="153">
        <v>4</v>
      </c>
      <c r="I243" s="130">
        <v>3</v>
      </c>
      <c r="J243" s="130">
        <v>3</v>
      </c>
      <c r="K243" s="114">
        <v>8675.82</v>
      </c>
      <c r="L243" s="270">
        <v>2</v>
      </c>
      <c r="M243" s="43">
        <f t="shared" si="17"/>
        <v>5301.96</v>
      </c>
      <c r="N243" s="43">
        <f>1921+3380.96</f>
        <v>5301.96</v>
      </c>
      <c r="O243" s="41"/>
      <c r="P243" s="113">
        <v>5</v>
      </c>
      <c r="Q243" s="114">
        <v>10565.5</v>
      </c>
      <c r="R243" s="270">
        <v>4</v>
      </c>
      <c r="S243" s="43">
        <f t="shared" si="18"/>
        <v>9989.2000000000007</v>
      </c>
      <c r="T243" s="114">
        <f>2958.34+3457.8+1267.86+2305.2</f>
        <v>9989.2000000000007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185</v>
      </c>
      <c r="C244" s="374" t="s">
        <v>22</v>
      </c>
      <c r="D244" s="374"/>
      <c r="E244" s="374" t="s">
        <v>27</v>
      </c>
      <c r="F244" s="204" t="s">
        <v>341</v>
      </c>
      <c r="G244" s="176" t="s">
        <v>24</v>
      </c>
      <c r="H244" s="98"/>
      <c r="I244" s="25"/>
      <c r="J244" s="25"/>
      <c r="K244" s="26"/>
      <c r="L244" s="27"/>
      <c r="M244" s="26">
        <f t="shared" si="17"/>
        <v>0</v>
      </c>
      <c r="N244" s="26"/>
      <c r="O244" s="31"/>
      <c r="P244" s="53">
        <v>2</v>
      </c>
      <c r="Q244" s="30">
        <v>2633.4</v>
      </c>
      <c r="R244" s="205">
        <v>2</v>
      </c>
      <c r="S244" s="26">
        <f t="shared" si="18"/>
        <v>2633.4</v>
      </c>
      <c r="T244" s="30">
        <v>2633.4</v>
      </c>
      <c r="U244" s="22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220" t="s">
        <v>342</v>
      </c>
      <c r="G245" s="229" t="s">
        <v>28</v>
      </c>
      <c r="H245" s="133">
        <v>3</v>
      </c>
      <c r="I245" s="57"/>
      <c r="J245" s="57"/>
      <c r="K245" s="43"/>
      <c r="L245" s="44"/>
      <c r="M245" s="43">
        <f t="shared" si="17"/>
        <v>0</v>
      </c>
      <c r="N245" s="43"/>
      <c r="O245" s="41"/>
      <c r="P245" s="113">
        <v>3</v>
      </c>
      <c r="Q245" s="114">
        <v>15773.67</v>
      </c>
      <c r="R245" s="270">
        <v>1</v>
      </c>
      <c r="S245" s="43">
        <f t="shared" si="18"/>
        <v>2994.47</v>
      </c>
      <c r="T245" s="43">
        <f>2994.47</f>
        <v>2994.47</v>
      </c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2"/>
      <c r="B246" s="374" t="s">
        <v>186</v>
      </c>
      <c r="C246" s="374" t="s">
        <v>22</v>
      </c>
      <c r="D246" s="374"/>
      <c r="E246" s="374" t="s">
        <v>99</v>
      </c>
      <c r="F246" s="232" t="s">
        <v>315</v>
      </c>
      <c r="G246" s="23" t="s">
        <v>24</v>
      </c>
      <c r="H246" s="48">
        <v>7</v>
      </c>
      <c r="I246" s="62">
        <v>4</v>
      </c>
      <c r="J246" s="62">
        <v>6</v>
      </c>
      <c r="K246" s="30">
        <v>15409.25</v>
      </c>
      <c r="L246" s="205">
        <v>5</v>
      </c>
      <c r="M246" s="26">
        <f t="shared" si="17"/>
        <v>12320.28</v>
      </c>
      <c r="N246" s="30">
        <v>12320.28</v>
      </c>
      <c r="O246" s="31"/>
      <c r="P246" s="53">
        <v>12</v>
      </c>
      <c r="Q246" s="30">
        <v>25258.31</v>
      </c>
      <c r="R246" s="205">
        <v>12</v>
      </c>
      <c r="S246" s="26">
        <f t="shared" si="18"/>
        <v>25258.31</v>
      </c>
      <c r="T246" s="30">
        <v>25258.31</v>
      </c>
      <c r="U246" s="22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0" t="s">
        <v>254</v>
      </c>
      <c r="G247" s="35" t="s">
        <v>28</v>
      </c>
      <c r="H247" s="153">
        <v>8</v>
      </c>
      <c r="I247" s="38"/>
      <c r="J247" s="38"/>
      <c r="K247" s="39"/>
      <c r="L247" s="40"/>
      <c r="M247" s="39">
        <f t="shared" si="17"/>
        <v>0</v>
      </c>
      <c r="N247" s="39"/>
      <c r="O247" s="41"/>
      <c r="P247" s="59"/>
      <c r="Q247" s="39"/>
      <c r="R247" s="40"/>
      <c r="S247" s="39">
        <f t="shared" si="18"/>
        <v>0</v>
      </c>
      <c r="T247" s="39"/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82"/>
      <c r="B248" s="381" t="s">
        <v>187</v>
      </c>
      <c r="C248" s="381" t="s">
        <v>22</v>
      </c>
      <c r="D248" s="381"/>
      <c r="E248" s="381" t="s">
        <v>131</v>
      </c>
      <c r="F248" s="223" t="s">
        <v>343</v>
      </c>
      <c r="G248" s="23" t="s">
        <v>24</v>
      </c>
      <c r="H248" s="48">
        <v>13</v>
      </c>
      <c r="I248" s="203">
        <v>11</v>
      </c>
      <c r="J248" s="203">
        <v>16</v>
      </c>
      <c r="K248" s="65">
        <v>32555.18</v>
      </c>
      <c r="L248" s="224">
        <v>13</v>
      </c>
      <c r="M248" s="50">
        <f t="shared" si="17"/>
        <v>25793.23</v>
      </c>
      <c r="N248" s="65">
        <v>25793.23</v>
      </c>
      <c r="O248" s="225"/>
      <c r="P248" s="108">
        <v>18</v>
      </c>
      <c r="Q248" s="65">
        <v>50634.13</v>
      </c>
      <c r="R248" s="224">
        <v>18</v>
      </c>
      <c r="S248" s="50">
        <f t="shared" si="18"/>
        <v>50634.13</v>
      </c>
      <c r="T248" s="65">
        <v>50634.13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9"/>
      <c r="B249" s="380"/>
      <c r="C249" s="380"/>
      <c r="D249" s="380"/>
      <c r="E249" s="380"/>
      <c r="F249" s="247"/>
      <c r="G249" s="227" t="s">
        <v>25</v>
      </c>
      <c r="H249" s="153">
        <v>1</v>
      </c>
      <c r="I249" s="130">
        <v>1</v>
      </c>
      <c r="J249" s="130">
        <v>1</v>
      </c>
      <c r="K249" s="114">
        <v>1728.9</v>
      </c>
      <c r="L249" s="270">
        <v>1</v>
      </c>
      <c r="M249" s="114">
        <v>1728.9</v>
      </c>
      <c r="N249" s="114">
        <v>1728.9</v>
      </c>
      <c r="O249" s="41"/>
      <c r="P249" s="113">
        <v>4</v>
      </c>
      <c r="Q249" s="114">
        <v>30582.32</v>
      </c>
      <c r="R249" s="270">
        <v>3</v>
      </c>
      <c r="S249" s="114">
        <v>23282.52</v>
      </c>
      <c r="T249" s="114">
        <v>23282.52</v>
      </c>
      <c r="U249" s="23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429</v>
      </c>
      <c r="C250" s="374" t="s">
        <v>22</v>
      </c>
      <c r="D250" s="374"/>
      <c r="E250" s="374" t="s">
        <v>27</v>
      </c>
      <c r="F250" s="204" t="s">
        <v>446</v>
      </c>
      <c r="G250" s="176" t="s">
        <v>24</v>
      </c>
      <c r="H250" s="151"/>
      <c r="I250" s="25"/>
      <c r="J250" s="25"/>
      <c r="K250" s="26"/>
      <c r="L250" s="27"/>
      <c r="M250" s="26">
        <f t="shared" ref="M250:M283" si="19">N250+O250</f>
        <v>0</v>
      </c>
      <c r="N250" s="30"/>
      <c r="O250" s="31"/>
      <c r="P250" s="53">
        <v>1</v>
      </c>
      <c r="Q250" s="30">
        <v>36784.050000000003</v>
      </c>
      <c r="R250" s="205">
        <v>1</v>
      </c>
      <c r="S250" s="26">
        <f t="shared" ref="S250:S276" si="20">T250+U250</f>
        <v>36784.050000000003</v>
      </c>
      <c r="T250" s="30">
        <v>36784.050000000003</v>
      </c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/>
      <c r="G251" s="229" t="s">
        <v>28</v>
      </c>
      <c r="H251" s="56"/>
      <c r="I251" s="57"/>
      <c r="J251" s="57"/>
      <c r="K251" s="43"/>
      <c r="L251" s="44"/>
      <c r="M251" s="43">
        <f t="shared" si="19"/>
        <v>0</v>
      </c>
      <c r="N251" s="43"/>
      <c r="O251" s="45"/>
      <c r="P251" s="113"/>
      <c r="Q251" s="114"/>
      <c r="R251" s="44"/>
      <c r="S251" s="43">
        <f t="shared" si="20"/>
        <v>0</v>
      </c>
      <c r="T251" s="114"/>
      <c r="U251" s="222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72"/>
      <c r="B252" s="374" t="s">
        <v>188</v>
      </c>
      <c r="C252" s="374" t="s">
        <v>39</v>
      </c>
      <c r="D252" s="374"/>
      <c r="E252" s="374" t="s">
        <v>27</v>
      </c>
      <c r="F252" s="22"/>
      <c r="G252" s="176" t="s">
        <v>24</v>
      </c>
      <c r="H252" s="151">
        <v>2</v>
      </c>
      <c r="I252" s="25"/>
      <c r="J252" s="25"/>
      <c r="K252" s="26"/>
      <c r="L252" s="27"/>
      <c r="M252" s="26">
        <f t="shared" si="19"/>
        <v>0</v>
      </c>
      <c r="N252" s="26"/>
      <c r="O252" s="31"/>
      <c r="P252" s="53">
        <v>1</v>
      </c>
      <c r="Q252" s="30">
        <v>2000</v>
      </c>
      <c r="R252" s="27"/>
      <c r="S252" s="26">
        <f t="shared" si="20"/>
        <v>0</v>
      </c>
      <c r="T252" s="26"/>
      <c r="U252" s="3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20.25" customHeight="1">
      <c r="A253" s="373"/>
      <c r="B253" s="375"/>
      <c r="C253" s="375"/>
      <c r="D253" s="375"/>
      <c r="E253" s="375"/>
      <c r="F253" s="220" t="s">
        <v>344</v>
      </c>
      <c r="G253" s="229" t="s">
        <v>28</v>
      </c>
      <c r="H253" s="56">
        <v>3</v>
      </c>
      <c r="I253" s="130">
        <v>1</v>
      </c>
      <c r="J253" s="130">
        <v>1</v>
      </c>
      <c r="K253" s="114">
        <v>1052.5999999999999</v>
      </c>
      <c r="L253" s="44"/>
      <c r="M253" s="43">
        <f t="shared" si="19"/>
        <v>0</v>
      </c>
      <c r="N253" s="43"/>
      <c r="O253" s="222">
        <v>0</v>
      </c>
      <c r="P253" s="113">
        <v>13</v>
      </c>
      <c r="Q253" s="114">
        <v>15160.1</v>
      </c>
      <c r="R253" s="44"/>
      <c r="S253" s="43">
        <f t="shared" si="20"/>
        <v>4050.2</v>
      </c>
      <c r="T253" s="114">
        <v>4050.2</v>
      </c>
      <c r="U253" s="222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189</v>
      </c>
      <c r="C254" s="374" t="s">
        <v>39</v>
      </c>
      <c r="D254" s="374" t="s">
        <v>427</v>
      </c>
      <c r="E254" s="374" t="s">
        <v>27</v>
      </c>
      <c r="F254" s="232" t="s">
        <v>428</v>
      </c>
      <c r="G254" s="23" t="s">
        <v>24</v>
      </c>
      <c r="H254" s="24">
        <v>15</v>
      </c>
      <c r="I254" s="62">
        <v>12</v>
      </c>
      <c r="J254" s="62">
        <v>16</v>
      </c>
      <c r="K254" s="30">
        <v>30360.41</v>
      </c>
      <c r="L254" s="205">
        <v>16</v>
      </c>
      <c r="M254" s="26">
        <f t="shared" si="19"/>
        <v>30275.46</v>
      </c>
      <c r="N254" s="30">
        <v>30275.46</v>
      </c>
      <c r="O254" s="241"/>
      <c r="P254" s="29">
        <v>2</v>
      </c>
      <c r="Q254" s="30">
        <v>1870.81</v>
      </c>
      <c r="R254" s="205">
        <v>2</v>
      </c>
      <c r="S254" s="26">
        <f t="shared" si="20"/>
        <v>1870.81</v>
      </c>
      <c r="T254" s="30">
        <v>1870.81</v>
      </c>
      <c r="U254" s="2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256</v>
      </c>
      <c r="G255" s="35" t="s">
        <v>28</v>
      </c>
      <c r="H255" s="66">
        <v>4</v>
      </c>
      <c r="I255" s="37">
        <v>1</v>
      </c>
      <c r="J255" s="37">
        <v>1</v>
      </c>
      <c r="K255" s="68">
        <v>1921</v>
      </c>
      <c r="L255" s="285">
        <v>1</v>
      </c>
      <c r="M255" s="39">
        <f t="shared" si="19"/>
        <v>1921</v>
      </c>
      <c r="N255" s="39">
        <f>1921</f>
        <v>1921</v>
      </c>
      <c r="O255" s="41"/>
      <c r="P255" s="69"/>
      <c r="Q255" s="39"/>
      <c r="R255" s="40"/>
      <c r="S255" s="39">
        <f t="shared" si="20"/>
        <v>0</v>
      </c>
      <c r="T255" s="39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190</v>
      </c>
      <c r="C256" s="381" t="s">
        <v>39</v>
      </c>
      <c r="D256" s="381" t="s">
        <v>191</v>
      </c>
      <c r="E256" s="381" t="s">
        <v>27</v>
      </c>
      <c r="F256" s="46"/>
      <c r="G256" s="47" t="s">
        <v>24</v>
      </c>
      <c r="H256" s="98"/>
      <c r="I256" s="49"/>
      <c r="J256" s="49"/>
      <c r="K256" s="50"/>
      <c r="L256" s="51"/>
      <c r="M256" s="50">
        <f t="shared" si="19"/>
        <v>0</v>
      </c>
      <c r="N256" s="50"/>
      <c r="O256" s="31"/>
      <c r="P256" s="123"/>
      <c r="Q256" s="50"/>
      <c r="R256" s="51"/>
      <c r="S256" s="50">
        <f t="shared" si="20"/>
        <v>0</v>
      </c>
      <c r="T256" s="50"/>
      <c r="U256" s="3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3"/>
      <c r="B257" s="375"/>
      <c r="C257" s="375"/>
      <c r="D257" s="375"/>
      <c r="E257" s="375"/>
      <c r="F257" s="220" t="s">
        <v>345</v>
      </c>
      <c r="G257" s="35" t="s">
        <v>28</v>
      </c>
      <c r="H257" s="112">
        <v>2</v>
      </c>
      <c r="I257" s="57"/>
      <c r="J257" s="57"/>
      <c r="K257" s="43"/>
      <c r="L257" s="44"/>
      <c r="M257" s="43">
        <f t="shared" si="19"/>
        <v>0</v>
      </c>
      <c r="N257" s="43"/>
      <c r="O257" s="45"/>
      <c r="P257" s="115">
        <v>4</v>
      </c>
      <c r="Q257" s="68">
        <v>5106.7</v>
      </c>
      <c r="R257" s="285">
        <v>5</v>
      </c>
      <c r="S257" s="39">
        <f t="shared" si="20"/>
        <v>6739.58</v>
      </c>
      <c r="T257" s="68">
        <f>3818+2921.58</f>
        <v>6739.58</v>
      </c>
      <c r="U257" s="41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192</v>
      </c>
      <c r="C258" s="374" t="s">
        <v>22</v>
      </c>
      <c r="D258" s="374"/>
      <c r="E258" s="374" t="s">
        <v>193</v>
      </c>
      <c r="F258" s="204" t="s">
        <v>318</v>
      </c>
      <c r="G258" s="176" t="s">
        <v>24</v>
      </c>
      <c r="H258" s="61">
        <v>10</v>
      </c>
      <c r="I258" s="62">
        <v>8</v>
      </c>
      <c r="J258" s="62">
        <v>9</v>
      </c>
      <c r="K258" s="30">
        <v>9532.68</v>
      </c>
      <c r="L258" s="205">
        <v>10</v>
      </c>
      <c r="M258" s="26">
        <f t="shared" si="19"/>
        <v>12465.79</v>
      </c>
      <c r="N258" s="30">
        <v>12465.79</v>
      </c>
      <c r="O258" s="100"/>
      <c r="P258" s="64">
        <v>20</v>
      </c>
      <c r="Q258" s="65">
        <v>52299.07</v>
      </c>
      <c r="R258" s="224">
        <v>20</v>
      </c>
      <c r="S258" s="50">
        <f t="shared" si="20"/>
        <v>52584.43</v>
      </c>
      <c r="T258" s="65">
        <v>52584.43</v>
      </c>
      <c r="U258" s="225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346</v>
      </c>
      <c r="G259" s="229" t="s">
        <v>28</v>
      </c>
      <c r="H259" s="133">
        <v>1</v>
      </c>
      <c r="I259" s="37">
        <v>1</v>
      </c>
      <c r="J259" s="37">
        <v>1</v>
      </c>
      <c r="K259" s="68">
        <v>1728.9</v>
      </c>
      <c r="L259" s="285">
        <v>1</v>
      </c>
      <c r="M259" s="39">
        <f t="shared" si="19"/>
        <v>1728.9</v>
      </c>
      <c r="N259" s="39">
        <f>1728.9</f>
        <v>1728.9</v>
      </c>
      <c r="O259" s="41"/>
      <c r="P259" s="42"/>
      <c r="Q259" s="43"/>
      <c r="R259" s="44"/>
      <c r="S259" s="43">
        <f t="shared" si="20"/>
        <v>0</v>
      </c>
      <c r="T259" s="43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194</v>
      </c>
      <c r="C260" s="377" t="s">
        <v>39</v>
      </c>
      <c r="D260" s="377" t="s">
        <v>319</v>
      </c>
      <c r="E260" s="374" t="s">
        <v>160</v>
      </c>
      <c r="F260" s="232" t="s">
        <v>320</v>
      </c>
      <c r="G260" s="23" t="s">
        <v>24</v>
      </c>
      <c r="H260" s="48">
        <v>5</v>
      </c>
      <c r="I260" s="203">
        <v>4</v>
      </c>
      <c r="J260" s="203">
        <v>4</v>
      </c>
      <c r="K260" s="65">
        <v>2968.33</v>
      </c>
      <c r="L260" s="316">
        <v>4</v>
      </c>
      <c r="M260" s="129">
        <f t="shared" si="19"/>
        <v>2968.33</v>
      </c>
      <c r="N260" s="65">
        <v>2968.33</v>
      </c>
      <c r="O260" s="225"/>
      <c r="P260" s="29">
        <v>3</v>
      </c>
      <c r="Q260" s="30">
        <v>6107.21</v>
      </c>
      <c r="R260" s="205">
        <v>3</v>
      </c>
      <c r="S260" s="26">
        <f t="shared" si="20"/>
        <v>6107.21</v>
      </c>
      <c r="T260" s="30">
        <v>6107.21</v>
      </c>
      <c r="U260" s="225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347</v>
      </c>
      <c r="G261" s="35" t="s">
        <v>28</v>
      </c>
      <c r="H261" s="117">
        <v>3</v>
      </c>
      <c r="I261" s="37"/>
      <c r="J261" s="37"/>
      <c r="K261" s="39"/>
      <c r="L261" s="44"/>
      <c r="M261" s="43">
        <f t="shared" si="19"/>
        <v>0</v>
      </c>
      <c r="N261" s="39"/>
      <c r="O261" s="41"/>
      <c r="P261" s="37">
        <v>6</v>
      </c>
      <c r="Q261" s="37">
        <v>16253.33</v>
      </c>
      <c r="R261" s="285">
        <v>4</v>
      </c>
      <c r="S261" s="39">
        <f t="shared" si="20"/>
        <v>8529.17</v>
      </c>
      <c r="T261" s="68">
        <f>576.3+4045.34+3273.6+633.93</f>
        <v>8529.17</v>
      </c>
      <c r="U261" s="2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82"/>
      <c r="B262" s="381" t="s">
        <v>195</v>
      </c>
      <c r="C262" s="377" t="s">
        <v>39</v>
      </c>
      <c r="D262" s="377" t="s">
        <v>231</v>
      </c>
      <c r="E262" s="381" t="s">
        <v>27</v>
      </c>
      <c r="F262" s="204" t="s">
        <v>232</v>
      </c>
      <c r="G262" s="47" t="s">
        <v>24</v>
      </c>
      <c r="H262" s="61">
        <v>2</v>
      </c>
      <c r="I262" s="25"/>
      <c r="J262" s="25"/>
      <c r="K262" s="26"/>
      <c r="L262" s="205"/>
      <c r="M262" s="26">
        <f t="shared" si="19"/>
        <v>0</v>
      </c>
      <c r="N262" s="26"/>
      <c r="O262" s="31"/>
      <c r="P262" s="64">
        <v>7</v>
      </c>
      <c r="Q262" s="65">
        <v>46859.35</v>
      </c>
      <c r="R262" s="224">
        <v>7</v>
      </c>
      <c r="S262" s="50">
        <f t="shared" si="20"/>
        <v>46859.35</v>
      </c>
      <c r="T262" s="65">
        <v>46859.35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1" t="s">
        <v>260</v>
      </c>
      <c r="G263" s="55" t="s">
        <v>28</v>
      </c>
      <c r="H263" s="178">
        <v>5</v>
      </c>
      <c r="I263" s="130">
        <v>2</v>
      </c>
      <c r="J263" s="130">
        <v>2</v>
      </c>
      <c r="K263" s="114">
        <v>1997.84</v>
      </c>
      <c r="L263" s="270">
        <v>2</v>
      </c>
      <c r="M263" s="43">
        <f t="shared" si="19"/>
        <v>1997.84</v>
      </c>
      <c r="N263" s="43">
        <f>1152.6+845.24</f>
        <v>1997.84</v>
      </c>
      <c r="O263" s="222"/>
      <c r="P263" s="130">
        <v>7</v>
      </c>
      <c r="Q263" s="130">
        <v>24706.45</v>
      </c>
      <c r="R263" s="270">
        <v>10</v>
      </c>
      <c r="S263" s="43">
        <f t="shared" si="20"/>
        <v>34770.1</v>
      </c>
      <c r="T263" s="114">
        <f>4994.6+12678.6+576.3+6915.6+6915.6+576.3+2113.1</f>
        <v>34770.1</v>
      </c>
      <c r="U263" s="222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196</v>
      </c>
      <c r="C264" s="381" t="s">
        <v>22</v>
      </c>
      <c r="D264" s="374"/>
      <c r="E264" s="381" t="s">
        <v>27</v>
      </c>
      <c r="F264" s="22"/>
      <c r="G264" s="23" t="s">
        <v>24</v>
      </c>
      <c r="H264" s="119"/>
      <c r="I264" s="25"/>
      <c r="J264" s="25"/>
      <c r="K264" s="26"/>
      <c r="L264" s="27"/>
      <c r="M264" s="26">
        <f t="shared" si="19"/>
        <v>0</v>
      </c>
      <c r="N264" s="26"/>
      <c r="O264" s="28"/>
      <c r="P264" s="120"/>
      <c r="Q264" s="26"/>
      <c r="R264" s="27"/>
      <c r="S264" s="26">
        <f t="shared" si="20"/>
        <v>0</v>
      </c>
      <c r="T264" s="26"/>
      <c r="U264" s="28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348</v>
      </c>
      <c r="G265" s="35" t="s">
        <v>28</v>
      </c>
      <c r="H265" s="66">
        <v>5</v>
      </c>
      <c r="I265" s="38"/>
      <c r="J265" s="38"/>
      <c r="K265" s="39"/>
      <c r="L265" s="40"/>
      <c r="M265" s="39">
        <f t="shared" si="19"/>
        <v>0</v>
      </c>
      <c r="N265" s="39"/>
      <c r="O265" s="41"/>
      <c r="P265" s="67">
        <v>4</v>
      </c>
      <c r="Q265" s="68">
        <v>11282.42</v>
      </c>
      <c r="R265" s="285">
        <v>4</v>
      </c>
      <c r="S265" s="39">
        <f t="shared" si="20"/>
        <v>11576</v>
      </c>
      <c r="T265" s="39">
        <f>2547.3+4226.2+2881.5+1921</f>
        <v>11576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197</v>
      </c>
      <c r="C266" s="381" t="s">
        <v>39</v>
      </c>
      <c r="D266" s="381" t="s">
        <v>381</v>
      </c>
      <c r="E266" s="381" t="s">
        <v>27</v>
      </c>
      <c r="F266" s="204" t="s">
        <v>382</v>
      </c>
      <c r="G266" s="47" t="s">
        <v>24</v>
      </c>
      <c r="H266" s="98"/>
      <c r="I266" s="49"/>
      <c r="J266" s="49"/>
      <c r="K266" s="50"/>
      <c r="L266" s="51"/>
      <c r="M266" s="50">
        <f t="shared" si="19"/>
        <v>0</v>
      </c>
      <c r="N266" s="50"/>
      <c r="O266" s="31"/>
      <c r="P266" s="108">
        <v>1</v>
      </c>
      <c r="Q266" s="65">
        <v>748.24</v>
      </c>
      <c r="R266" s="224">
        <v>1</v>
      </c>
      <c r="S266" s="50">
        <f t="shared" si="20"/>
        <v>748.24</v>
      </c>
      <c r="T266" s="65">
        <v>748.24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9"/>
      <c r="B267" s="380"/>
      <c r="C267" s="380"/>
      <c r="D267" s="380"/>
      <c r="E267" s="380"/>
      <c r="F267" s="221" t="s">
        <v>349</v>
      </c>
      <c r="G267" s="55" t="s">
        <v>28</v>
      </c>
      <c r="H267" s="153">
        <v>4</v>
      </c>
      <c r="I267" s="130">
        <v>2</v>
      </c>
      <c r="J267" s="130">
        <v>2</v>
      </c>
      <c r="K267" s="114">
        <v>3265.7</v>
      </c>
      <c r="L267" s="270">
        <v>2</v>
      </c>
      <c r="M267" s="43">
        <f t="shared" si="19"/>
        <v>2977.55</v>
      </c>
      <c r="N267" s="43">
        <f>1056.55+1921</f>
        <v>2977.55</v>
      </c>
      <c r="O267" s="41"/>
      <c r="P267" s="103"/>
      <c r="Q267" s="43"/>
      <c r="R267" s="270">
        <v>2</v>
      </c>
      <c r="S267" s="43">
        <f t="shared" si="20"/>
        <v>3765.16</v>
      </c>
      <c r="T267" s="114">
        <f>1440.75+2324.41</f>
        <v>3765.16</v>
      </c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198</v>
      </c>
      <c r="C268" s="374" t="s">
        <v>22</v>
      </c>
      <c r="D268" s="374"/>
      <c r="E268" s="374" t="s">
        <v>112</v>
      </c>
      <c r="F268" s="204" t="s">
        <v>383</v>
      </c>
      <c r="G268" s="23" t="s">
        <v>24</v>
      </c>
      <c r="H268" s="48">
        <v>9</v>
      </c>
      <c r="I268" s="62">
        <v>5</v>
      </c>
      <c r="J268" s="62">
        <v>5</v>
      </c>
      <c r="K268" s="30">
        <v>5867.69</v>
      </c>
      <c r="L268" s="205">
        <v>4</v>
      </c>
      <c r="M268" s="26">
        <f t="shared" si="19"/>
        <v>2486.73</v>
      </c>
      <c r="N268" s="30">
        <v>2486.73</v>
      </c>
      <c r="O268" s="31"/>
      <c r="P268" s="53">
        <v>12</v>
      </c>
      <c r="Q268" s="30">
        <v>46848.4</v>
      </c>
      <c r="R268" s="205">
        <v>11</v>
      </c>
      <c r="S268" s="26">
        <f t="shared" si="20"/>
        <v>44151.34</v>
      </c>
      <c r="T268" s="30">
        <v>44151.34</v>
      </c>
      <c r="U268" s="225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350</v>
      </c>
      <c r="G269" s="35" t="s">
        <v>28</v>
      </c>
      <c r="H269" s="153">
        <v>2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59"/>
      <c r="Q269" s="39"/>
      <c r="R269" s="40"/>
      <c r="S269" s="39">
        <f t="shared" si="20"/>
        <v>0</v>
      </c>
      <c r="T269" s="39"/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199</v>
      </c>
      <c r="C270" s="381" t="s">
        <v>22</v>
      </c>
      <c r="D270" s="381"/>
      <c r="E270" s="381" t="s">
        <v>131</v>
      </c>
      <c r="F270" s="46"/>
      <c r="G270" s="23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23"/>
      <c r="Q270" s="50"/>
      <c r="R270" s="51"/>
      <c r="S270" s="50">
        <f t="shared" si="20"/>
        <v>0</v>
      </c>
      <c r="T270" s="50"/>
      <c r="U270" s="3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126"/>
      <c r="G271" s="55" t="s">
        <v>25</v>
      </c>
      <c r="H271" s="118"/>
      <c r="I271" s="57"/>
      <c r="J271" s="57"/>
      <c r="K271" s="43"/>
      <c r="L271" s="44"/>
      <c r="M271" s="43">
        <f t="shared" si="19"/>
        <v>0</v>
      </c>
      <c r="N271" s="43"/>
      <c r="O271" s="41"/>
      <c r="P271" s="103"/>
      <c r="Q271" s="43"/>
      <c r="R271" s="44"/>
      <c r="S271" s="43">
        <f t="shared" si="20"/>
        <v>0</v>
      </c>
      <c r="T271" s="43"/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200</v>
      </c>
      <c r="C272" s="374" t="s">
        <v>39</v>
      </c>
      <c r="D272" s="374" t="s">
        <v>456</v>
      </c>
      <c r="E272" s="374" t="s">
        <v>27</v>
      </c>
      <c r="F272" s="204" t="s">
        <v>457</v>
      </c>
      <c r="G272" s="23" t="s">
        <v>24</v>
      </c>
      <c r="H272" s="61">
        <v>3</v>
      </c>
      <c r="I272" s="62">
        <v>3</v>
      </c>
      <c r="J272" s="62">
        <v>4</v>
      </c>
      <c r="K272" s="30">
        <v>6297.38</v>
      </c>
      <c r="L272" s="205">
        <v>5</v>
      </c>
      <c r="M272" s="26">
        <f t="shared" si="19"/>
        <v>6859.34</v>
      </c>
      <c r="N272" s="30">
        <v>6859.34</v>
      </c>
      <c r="O272" s="31"/>
      <c r="P272" s="29">
        <v>6</v>
      </c>
      <c r="Q272" s="30">
        <v>21652.240000000002</v>
      </c>
      <c r="R272" s="205">
        <v>6</v>
      </c>
      <c r="S272" s="26">
        <f t="shared" si="20"/>
        <v>21652.240000000002</v>
      </c>
      <c r="T272" s="30">
        <v>21652.240000000002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33" t="s">
        <v>466</v>
      </c>
      <c r="G273" s="227" t="s">
        <v>28</v>
      </c>
      <c r="H273" s="207">
        <v>2</v>
      </c>
      <c r="I273" s="208">
        <v>1</v>
      </c>
      <c r="J273" s="208">
        <v>1</v>
      </c>
      <c r="K273" s="209">
        <v>1056.55</v>
      </c>
      <c r="L273" s="290">
        <v>1</v>
      </c>
      <c r="M273" s="211">
        <f t="shared" si="19"/>
        <v>1056.55</v>
      </c>
      <c r="N273" s="211">
        <f>1056.55</f>
        <v>1056.55</v>
      </c>
      <c r="O273" s="212"/>
      <c r="P273" s="284"/>
      <c r="Q273" s="211"/>
      <c r="R273" s="290">
        <v>1</v>
      </c>
      <c r="S273" s="211">
        <f t="shared" si="20"/>
        <v>1921</v>
      </c>
      <c r="T273" s="209">
        <v>1921</v>
      </c>
      <c r="U273" s="212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2"/>
      <c r="B274" s="374" t="s">
        <v>430</v>
      </c>
      <c r="C274" s="374" t="s">
        <v>39</v>
      </c>
      <c r="D274" s="374" t="s">
        <v>439</v>
      </c>
      <c r="E274" s="374" t="s">
        <v>27</v>
      </c>
      <c r="F274" s="204" t="s">
        <v>440</v>
      </c>
      <c r="G274" s="213" t="s">
        <v>24</v>
      </c>
      <c r="H274" s="61"/>
      <c r="I274" s="62"/>
      <c r="J274" s="62"/>
      <c r="K274" s="30"/>
      <c r="L274" s="27"/>
      <c r="M274" s="26">
        <f t="shared" si="19"/>
        <v>0</v>
      </c>
      <c r="N274" s="26"/>
      <c r="O274" s="241"/>
      <c r="P274" s="214"/>
      <c r="Q274" s="30"/>
      <c r="R274" s="205"/>
      <c r="S274" s="26">
        <f t="shared" si="20"/>
        <v>0</v>
      </c>
      <c r="T274" s="30"/>
      <c r="U274" s="28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3"/>
      <c r="B275" s="375"/>
      <c r="C275" s="375"/>
      <c r="D275" s="375"/>
      <c r="E275" s="375"/>
      <c r="F275" s="220"/>
      <c r="G275" s="215" t="s">
        <v>28</v>
      </c>
      <c r="H275" s="117"/>
      <c r="I275" s="37"/>
      <c r="J275" s="37"/>
      <c r="K275" s="68"/>
      <c r="L275" s="40"/>
      <c r="M275" s="39">
        <f t="shared" si="19"/>
        <v>0</v>
      </c>
      <c r="N275" s="39"/>
      <c r="O275" s="234"/>
      <c r="P275" s="217"/>
      <c r="Q275" s="68"/>
      <c r="R275" s="285"/>
      <c r="S275" s="39">
        <f t="shared" si="20"/>
        <v>0</v>
      </c>
      <c r="T275" s="68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6"/>
      <c r="B276" s="377" t="s">
        <v>201</v>
      </c>
      <c r="C276" s="377" t="s">
        <v>39</v>
      </c>
      <c r="D276" s="377" t="s">
        <v>385</v>
      </c>
      <c r="E276" s="377" t="s">
        <v>386</v>
      </c>
      <c r="F276" s="232" t="s">
        <v>387</v>
      </c>
      <c r="G276" s="95" t="s">
        <v>24</v>
      </c>
      <c r="H276" s="265">
        <v>13</v>
      </c>
      <c r="I276" s="266">
        <v>12</v>
      </c>
      <c r="J276" s="266">
        <v>19</v>
      </c>
      <c r="K276" s="79">
        <v>27305.66</v>
      </c>
      <c r="L276" s="268">
        <v>19</v>
      </c>
      <c r="M276" s="81">
        <f t="shared" si="19"/>
        <v>27305.66</v>
      </c>
      <c r="N276" s="79">
        <v>27305.66</v>
      </c>
      <c r="O276" s="313"/>
      <c r="P276" s="267">
        <v>2</v>
      </c>
      <c r="Q276" s="79">
        <v>4356.83</v>
      </c>
      <c r="R276" s="268">
        <v>2</v>
      </c>
      <c r="S276" s="81">
        <f t="shared" si="20"/>
        <v>4356.83</v>
      </c>
      <c r="T276" s="79">
        <v>4356.83</v>
      </c>
      <c r="U276" s="82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105"/>
      <c r="G277" s="35" t="s">
        <v>25</v>
      </c>
      <c r="H277" s="117">
        <v>1</v>
      </c>
      <c r="I277" s="38"/>
      <c r="J277" s="38"/>
      <c r="K277" s="39"/>
      <c r="L277" s="40"/>
      <c r="M277" s="39">
        <f t="shared" si="19"/>
        <v>0</v>
      </c>
      <c r="N277" s="39"/>
      <c r="O277" s="58"/>
      <c r="P277" s="115">
        <v>2</v>
      </c>
      <c r="Q277" s="68">
        <v>4418.3</v>
      </c>
      <c r="R277" s="285">
        <v>2</v>
      </c>
      <c r="S277" s="68">
        <v>4418.3</v>
      </c>
      <c r="T277" s="68">
        <v>4418.3</v>
      </c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202</v>
      </c>
      <c r="C278" s="381" t="s">
        <v>39</v>
      </c>
      <c r="D278" s="377" t="s">
        <v>441</v>
      </c>
      <c r="E278" s="381" t="s">
        <v>27</v>
      </c>
      <c r="F278" s="204" t="s">
        <v>442</v>
      </c>
      <c r="G278" s="47" t="s">
        <v>24</v>
      </c>
      <c r="H278" s="48">
        <v>2</v>
      </c>
      <c r="I278" s="203">
        <v>2</v>
      </c>
      <c r="J278" s="203">
        <v>2</v>
      </c>
      <c r="K278" s="65">
        <v>2382.04</v>
      </c>
      <c r="L278" s="224">
        <v>2</v>
      </c>
      <c r="M278" s="50">
        <f t="shared" si="19"/>
        <v>2382.04</v>
      </c>
      <c r="N278" s="65">
        <v>2382.04</v>
      </c>
      <c r="O278" s="31"/>
      <c r="P278" s="108">
        <v>2</v>
      </c>
      <c r="Q278" s="65">
        <v>4082.51</v>
      </c>
      <c r="R278" s="224">
        <v>2</v>
      </c>
      <c r="S278" s="50">
        <f t="shared" ref="S278:S282" si="21">T278+U278</f>
        <v>4082.51</v>
      </c>
      <c r="T278" s="65">
        <v>4082.51</v>
      </c>
      <c r="U278" s="225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1" t="s">
        <v>262</v>
      </c>
      <c r="G279" s="55" t="s">
        <v>28</v>
      </c>
      <c r="H279" s="112">
        <v>2</v>
      </c>
      <c r="I279" s="130">
        <v>1</v>
      </c>
      <c r="J279" s="130">
        <v>1</v>
      </c>
      <c r="K279" s="114">
        <v>1479.17</v>
      </c>
      <c r="L279" s="316">
        <v>1</v>
      </c>
      <c r="M279" s="129">
        <f t="shared" si="19"/>
        <v>1479.17</v>
      </c>
      <c r="N279" s="43">
        <f>1479.17</f>
        <v>1479.17</v>
      </c>
      <c r="O279" s="45"/>
      <c r="P279" s="113">
        <v>4</v>
      </c>
      <c r="Q279" s="114">
        <v>17905.400000000001</v>
      </c>
      <c r="R279" s="316">
        <v>3</v>
      </c>
      <c r="S279" s="129">
        <f t="shared" si="21"/>
        <v>12102.3</v>
      </c>
      <c r="T279" s="114">
        <f>3649.9+1344.7+7107.7</f>
        <v>12102.3</v>
      </c>
      <c r="U279" s="4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2"/>
      <c r="B280" s="374" t="s">
        <v>203</v>
      </c>
      <c r="C280" s="374"/>
      <c r="D280" s="374"/>
      <c r="E280" s="374" t="s">
        <v>27</v>
      </c>
      <c r="F280" s="60"/>
      <c r="G280" s="23" t="s">
        <v>24</v>
      </c>
      <c r="H280" s="61">
        <v>2</v>
      </c>
      <c r="I280" s="25"/>
      <c r="J280" s="25"/>
      <c r="K280" s="26"/>
      <c r="L280" s="27"/>
      <c r="M280" s="26">
        <f t="shared" si="19"/>
        <v>0</v>
      </c>
      <c r="N280" s="26"/>
      <c r="O280" s="28"/>
      <c r="P280" s="120"/>
      <c r="Q280" s="26"/>
      <c r="R280" s="27"/>
      <c r="S280" s="26">
        <f t="shared" si="21"/>
        <v>0</v>
      </c>
      <c r="T280" s="26"/>
      <c r="U280" s="28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34"/>
      <c r="G281" s="35" t="s">
        <v>28</v>
      </c>
      <c r="H281" s="117"/>
      <c r="I281" s="38"/>
      <c r="J281" s="38"/>
      <c r="K281" s="39"/>
      <c r="L281" s="40"/>
      <c r="M281" s="39">
        <f t="shared" si="19"/>
        <v>0</v>
      </c>
      <c r="N281" s="39"/>
      <c r="O281" s="41"/>
      <c r="P281" s="69"/>
      <c r="Q281" s="39"/>
      <c r="R281" s="40"/>
      <c r="S281" s="39">
        <f t="shared" si="21"/>
        <v>0</v>
      </c>
      <c r="T281" s="39"/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204</v>
      </c>
      <c r="C282" s="381" t="s">
        <v>22</v>
      </c>
      <c r="D282" s="381"/>
      <c r="E282" s="381" t="s">
        <v>23</v>
      </c>
      <c r="F282" s="204" t="s">
        <v>431</v>
      </c>
      <c r="G282" s="47" t="s">
        <v>24</v>
      </c>
      <c r="H282" s="48">
        <v>9</v>
      </c>
      <c r="I282" s="203">
        <v>5</v>
      </c>
      <c r="J282" s="203">
        <v>6</v>
      </c>
      <c r="K282" s="65">
        <v>8254.93</v>
      </c>
      <c r="L282" s="224">
        <v>6</v>
      </c>
      <c r="M282" s="50">
        <f t="shared" si="19"/>
        <v>8254.93</v>
      </c>
      <c r="N282" s="65">
        <v>8254.93</v>
      </c>
      <c r="O282" s="225"/>
      <c r="P282" s="108">
        <v>4</v>
      </c>
      <c r="Q282" s="65">
        <v>3363.11</v>
      </c>
      <c r="R282" s="224">
        <v>4</v>
      </c>
      <c r="S282" s="50">
        <f t="shared" si="21"/>
        <v>3363.11</v>
      </c>
      <c r="T282" s="65">
        <v>3363.11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34"/>
      <c r="G283" s="35" t="s">
        <v>25</v>
      </c>
      <c r="H283" s="111"/>
      <c r="I283" s="38"/>
      <c r="J283" s="38"/>
      <c r="K283" s="39"/>
      <c r="L283" s="40"/>
      <c r="M283" s="39">
        <f t="shared" si="19"/>
        <v>0</v>
      </c>
      <c r="N283" s="39"/>
      <c r="O283" s="41"/>
      <c r="P283" s="115">
        <v>1</v>
      </c>
      <c r="Q283" s="68">
        <v>2305.1999999999998</v>
      </c>
      <c r="R283" s="285">
        <v>1</v>
      </c>
      <c r="S283" s="68">
        <v>2305.1999999999998</v>
      </c>
      <c r="T283" s="68">
        <v>2305.1999999999998</v>
      </c>
      <c r="U283" s="41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179"/>
      <c r="B284" s="180" t="s">
        <v>205</v>
      </c>
      <c r="C284" s="180"/>
      <c r="D284" s="180"/>
      <c r="E284" s="180"/>
      <c r="F284" s="180"/>
      <c r="G284" s="181"/>
      <c r="H284" s="182">
        <f t="shared" ref="H284:U284" si="22">SUM(H9:H283)</f>
        <v>1214</v>
      </c>
      <c r="I284" s="183">
        <f t="shared" si="22"/>
        <v>703</v>
      </c>
      <c r="J284" s="183">
        <f t="shared" si="22"/>
        <v>851</v>
      </c>
      <c r="K284" s="184">
        <f t="shared" si="22"/>
        <v>1478767.8199999994</v>
      </c>
      <c r="L284" s="185">
        <f t="shared" si="22"/>
        <v>820</v>
      </c>
      <c r="M284" s="184">
        <f t="shared" si="22"/>
        <v>1439274.1500000001</v>
      </c>
      <c r="N284" s="184">
        <f t="shared" si="22"/>
        <v>1439274.1500000001</v>
      </c>
      <c r="O284" s="186">
        <f t="shared" si="22"/>
        <v>0</v>
      </c>
      <c r="P284" s="187">
        <f t="shared" si="22"/>
        <v>1197</v>
      </c>
      <c r="Q284" s="188">
        <f t="shared" si="22"/>
        <v>4029258.459999999</v>
      </c>
      <c r="R284" s="185">
        <f t="shared" si="22"/>
        <v>1147</v>
      </c>
      <c r="S284" s="188">
        <f t="shared" si="22"/>
        <v>3920200.5799999987</v>
      </c>
      <c r="T284" s="188">
        <f t="shared" si="22"/>
        <v>3920200.5799999987</v>
      </c>
      <c r="U284" s="189">
        <f t="shared" si="22"/>
        <v>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 t="s">
        <v>206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27.75" customHeight="1">
      <c r="A288" s="4"/>
      <c r="B288" s="4"/>
      <c r="C288" s="4"/>
      <c r="D288" s="4"/>
      <c r="E288" s="4"/>
      <c r="F288" s="394"/>
      <c r="G288" s="395" t="s">
        <v>5</v>
      </c>
      <c r="H288" s="396"/>
      <c r="I288" s="396"/>
      <c r="J288" s="396"/>
      <c r="K288" s="396"/>
      <c r="L288" s="396"/>
      <c r="M288" s="396"/>
      <c r="N288" s="397"/>
      <c r="O288" s="395" t="s">
        <v>6</v>
      </c>
      <c r="P288" s="396"/>
      <c r="Q288" s="396"/>
      <c r="R288" s="396"/>
      <c r="S288" s="396"/>
      <c r="T288" s="397"/>
      <c r="U288" s="393" t="s">
        <v>207</v>
      </c>
      <c r="V288" s="393" t="s">
        <v>208</v>
      </c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386"/>
      <c r="G289" s="190" t="s">
        <v>13</v>
      </c>
      <c r="H289" s="190" t="s">
        <v>14</v>
      </c>
      <c r="I289" s="190" t="s">
        <v>15</v>
      </c>
      <c r="J289" s="190" t="s">
        <v>16</v>
      </c>
      <c r="K289" s="191" t="s">
        <v>17</v>
      </c>
      <c r="L289" s="190" t="s">
        <v>18</v>
      </c>
      <c r="M289" s="190" t="s">
        <v>19</v>
      </c>
      <c r="N289" s="190" t="s">
        <v>20</v>
      </c>
      <c r="O289" s="190" t="s">
        <v>15</v>
      </c>
      <c r="P289" s="190" t="s">
        <v>16</v>
      </c>
      <c r="Q289" s="191" t="s">
        <v>17</v>
      </c>
      <c r="R289" s="190" t="s">
        <v>18</v>
      </c>
      <c r="S289" s="190" t="s">
        <v>19</v>
      </c>
      <c r="T289" s="190" t="s">
        <v>20</v>
      </c>
      <c r="U289" s="392"/>
      <c r="V289" s="392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192" t="s">
        <v>24</v>
      </c>
      <c r="G290" s="193">
        <f t="shared" ref="G290:I290" si="23">SUMIF($G$9:$G$283,$F$290,H9:H283)</f>
        <v>853</v>
      </c>
      <c r="H290" s="193">
        <f t="shared" si="23"/>
        <v>572</v>
      </c>
      <c r="I290" s="193">
        <f t="shared" si="23"/>
        <v>720</v>
      </c>
      <c r="J290" s="194">
        <f t="shared" ref="J290:J292" si="24">SUMIF($G$9:$G$283,F290,$K$9:$K$283)</f>
        <v>1258189.5699999996</v>
      </c>
      <c r="K290" s="195">
        <f t="shared" ref="K290:K292" si="25">SUMIF($G$9:$G$283,F290,$L$9:$L$283)</f>
        <v>720</v>
      </c>
      <c r="L290" s="194">
        <f t="shared" ref="L290:L292" si="26">SUMIF($G$9:$G$283,F290,$M$9:$M$283)</f>
        <v>1265242</v>
      </c>
      <c r="M290" s="194">
        <f t="shared" ref="M290:O290" si="27">SUMIF($G$9:$G$283,$F$290,N9:N283)</f>
        <v>1265242</v>
      </c>
      <c r="N290" s="194">
        <f t="shared" si="27"/>
        <v>0</v>
      </c>
      <c r="O290" s="193">
        <f t="shared" si="27"/>
        <v>972</v>
      </c>
      <c r="P290" s="194">
        <f t="shared" ref="P290:P292" si="28">SUMIF($G$9:$G$283,F290,$Q$9:$Q$283)</f>
        <v>3323402.379999999</v>
      </c>
      <c r="Q290" s="195">
        <f t="shared" ref="Q290:Q292" si="29">SUMIF($G$9:$G$283,F290,$R$9:$R$283)</f>
        <v>931</v>
      </c>
      <c r="R290" s="194">
        <f t="shared" ref="R290:R292" si="30">SUMIF($G$9:$G$283,F290,$S$9:$S$283)</f>
        <v>3244576.2999999993</v>
      </c>
      <c r="S290" s="194">
        <f t="shared" ref="S290:T290" si="31">SUMIF($G$9:$G$283,$F$290,T9:T283)</f>
        <v>3244576.2999999993</v>
      </c>
      <c r="T290" s="194">
        <f t="shared" si="31"/>
        <v>0</v>
      </c>
      <c r="U290" s="194">
        <f t="shared" ref="U290:U292" si="32">S290+M290</f>
        <v>4509818.2999999989</v>
      </c>
      <c r="V290" s="196">
        <f t="shared" ref="V290:V292" si="33">J290-M290+P290-S290</f>
        <v>71773.649999998976</v>
      </c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192" t="s">
        <v>28</v>
      </c>
      <c r="G291" s="236">
        <f t="shared" ref="G291:I291" si="34">SUMIF($G$9:$G$283,$F$291,H9:H283)</f>
        <v>300</v>
      </c>
      <c r="H291" s="193">
        <f t="shared" si="34"/>
        <v>101</v>
      </c>
      <c r="I291" s="193">
        <f t="shared" si="34"/>
        <v>101</v>
      </c>
      <c r="J291" s="194">
        <f t="shared" si="24"/>
        <v>172906.13000000003</v>
      </c>
      <c r="K291" s="195">
        <f t="shared" si="25"/>
        <v>74</v>
      </c>
      <c r="L291" s="194">
        <f t="shared" si="26"/>
        <v>132472.15</v>
      </c>
      <c r="M291" s="194">
        <f t="shared" ref="M291:O291" si="35">SUMIF($G$9:$G$283,$F$291,N9:N283)</f>
        <v>132472.15</v>
      </c>
      <c r="N291" s="194">
        <f t="shared" si="35"/>
        <v>0</v>
      </c>
      <c r="O291" s="193">
        <f t="shared" si="35"/>
        <v>171</v>
      </c>
      <c r="P291" s="194">
        <f t="shared" si="28"/>
        <v>506090.98</v>
      </c>
      <c r="Q291" s="195">
        <f t="shared" si="29"/>
        <v>164</v>
      </c>
      <c r="R291" s="194">
        <f t="shared" si="30"/>
        <v>483158.97999999986</v>
      </c>
      <c r="S291" s="194">
        <f t="shared" ref="S291:T291" si="36">SUMIF($G$9:$G$283,$F$291,T9:T283)</f>
        <v>483158.97999999986</v>
      </c>
      <c r="T291" s="194">
        <f t="shared" si="36"/>
        <v>0</v>
      </c>
      <c r="U291" s="194">
        <f t="shared" si="32"/>
        <v>615631.12999999989</v>
      </c>
      <c r="V291" s="196">
        <f t="shared" si="33"/>
        <v>63365.980000000098</v>
      </c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192" t="s">
        <v>25</v>
      </c>
      <c r="G292" s="193">
        <f t="shared" ref="G292:I292" si="37">SUMIF($G$9:$G$283,$F$292,H9:H283)</f>
        <v>61</v>
      </c>
      <c r="H292" s="193">
        <f t="shared" si="37"/>
        <v>30</v>
      </c>
      <c r="I292" s="193">
        <f t="shared" si="37"/>
        <v>30</v>
      </c>
      <c r="J292" s="194">
        <f t="shared" si="24"/>
        <v>47672.119999999995</v>
      </c>
      <c r="K292" s="195">
        <f t="shared" si="25"/>
        <v>26</v>
      </c>
      <c r="L292" s="194">
        <f t="shared" si="26"/>
        <v>41560.000000000007</v>
      </c>
      <c r="M292" s="194">
        <f t="shared" ref="M292:O292" si="38">SUMIF($G$9:$G$283,$F$292,N9:N283)</f>
        <v>41560.000000000007</v>
      </c>
      <c r="N292" s="194">
        <f t="shared" si="38"/>
        <v>0</v>
      </c>
      <c r="O292" s="193">
        <f t="shared" si="38"/>
        <v>54</v>
      </c>
      <c r="P292" s="194">
        <f t="shared" si="28"/>
        <v>199765.1</v>
      </c>
      <c r="Q292" s="195">
        <f t="shared" si="29"/>
        <v>52</v>
      </c>
      <c r="R292" s="194">
        <f t="shared" si="30"/>
        <v>192465.3</v>
      </c>
      <c r="S292" s="194">
        <f t="shared" ref="S292:T292" si="39">SUMIF($G$9:$G$283,$F$292,T9:T283)</f>
        <v>192465.3</v>
      </c>
      <c r="T292" s="194">
        <f t="shared" si="39"/>
        <v>0</v>
      </c>
      <c r="U292" s="194">
        <f t="shared" si="32"/>
        <v>234025.3</v>
      </c>
      <c r="V292" s="196">
        <f t="shared" si="33"/>
        <v>13411.920000000013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197">
        <f t="shared" ref="G293:V293" si="40">G292+G291+G290</f>
        <v>1214</v>
      </c>
      <c r="H293" s="197">
        <f t="shared" si="40"/>
        <v>703</v>
      </c>
      <c r="I293" s="197">
        <f t="shared" si="40"/>
        <v>851</v>
      </c>
      <c r="J293" s="198">
        <f t="shared" si="40"/>
        <v>1478767.8199999996</v>
      </c>
      <c r="K293" s="199">
        <f t="shared" si="40"/>
        <v>820</v>
      </c>
      <c r="L293" s="198">
        <f t="shared" si="40"/>
        <v>1439274.15</v>
      </c>
      <c r="M293" s="198">
        <f t="shared" si="40"/>
        <v>1439274.15</v>
      </c>
      <c r="N293" s="198">
        <f t="shared" si="40"/>
        <v>0</v>
      </c>
      <c r="O293" s="197">
        <f t="shared" si="40"/>
        <v>1197</v>
      </c>
      <c r="P293" s="198">
        <f t="shared" si="40"/>
        <v>4029258.459999999</v>
      </c>
      <c r="Q293" s="200">
        <f t="shared" si="40"/>
        <v>1147</v>
      </c>
      <c r="R293" s="198">
        <f t="shared" si="40"/>
        <v>3920200.5799999991</v>
      </c>
      <c r="S293" s="198">
        <f t="shared" si="40"/>
        <v>3920200.5799999991</v>
      </c>
      <c r="T293" s="198">
        <f t="shared" si="40"/>
        <v>0</v>
      </c>
      <c r="U293" s="198">
        <f t="shared" si="40"/>
        <v>5359474.7299999986</v>
      </c>
      <c r="V293" s="198">
        <f t="shared" si="40"/>
        <v>148551.54999999909</v>
      </c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K294" s="201"/>
      <c r="L294" s="201"/>
      <c r="R294" s="2"/>
    </row>
    <row r="295" spans="1:32" ht="15.75" customHeight="1">
      <c r="K295" s="201"/>
      <c r="L295" s="201"/>
      <c r="R295" s="2"/>
    </row>
    <row r="296" spans="1:32" ht="15.75" customHeight="1">
      <c r="K296" s="201"/>
      <c r="L296" s="201"/>
      <c r="R296" s="2"/>
    </row>
    <row r="297" spans="1:32" ht="15.75" customHeight="1">
      <c r="K297" s="201"/>
      <c r="L297" s="201"/>
      <c r="R297" s="2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L446" s="2"/>
      <c r="R446" s="2"/>
    </row>
    <row r="447" spans="11:18" ht="15.75" customHeight="1">
      <c r="L447" s="2"/>
      <c r="R447" s="2"/>
    </row>
    <row r="448" spans="11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</sheetData>
  <mergeCells count="686">
    <mergeCell ref="A208:A209"/>
    <mergeCell ref="B208:B209"/>
    <mergeCell ref="C208:C209"/>
    <mergeCell ref="D208:D209"/>
    <mergeCell ref="E208:E209"/>
    <mergeCell ref="D224:D225"/>
    <mergeCell ref="E224:E225"/>
    <mergeCell ref="D226:D227"/>
    <mergeCell ref="E226:E227"/>
    <mergeCell ref="B224:B225"/>
    <mergeCell ref="C224:C225"/>
    <mergeCell ref="A226:A227"/>
    <mergeCell ref="B226:B227"/>
    <mergeCell ref="C226:C227"/>
    <mergeCell ref="A197:A198"/>
    <mergeCell ref="B197:B198"/>
    <mergeCell ref="C197:C198"/>
    <mergeCell ref="D197:D198"/>
    <mergeCell ref="E197:E198"/>
    <mergeCell ref="B191:B192"/>
    <mergeCell ref="C191:C192"/>
    <mergeCell ref="A193:A194"/>
    <mergeCell ref="B193:B194"/>
    <mergeCell ref="C193:C194"/>
    <mergeCell ref="B195:B196"/>
    <mergeCell ref="C195:C196"/>
    <mergeCell ref="D191:D192"/>
    <mergeCell ref="E191:E192"/>
    <mergeCell ref="D193:D194"/>
    <mergeCell ref="E193:E194"/>
    <mergeCell ref="D195:D196"/>
    <mergeCell ref="E195:E196"/>
    <mergeCell ref="A187:A188"/>
    <mergeCell ref="A189:A190"/>
    <mergeCell ref="B189:B190"/>
    <mergeCell ref="C189:C190"/>
    <mergeCell ref="D189:D190"/>
    <mergeCell ref="E189:E190"/>
    <mergeCell ref="A191:A192"/>
    <mergeCell ref="A195:A196"/>
    <mergeCell ref="C187:C188"/>
    <mergeCell ref="D187:D188"/>
    <mergeCell ref="A185:A186"/>
    <mergeCell ref="B185:B186"/>
    <mergeCell ref="C185:C186"/>
    <mergeCell ref="D185:D186"/>
    <mergeCell ref="E185:E186"/>
    <mergeCell ref="B187:B188"/>
    <mergeCell ref="E187:E188"/>
    <mergeCell ref="D206:D207"/>
    <mergeCell ref="E206:E207"/>
    <mergeCell ref="A202:A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C202:C203"/>
    <mergeCell ref="D202:D203"/>
    <mergeCell ref="A199:A201"/>
    <mergeCell ref="B199:B201"/>
    <mergeCell ref="C199:C201"/>
    <mergeCell ref="D199:D201"/>
    <mergeCell ref="E199:E201"/>
    <mergeCell ref="B202:B203"/>
    <mergeCell ref="E202:E203"/>
    <mergeCell ref="A171:A172"/>
    <mergeCell ref="B171:B172"/>
    <mergeCell ref="C171:C172"/>
    <mergeCell ref="D171:D172"/>
    <mergeCell ref="E171:E172"/>
    <mergeCell ref="A173:A174"/>
    <mergeCell ref="B181:B182"/>
    <mergeCell ref="C181:C182"/>
    <mergeCell ref="A183:A184"/>
    <mergeCell ref="B183:B184"/>
    <mergeCell ref="C183:C184"/>
    <mergeCell ref="D183:D184"/>
    <mergeCell ref="E183:E184"/>
    <mergeCell ref="D165:D166"/>
    <mergeCell ref="E165:E166"/>
    <mergeCell ref="D167:D168"/>
    <mergeCell ref="E167:E168"/>
    <mergeCell ref="D169:D170"/>
    <mergeCell ref="E169:E170"/>
    <mergeCell ref="A161:A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A167:A168"/>
    <mergeCell ref="B167:B168"/>
    <mergeCell ref="C167:C168"/>
    <mergeCell ref="B169:B170"/>
    <mergeCell ref="C169:C170"/>
    <mergeCell ref="A169:A170"/>
    <mergeCell ref="C161:C162"/>
    <mergeCell ref="D161:D162"/>
    <mergeCell ref="A159:A160"/>
    <mergeCell ref="B159:B160"/>
    <mergeCell ref="C159:C160"/>
    <mergeCell ref="D159:D160"/>
    <mergeCell ref="E159:E160"/>
    <mergeCell ref="B161:B162"/>
    <mergeCell ref="E161:E162"/>
    <mergeCell ref="D181:D182"/>
    <mergeCell ref="E181:E182"/>
    <mergeCell ref="A177:A178"/>
    <mergeCell ref="A179:A180"/>
    <mergeCell ref="B179:B180"/>
    <mergeCell ref="C179:C180"/>
    <mergeCell ref="D179:D180"/>
    <mergeCell ref="E179:E180"/>
    <mergeCell ref="A181:A182"/>
    <mergeCell ref="D173:D174"/>
    <mergeCell ref="E173:E174"/>
    <mergeCell ref="D175:D176"/>
    <mergeCell ref="E175:E176"/>
    <mergeCell ref="D177:D178"/>
    <mergeCell ref="E177:E178"/>
    <mergeCell ref="B173:B174"/>
    <mergeCell ref="C173:C174"/>
    <mergeCell ref="A175:A176"/>
    <mergeCell ref="B175:B176"/>
    <mergeCell ref="C175:C176"/>
    <mergeCell ref="B177:B178"/>
    <mergeCell ref="C177:C178"/>
    <mergeCell ref="A274:A275"/>
    <mergeCell ref="B274:B275"/>
    <mergeCell ref="C274:C275"/>
    <mergeCell ref="D274:D275"/>
    <mergeCell ref="E274:E275"/>
    <mergeCell ref="A276:A277"/>
    <mergeCell ref="A280:A281"/>
    <mergeCell ref="A282:A283"/>
    <mergeCell ref="B282:B283"/>
    <mergeCell ref="C282:C283"/>
    <mergeCell ref="D282:D283"/>
    <mergeCell ref="E282:E283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U288:U289"/>
    <mergeCell ref="V288:V289"/>
    <mergeCell ref="D276:D277"/>
    <mergeCell ref="E276:E277"/>
    <mergeCell ref="D278:D279"/>
    <mergeCell ref="E278:E279"/>
    <mergeCell ref="D280:D281"/>
    <mergeCell ref="E280:E281"/>
    <mergeCell ref="F288:F289"/>
    <mergeCell ref="B276:B277"/>
    <mergeCell ref="C276:C277"/>
    <mergeCell ref="A278:A279"/>
    <mergeCell ref="B278:B279"/>
    <mergeCell ref="C278:C279"/>
    <mergeCell ref="B280:B281"/>
    <mergeCell ref="C280:C281"/>
    <mergeCell ref="G288:N288"/>
    <mergeCell ref="O288:T288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8:D229"/>
    <mergeCell ref="E228:E229"/>
    <mergeCell ref="B228:B229"/>
    <mergeCell ref="C228:C229"/>
    <mergeCell ref="E212:E213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A151:A153"/>
    <mergeCell ref="A154:A155"/>
    <mergeCell ref="B154:B155"/>
    <mergeCell ref="C154:C155"/>
    <mergeCell ref="A156:A158"/>
    <mergeCell ref="B156:B158"/>
    <mergeCell ref="C156:C158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B151:B153"/>
    <mergeCell ref="C151:C153"/>
    <mergeCell ref="D154:D155"/>
    <mergeCell ref="D156:D158"/>
    <mergeCell ref="E156:E158"/>
    <mergeCell ref="D147:D148"/>
    <mergeCell ref="E147:E148"/>
    <mergeCell ref="D149:D150"/>
    <mergeCell ref="E149:E150"/>
    <mergeCell ref="D151:D153"/>
    <mergeCell ref="E151:E153"/>
    <mergeCell ref="E154:E155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A149:A150"/>
    <mergeCell ref="B149:B150"/>
    <mergeCell ref="C149:C150"/>
    <mergeCell ref="C143:C144"/>
    <mergeCell ref="D143:D144"/>
    <mergeCell ref="A140:A142"/>
    <mergeCell ref="B140:B142"/>
    <mergeCell ref="C140:C142"/>
    <mergeCell ref="D140:D142"/>
    <mergeCell ref="E140:E142"/>
    <mergeCell ref="B143:B144"/>
    <mergeCell ref="E143:E144"/>
    <mergeCell ref="A143:A144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20:D121"/>
    <mergeCell ref="E120:E121"/>
    <mergeCell ref="D122:D123"/>
    <mergeCell ref="E122:E123"/>
    <mergeCell ref="D124:D125"/>
    <mergeCell ref="E124:E125"/>
    <mergeCell ref="A115:A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2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36"/>
      <c r="I10" s="37"/>
      <c r="J10" s="38"/>
      <c r="K10" s="39"/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46"/>
      <c r="G11" s="47" t="s">
        <v>24</v>
      </c>
      <c r="H11" s="48">
        <v>2</v>
      </c>
      <c r="I11" s="49"/>
      <c r="J11" s="49"/>
      <c r="K11" s="50"/>
      <c r="L11" s="51"/>
      <c r="M11" s="50">
        <f t="shared" si="0"/>
        <v>0</v>
      </c>
      <c r="N11" s="50"/>
      <c r="O11" s="52"/>
      <c r="P11" s="53">
        <v>3</v>
      </c>
      <c r="Q11" s="30">
        <v>40319.660000000003</v>
      </c>
      <c r="R11" s="27"/>
      <c r="S11" s="26">
        <f t="shared" si="1"/>
        <v>0</v>
      </c>
      <c r="T11" s="26"/>
      <c r="U11" s="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54"/>
      <c r="G12" s="55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 t="s">
        <v>30</v>
      </c>
      <c r="E13" s="374" t="s">
        <v>27</v>
      </c>
      <c r="F13" s="60"/>
      <c r="G13" s="23" t="s">
        <v>24</v>
      </c>
      <c r="H13" s="61">
        <v>1</v>
      </c>
      <c r="I13" s="62">
        <v>1</v>
      </c>
      <c r="J13" s="62">
        <v>1</v>
      </c>
      <c r="K13" s="30">
        <v>1855.69</v>
      </c>
      <c r="L13" s="27"/>
      <c r="M13" s="26">
        <f t="shared" si="0"/>
        <v>0</v>
      </c>
      <c r="N13" s="26"/>
      <c r="O13" s="63"/>
      <c r="P13" s="64">
        <v>6</v>
      </c>
      <c r="Q13" s="65">
        <v>13737.84</v>
      </c>
      <c r="R13" s="51"/>
      <c r="S13" s="50">
        <f t="shared" si="1"/>
        <v>0</v>
      </c>
      <c r="T13" s="50"/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34"/>
      <c r="G14" s="35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82"/>
      <c r="B15" s="381" t="s">
        <v>31</v>
      </c>
      <c r="C15" s="381" t="s">
        <v>22</v>
      </c>
      <c r="D15" s="381" t="s">
        <v>32</v>
      </c>
      <c r="E15" s="381" t="s">
        <v>27</v>
      </c>
      <c r="F15" s="46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54"/>
      <c r="G16" s="101" t="s">
        <v>28</v>
      </c>
      <c r="H16" s="112" t="s">
        <v>43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1</v>
      </c>
      <c r="Q16" s="114">
        <v>1344.7</v>
      </c>
      <c r="R16" s="44"/>
      <c r="S16" s="43">
        <f t="shared" si="1"/>
        <v>0</v>
      </c>
      <c r="T16" s="43"/>
      <c r="U16" s="45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107"/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22</v>
      </c>
      <c r="D21" s="381" t="s">
        <v>36</v>
      </c>
      <c r="E21" s="381" t="s">
        <v>37</v>
      </c>
      <c r="F21" s="110"/>
      <c r="G21" s="47" t="s">
        <v>24</v>
      </c>
      <c r="H21" s="107"/>
      <c r="I21" s="49"/>
      <c r="J21" s="49"/>
      <c r="K21" s="50"/>
      <c r="L21" s="51"/>
      <c r="M21" s="50">
        <f t="shared" si="0"/>
        <v>0</v>
      </c>
      <c r="N21" s="50"/>
      <c r="O21" s="31"/>
      <c r="P21" s="108">
        <v>1</v>
      </c>
      <c r="Q21" s="65">
        <v>1045.98</v>
      </c>
      <c r="R21" s="51"/>
      <c r="S21" s="50">
        <f t="shared" si="1"/>
        <v>0</v>
      </c>
      <c r="T21" s="50"/>
      <c r="U21" s="31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46"/>
      <c r="G23" s="23" t="s">
        <v>24</v>
      </c>
      <c r="H23" s="48">
        <v>1</v>
      </c>
      <c r="I23" s="49"/>
      <c r="J23" s="49"/>
      <c r="K23" s="50"/>
      <c r="L23" s="51"/>
      <c r="M23" s="50">
        <f t="shared" si="0"/>
        <v>0</v>
      </c>
      <c r="N23" s="50"/>
      <c r="O23" s="31"/>
      <c r="P23" s="53">
        <v>3</v>
      </c>
      <c r="Q23" s="30">
        <v>4567.24</v>
      </c>
      <c r="R23" s="27"/>
      <c r="S23" s="26">
        <f t="shared" si="1"/>
        <v>0</v>
      </c>
      <c r="T23" s="26"/>
      <c r="U23" s="100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54"/>
      <c r="G24" s="55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/>
      <c r="D25" s="374"/>
      <c r="E25" s="374"/>
      <c r="F25" s="22"/>
      <c r="G25" s="23" t="s">
        <v>24</v>
      </c>
      <c r="H25" s="104"/>
      <c r="I25" s="25"/>
      <c r="J25" s="25"/>
      <c r="K25" s="25"/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0</v>
      </c>
      <c r="T25" s="26"/>
      <c r="U25" s="31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105"/>
      <c r="G26" s="35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82"/>
      <c r="B27" s="381" t="s">
        <v>44</v>
      </c>
      <c r="C27" s="381" t="s">
        <v>22</v>
      </c>
      <c r="D27" s="381"/>
      <c r="E27" s="381" t="s">
        <v>27</v>
      </c>
      <c r="F27" s="46"/>
      <c r="G27" s="47" t="s">
        <v>24</v>
      </c>
      <c r="H27" s="48">
        <v>2</v>
      </c>
      <c r="I27" s="49"/>
      <c r="J27" s="49"/>
      <c r="K27" s="50"/>
      <c r="L27" s="51"/>
      <c r="M27" s="50">
        <f t="shared" si="0"/>
        <v>0</v>
      </c>
      <c r="N27" s="50"/>
      <c r="O27" s="31"/>
      <c r="P27" s="53">
        <v>5</v>
      </c>
      <c r="Q27" s="30">
        <v>7620.87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54"/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59"/>
      <c r="Q28" s="39"/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54"/>
      <c r="G30" s="55" t="s">
        <v>28</v>
      </c>
      <c r="H30" s="118"/>
      <c r="I30" s="57"/>
      <c r="J30" s="57"/>
      <c r="K30" s="43"/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0</v>
      </c>
      <c r="T30" s="43"/>
      <c r="U30" s="45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46"/>
      <c r="G33" s="47" t="s">
        <v>24</v>
      </c>
      <c r="H33" s="98"/>
      <c r="I33" s="49"/>
      <c r="J33" s="49"/>
      <c r="K33" s="50"/>
      <c r="L33" s="51"/>
      <c r="M33" s="50">
        <f t="shared" si="0"/>
        <v>0</v>
      </c>
      <c r="N33" s="50"/>
      <c r="O33" s="31"/>
      <c r="P33" s="108">
        <v>8</v>
      </c>
      <c r="Q33" s="65">
        <v>23443.62</v>
      </c>
      <c r="R33" s="51"/>
      <c r="S33" s="50">
        <f t="shared" si="1"/>
        <v>0</v>
      </c>
      <c r="T33" s="50"/>
      <c r="U33" s="31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1</v>
      </c>
      <c r="I34" s="57"/>
      <c r="J34" s="57"/>
      <c r="K34" s="43"/>
      <c r="L34" s="44"/>
      <c r="M34" s="43">
        <f t="shared" si="0"/>
        <v>0</v>
      </c>
      <c r="N34" s="43"/>
      <c r="O34" s="45"/>
      <c r="P34" s="113">
        <v>1</v>
      </c>
      <c r="Q34" s="114">
        <v>288.14999999999998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/>
      <c r="D37" s="381"/>
      <c r="E37" s="381"/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2</v>
      </c>
      <c r="Q37" s="65">
        <v>3647.94</v>
      </c>
      <c r="R37" s="51"/>
      <c r="S37" s="50">
        <f t="shared" si="1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34"/>
      <c r="G38" s="35" t="s">
        <v>28</v>
      </c>
      <c r="H38" s="66">
        <v>1</v>
      </c>
      <c r="I38" s="38"/>
      <c r="J38" s="38"/>
      <c r="K38" s="39"/>
      <c r="L38" s="40"/>
      <c r="M38" s="39">
        <f t="shared" si="0"/>
        <v>0</v>
      </c>
      <c r="N38" s="39"/>
      <c r="O38" s="41"/>
      <c r="P38" s="69"/>
      <c r="Q38" s="39"/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57</v>
      </c>
      <c r="E41" s="381" t="s">
        <v>58</v>
      </c>
      <c r="F41" s="46"/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0</v>
      </c>
      <c r="T41" s="26"/>
      <c r="U41" s="100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46"/>
      <c r="G43" s="23" t="s">
        <v>24</v>
      </c>
      <c r="H43" s="107"/>
      <c r="I43" s="49"/>
      <c r="J43" s="49"/>
      <c r="K43" s="50"/>
      <c r="L43" s="51"/>
      <c r="M43" s="50">
        <f t="shared" si="0"/>
        <v>0</v>
      </c>
      <c r="N43" s="50"/>
      <c r="O43" s="52"/>
      <c r="P43" s="53">
        <v>12</v>
      </c>
      <c r="Q43" s="30">
        <v>53218.61</v>
      </c>
      <c r="R43" s="27"/>
      <c r="S43" s="26">
        <f t="shared" si="1"/>
        <v>0</v>
      </c>
      <c r="T43" s="26"/>
      <c r="U43" s="2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119"/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36"/>
      <c r="I48" s="38"/>
      <c r="J48" s="38"/>
      <c r="K48" s="39"/>
      <c r="L48" s="40"/>
      <c r="M48" s="39">
        <f t="shared" si="0"/>
        <v>0</v>
      </c>
      <c r="N48" s="39"/>
      <c r="O48" s="41"/>
      <c r="P48" s="115">
        <v>1</v>
      </c>
      <c r="Q48" s="68">
        <v>2209.1999999999998</v>
      </c>
      <c r="R48" s="40"/>
      <c r="S48" s="39">
        <f t="shared" si="1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105"/>
      <c r="G50" s="35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82"/>
      <c r="B51" s="381" t="s">
        <v>66</v>
      </c>
      <c r="C51" s="381" t="s">
        <v>22</v>
      </c>
      <c r="D51" s="381"/>
      <c r="E51" s="381" t="s">
        <v>67</v>
      </c>
      <c r="F51" s="46"/>
      <c r="G51" s="23" t="s">
        <v>24</v>
      </c>
      <c r="H51" s="9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9"/>
      <c r="B52" s="380"/>
      <c r="C52" s="380"/>
      <c r="D52" s="380"/>
      <c r="E52" s="380"/>
      <c r="F52" s="126"/>
      <c r="G52" s="55" t="s">
        <v>28</v>
      </c>
      <c r="H52" s="118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68</v>
      </c>
      <c r="C53" s="374"/>
      <c r="D53" s="374" t="s">
        <v>69</v>
      </c>
      <c r="E53" s="374"/>
      <c r="F53" s="22"/>
      <c r="G53" s="23" t="s">
        <v>24</v>
      </c>
      <c r="H53" s="61">
        <v>2</v>
      </c>
      <c r="I53" s="62">
        <v>2</v>
      </c>
      <c r="J53" s="62">
        <v>2</v>
      </c>
      <c r="K53" s="30">
        <v>4712.22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7"/>
      <c r="S53" s="26">
        <f t="shared" si="1"/>
        <v>0</v>
      </c>
      <c r="T53" s="26"/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106"/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71</v>
      </c>
      <c r="E55" s="381" t="s">
        <v>55</v>
      </c>
      <c r="F55" s="46"/>
      <c r="G55" s="47" t="s">
        <v>24</v>
      </c>
      <c r="H55" s="48">
        <v>1</v>
      </c>
      <c r="I55" s="49"/>
      <c r="J55" s="49"/>
      <c r="K55" s="50"/>
      <c r="L55" s="51"/>
      <c r="M55" s="50">
        <f t="shared" si="0"/>
        <v>0</v>
      </c>
      <c r="N55" s="50"/>
      <c r="O55" s="31"/>
      <c r="P55" s="53">
        <v>21</v>
      </c>
      <c r="Q55" s="30">
        <v>40412.06</v>
      </c>
      <c r="R55" s="27"/>
      <c r="S55" s="26">
        <f t="shared" si="1"/>
        <v>0</v>
      </c>
      <c r="T55" s="26"/>
      <c r="U55" s="10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98"/>
      <c r="I57" s="49"/>
      <c r="J57" s="49"/>
      <c r="K57" s="50"/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54"/>
      <c r="G58" s="55" t="s">
        <v>28</v>
      </c>
      <c r="H58" s="112">
        <v>1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/>
      <c r="D59" s="374"/>
      <c r="E59" s="374" t="s">
        <v>27</v>
      </c>
      <c r="F59" s="22"/>
      <c r="G59" s="23" t="s">
        <v>24</v>
      </c>
      <c r="H59" s="104"/>
      <c r="I59" s="25"/>
      <c r="J59" s="25"/>
      <c r="K59" s="26"/>
      <c r="L59" s="27"/>
      <c r="M59" s="26">
        <f t="shared" si="0"/>
        <v>0</v>
      </c>
      <c r="N59" s="26"/>
      <c r="O59" s="28"/>
      <c r="P59" s="29">
        <v>7</v>
      </c>
      <c r="Q59" s="30">
        <v>13580.02</v>
      </c>
      <c r="R59" s="27"/>
      <c r="S59" s="26">
        <f t="shared" si="1"/>
        <v>0</v>
      </c>
      <c r="T59" s="26"/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35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82"/>
      <c r="B61" s="381" t="s">
        <v>74</v>
      </c>
      <c r="C61" s="381" t="s">
        <v>39</v>
      </c>
      <c r="D61" s="381" t="s">
        <v>75</v>
      </c>
      <c r="E61" s="381" t="s">
        <v>27</v>
      </c>
      <c r="F61" s="46"/>
      <c r="G61" s="47" t="s">
        <v>24</v>
      </c>
      <c r="H61" s="107"/>
      <c r="I61" s="49"/>
      <c r="J61" s="49"/>
      <c r="K61" s="50"/>
      <c r="L61" s="51"/>
      <c r="M61" s="50">
        <f t="shared" si="0"/>
        <v>0</v>
      </c>
      <c r="N61" s="50"/>
      <c r="O61" s="31"/>
      <c r="P61" s="108">
        <v>8</v>
      </c>
      <c r="Q61" s="65">
        <v>25479.99</v>
      </c>
      <c r="R61" s="51"/>
      <c r="S61" s="50">
        <f t="shared" si="1"/>
        <v>0</v>
      </c>
      <c r="T61" s="50"/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54"/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1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3</v>
      </c>
      <c r="Q63" s="30">
        <v>2561.66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34"/>
      <c r="G64" s="35" t="s">
        <v>28</v>
      </c>
      <c r="H64" s="106"/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49"/>
      <c r="J65" s="49"/>
      <c r="K65" s="50"/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104"/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107"/>
      <c r="I69" s="49"/>
      <c r="J69" s="49"/>
      <c r="K69" s="50"/>
      <c r="L69" s="51"/>
      <c r="M69" s="50">
        <f t="shared" si="0"/>
        <v>0</v>
      </c>
      <c r="N69" s="50"/>
      <c r="O69" s="31"/>
      <c r="P69" s="123"/>
      <c r="Q69" s="50"/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126"/>
      <c r="G70" s="55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/>
      <c r="D71" s="378"/>
      <c r="E71" s="374"/>
      <c r="F71" s="60"/>
      <c r="G71" s="23" t="s">
        <v>24</v>
      </c>
      <c r="H71" s="24">
        <v>4</v>
      </c>
      <c r="I71" s="62">
        <v>1</v>
      </c>
      <c r="J71" s="62">
        <v>1</v>
      </c>
      <c r="K71" s="30">
        <v>3901.52</v>
      </c>
      <c r="L71" s="27"/>
      <c r="M71" s="26">
        <f t="shared" si="0"/>
        <v>0</v>
      </c>
      <c r="N71" s="26"/>
      <c r="O71" s="31"/>
      <c r="P71" s="29">
        <v>16</v>
      </c>
      <c r="Q71" s="30">
        <v>45118.13</v>
      </c>
      <c r="R71" s="27"/>
      <c r="S71" s="26">
        <f t="shared" si="1"/>
        <v>0</v>
      </c>
      <c r="T71" s="26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28</v>
      </c>
      <c r="H72" s="36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82</v>
      </c>
      <c r="C73" s="381" t="s">
        <v>22</v>
      </c>
      <c r="D73" s="385"/>
      <c r="E73" s="381" t="s">
        <v>83</v>
      </c>
      <c r="F73" s="127"/>
      <c r="G73" s="47" t="s">
        <v>24</v>
      </c>
      <c r="H73" s="98"/>
      <c r="I73" s="49"/>
      <c r="J73" s="49"/>
      <c r="K73" s="50"/>
      <c r="L73" s="51"/>
      <c r="M73" s="50">
        <f t="shared" si="0"/>
        <v>0</v>
      </c>
      <c r="N73" s="50"/>
      <c r="O73" s="31"/>
      <c r="P73" s="108">
        <v>1</v>
      </c>
      <c r="Q73" s="65">
        <v>1104.5999999999999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2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126"/>
      <c r="G78" s="55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22</v>
      </c>
      <c r="D79" s="374"/>
      <c r="E79" s="374" t="s">
        <v>23</v>
      </c>
      <c r="F79" s="60"/>
      <c r="G79" s="23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99"/>
      <c r="Q79" s="26"/>
      <c r="R79" s="27"/>
      <c r="S79" s="26">
        <f t="shared" si="1"/>
        <v>0</v>
      </c>
      <c r="T79" s="26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26"/>
      <c r="G80" s="55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2"/>
      <c r="G81" s="23" t="s">
        <v>24</v>
      </c>
      <c r="H81" s="104"/>
      <c r="I81" s="25"/>
      <c r="J81" s="25"/>
      <c r="K81" s="26"/>
      <c r="L81" s="27"/>
      <c r="M81" s="26">
        <f t="shared" si="0"/>
        <v>0</v>
      </c>
      <c r="N81" s="26"/>
      <c r="O81" s="31"/>
      <c r="P81" s="53">
        <v>4</v>
      </c>
      <c r="Q81" s="30">
        <v>6839.79</v>
      </c>
      <c r="R81" s="27"/>
      <c r="S81" s="26">
        <f t="shared" si="1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35" t="s">
        <v>25</v>
      </c>
      <c r="H82" s="117">
        <v>1</v>
      </c>
      <c r="I82" s="38"/>
      <c r="J82" s="38"/>
      <c r="K82" s="39"/>
      <c r="L82" s="40"/>
      <c r="M82" s="39">
        <f t="shared" si="0"/>
        <v>0</v>
      </c>
      <c r="N82" s="39"/>
      <c r="O82" s="41"/>
      <c r="P82" s="59"/>
      <c r="Q82" s="39"/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90</v>
      </c>
      <c r="C83" s="381" t="s">
        <v>39</v>
      </c>
      <c r="D83" s="381" t="s">
        <v>91</v>
      </c>
      <c r="E83" s="381" t="s">
        <v>27</v>
      </c>
      <c r="F83" s="46"/>
      <c r="G83" s="47" t="s">
        <v>24</v>
      </c>
      <c r="H83" s="107"/>
      <c r="I83" s="49"/>
      <c r="J83" s="49"/>
      <c r="K83" s="50"/>
      <c r="L83" s="51"/>
      <c r="M83" s="50">
        <f t="shared" si="0"/>
        <v>0</v>
      </c>
      <c r="N83" s="50"/>
      <c r="O83" s="31"/>
      <c r="P83" s="108">
        <v>2</v>
      </c>
      <c r="Q83" s="65">
        <v>11023.43</v>
      </c>
      <c r="R83" s="51"/>
      <c r="S83" s="50">
        <f t="shared" si="1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75"/>
      <c r="E84" s="380"/>
      <c r="F84" s="54"/>
      <c r="G84" s="55" t="s">
        <v>28</v>
      </c>
      <c r="H84" s="116"/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2"/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3</v>
      </c>
      <c r="Q85" s="30">
        <v>12637.19</v>
      </c>
      <c r="R85" s="27"/>
      <c r="S85" s="26">
        <f t="shared" si="1"/>
        <v>0</v>
      </c>
      <c r="T85" s="26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54"/>
      <c r="G86" s="55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126"/>
      <c r="G88" s="55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2"/>
      <c r="G89" s="23" t="s">
        <v>24</v>
      </c>
      <c r="H89" s="48">
        <v>1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11</v>
      </c>
      <c r="Q89" s="30">
        <v>22045.33</v>
      </c>
      <c r="R89" s="27"/>
      <c r="S89" s="26">
        <f t="shared" si="1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54"/>
      <c r="G90" s="55" t="s">
        <v>25</v>
      </c>
      <c r="H90" s="102"/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134"/>
      <c r="G91" s="23" t="s">
        <v>24</v>
      </c>
      <c r="H91" s="119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4</v>
      </c>
      <c r="Q91" s="30">
        <v>6731.53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35"/>
      <c r="G92" s="55" t="s">
        <v>28</v>
      </c>
      <c r="H92" s="121">
        <v>1</v>
      </c>
      <c r="I92" s="57"/>
      <c r="J92" s="57"/>
      <c r="K92" s="43"/>
      <c r="L92" s="44"/>
      <c r="M92" s="43">
        <f t="shared" si="0"/>
        <v>0</v>
      </c>
      <c r="N92" s="43"/>
      <c r="O92" s="41"/>
      <c r="P92" s="103"/>
      <c r="Q92" s="43"/>
      <c r="R92" s="44"/>
      <c r="S92" s="43">
        <f t="shared" si="1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98</v>
      </c>
      <c r="C93" s="374" t="s">
        <v>22</v>
      </c>
      <c r="D93" s="374"/>
      <c r="E93" s="374" t="s">
        <v>99</v>
      </c>
      <c r="F93" s="60"/>
      <c r="G93" s="23" t="s">
        <v>24</v>
      </c>
      <c r="H93" s="24">
        <v>1</v>
      </c>
      <c r="I93" s="25"/>
      <c r="J93" s="25"/>
      <c r="K93" s="26"/>
      <c r="L93" s="27"/>
      <c r="M93" s="26">
        <f t="shared" si="0"/>
        <v>0</v>
      </c>
      <c r="N93" s="26"/>
      <c r="O93" s="31"/>
      <c r="P93" s="53">
        <v>7</v>
      </c>
      <c r="Q93" s="30">
        <v>6588.72</v>
      </c>
      <c r="R93" s="27"/>
      <c r="S93" s="26">
        <f t="shared" si="1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34"/>
      <c r="G94" s="35" t="s">
        <v>28</v>
      </c>
      <c r="H94" s="133">
        <v>1</v>
      </c>
      <c r="I94" s="136"/>
      <c r="J94" s="136"/>
      <c r="K94" s="137"/>
      <c r="L94" s="138"/>
      <c r="M94" s="39">
        <f t="shared" si="0"/>
        <v>0</v>
      </c>
      <c r="N94" s="39"/>
      <c r="O94" s="41"/>
      <c r="P94" s="37">
        <v>2</v>
      </c>
      <c r="Q94" s="37">
        <v>3361.75</v>
      </c>
      <c r="R94" s="40"/>
      <c r="S94" s="39">
        <f t="shared" si="1"/>
        <v>0</v>
      </c>
      <c r="T94" s="39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81" t="s">
        <v>22</v>
      </c>
      <c r="D95" s="381" t="s">
        <v>101</v>
      </c>
      <c r="E95" s="381" t="s">
        <v>27</v>
      </c>
      <c r="F95" s="46"/>
      <c r="G95" s="47" t="s">
        <v>24</v>
      </c>
      <c r="H95" s="98"/>
      <c r="I95" s="139"/>
      <c r="J95" s="139"/>
      <c r="K95" s="50"/>
      <c r="L95" s="51"/>
      <c r="M95" s="50">
        <f t="shared" si="0"/>
        <v>0</v>
      </c>
      <c r="N95" s="50"/>
      <c r="O95" s="31"/>
      <c r="P95" s="108">
        <v>2</v>
      </c>
      <c r="Q95" s="65">
        <v>22972.83</v>
      </c>
      <c r="R95" s="51"/>
      <c r="S95" s="50">
        <f t="shared" si="1"/>
        <v>0</v>
      </c>
      <c r="T95" s="50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16"/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46"/>
      <c r="G97" s="23" t="s">
        <v>24</v>
      </c>
      <c r="H97" s="107"/>
      <c r="I97" s="49"/>
      <c r="J97" s="49"/>
      <c r="K97" s="50"/>
      <c r="L97" s="51"/>
      <c r="M97" s="50">
        <f t="shared" si="0"/>
        <v>0</v>
      </c>
      <c r="N97" s="50"/>
      <c r="O97" s="31"/>
      <c r="P97" s="108">
        <v>3</v>
      </c>
      <c r="Q97" s="65">
        <v>5698.39</v>
      </c>
      <c r="R97" s="51"/>
      <c r="S97" s="50">
        <f t="shared" si="1"/>
        <v>0</v>
      </c>
      <c r="T97" s="50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54"/>
      <c r="G98" s="55" t="s">
        <v>28</v>
      </c>
      <c r="H98" s="111"/>
      <c r="I98" s="57"/>
      <c r="J98" s="57"/>
      <c r="K98" s="43"/>
      <c r="L98" s="128"/>
      <c r="M98" s="50">
        <f t="shared" si="0"/>
        <v>0</v>
      </c>
      <c r="N98" s="43"/>
      <c r="O98" s="41"/>
      <c r="P98" s="103"/>
      <c r="Q98" s="43"/>
      <c r="R98" s="44"/>
      <c r="S98" s="43">
        <f t="shared" si="1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107"/>
      <c r="I99" s="25"/>
      <c r="J99" s="25"/>
      <c r="K99" s="26"/>
      <c r="L99" s="27"/>
      <c r="M99" s="26">
        <f t="shared" si="0"/>
        <v>0</v>
      </c>
      <c r="N99" s="26"/>
      <c r="O99" s="31"/>
      <c r="P99" s="53">
        <v>3</v>
      </c>
      <c r="Q99" s="30">
        <v>2229.92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34"/>
      <c r="G100" s="35" t="s">
        <v>28</v>
      </c>
      <c r="H100" s="116"/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105</v>
      </c>
      <c r="E101" s="381" t="s">
        <v>27</v>
      </c>
      <c r="F101" s="46"/>
      <c r="G101" s="23" t="s">
        <v>24</v>
      </c>
      <c r="H101" s="107"/>
      <c r="I101" s="49"/>
      <c r="J101" s="49"/>
      <c r="K101" s="50"/>
      <c r="L101" s="51"/>
      <c r="M101" s="50">
        <f t="shared" si="0"/>
        <v>0</v>
      </c>
      <c r="N101" s="50"/>
      <c r="O101" s="31"/>
      <c r="P101" s="108">
        <v>5</v>
      </c>
      <c r="Q101" s="65">
        <v>8664.0400000000009</v>
      </c>
      <c r="R101" s="51"/>
      <c r="S101" s="50">
        <f t="shared" si="1"/>
        <v>0</v>
      </c>
      <c r="T101" s="50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107"/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16685.68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54"/>
      <c r="G104" s="55" t="s">
        <v>28</v>
      </c>
      <c r="H104" s="111"/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60"/>
      <c r="G105" s="23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3</v>
      </c>
      <c r="Q105" s="30">
        <v>13843.77</v>
      </c>
      <c r="R105" s="27"/>
      <c r="S105" s="26">
        <f t="shared" si="1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140"/>
      <c r="G106" s="141" t="s">
        <v>28</v>
      </c>
      <c r="H106" s="107"/>
      <c r="I106" s="139"/>
      <c r="J106" s="139"/>
      <c r="K106" s="142"/>
      <c r="L106" s="143"/>
      <c r="M106" s="142">
        <f t="shared" si="0"/>
        <v>0</v>
      </c>
      <c r="N106" s="142"/>
      <c r="O106" s="45"/>
      <c r="P106" s="144"/>
      <c r="Q106" s="142"/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146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2"/>
      <c r="B108" s="381" t="s">
        <v>110</v>
      </c>
      <c r="C108" s="381" t="s">
        <v>22</v>
      </c>
      <c r="D108" s="381"/>
      <c r="E108" s="381" t="s">
        <v>67</v>
      </c>
      <c r="F108" s="127"/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0</v>
      </c>
      <c r="T108" s="50"/>
      <c r="U108" s="3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99"/>
      <c r="Q110" s="26"/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54"/>
      <c r="G111" s="55" t="s">
        <v>28</v>
      </c>
      <c r="H111" s="116"/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22</v>
      </c>
      <c r="D112" s="374" t="s">
        <v>114</v>
      </c>
      <c r="E112" s="374" t="s">
        <v>27</v>
      </c>
      <c r="F112" s="60"/>
      <c r="G112" s="23" t="s">
        <v>24</v>
      </c>
      <c r="H112" s="48">
        <v>2</v>
      </c>
      <c r="I112" s="62">
        <v>1</v>
      </c>
      <c r="J112" s="62">
        <v>1</v>
      </c>
      <c r="K112" s="30">
        <v>950.9</v>
      </c>
      <c r="L112" s="27"/>
      <c r="M112" s="26">
        <f t="shared" si="0"/>
        <v>0</v>
      </c>
      <c r="N112" s="26"/>
      <c r="O112" s="31"/>
      <c r="P112" s="53">
        <v>7</v>
      </c>
      <c r="Q112" s="30">
        <v>17784.37</v>
      </c>
      <c r="R112" s="27"/>
      <c r="S112" s="26">
        <f t="shared" si="1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54"/>
      <c r="G113" s="55" t="s">
        <v>28</v>
      </c>
      <c r="H113" s="118"/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46"/>
      <c r="G116" s="47" t="s">
        <v>24</v>
      </c>
      <c r="H116" s="104"/>
      <c r="I116" s="25"/>
      <c r="J116" s="25"/>
      <c r="K116" s="26"/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0</v>
      </c>
      <c r="T116" s="50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46"/>
      <c r="G118" s="23" t="s">
        <v>24</v>
      </c>
      <c r="H118" s="48">
        <v>1</v>
      </c>
      <c r="I118" s="49"/>
      <c r="J118" s="49"/>
      <c r="K118" s="50"/>
      <c r="L118" s="51"/>
      <c r="M118" s="50">
        <f t="shared" si="0"/>
        <v>0</v>
      </c>
      <c r="N118" s="50"/>
      <c r="O118" s="31"/>
      <c r="P118" s="108">
        <v>17</v>
      </c>
      <c r="Q118" s="65">
        <v>55454.879999999997</v>
      </c>
      <c r="R118" s="51"/>
      <c r="S118" s="50">
        <f t="shared" si="1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126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22</v>
      </c>
      <c r="D120" s="374"/>
      <c r="E120" s="374" t="s">
        <v>27</v>
      </c>
      <c r="F120" s="150"/>
      <c r="G120" s="23" t="s">
        <v>24</v>
      </c>
      <c r="H120" s="151">
        <v>1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5</v>
      </c>
      <c r="Q120" s="30">
        <v>20346.849999999999</v>
      </c>
      <c r="R120" s="27"/>
      <c r="S120" s="26">
        <f t="shared" si="1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120</v>
      </c>
      <c r="E122" s="374" t="s">
        <v>121</v>
      </c>
      <c r="F122" s="22"/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12</v>
      </c>
      <c r="Q122" s="30">
        <v>17264.71</v>
      </c>
      <c r="R122" s="27"/>
      <c r="S122" s="26">
        <f t="shared" si="1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54"/>
      <c r="G123" s="55" t="s">
        <v>25</v>
      </c>
      <c r="H123" s="15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03"/>
      <c r="Q123" s="43"/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22</v>
      </c>
      <c r="D124" s="374" t="s">
        <v>123</v>
      </c>
      <c r="E124" s="374" t="s">
        <v>55</v>
      </c>
      <c r="F124" s="22"/>
      <c r="G124" s="23" t="s">
        <v>24</v>
      </c>
      <c r="H124" s="107"/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8</v>
      </c>
      <c r="Q124" s="30">
        <v>20369.080000000002</v>
      </c>
      <c r="R124" s="27"/>
      <c r="S124" s="26">
        <f t="shared" si="1"/>
        <v>0</v>
      </c>
      <c r="T124" s="26"/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124</v>
      </c>
      <c r="C126" s="381" t="s">
        <v>39</v>
      </c>
      <c r="D126" s="381" t="s">
        <v>125</v>
      </c>
      <c r="E126" s="381" t="s">
        <v>27</v>
      </c>
      <c r="F126" s="127"/>
      <c r="G126" s="23" t="s">
        <v>24</v>
      </c>
      <c r="H126" s="48">
        <v>3</v>
      </c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26</v>
      </c>
      <c r="Q126" s="65">
        <v>177427.68</v>
      </c>
      <c r="R126" s="51"/>
      <c r="S126" s="50">
        <f t="shared" si="1"/>
        <v>0</v>
      </c>
      <c r="T126" s="50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129"/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152"/>
      <c r="G130" s="35" t="s">
        <v>28</v>
      </c>
      <c r="H130" s="153">
        <v>2</v>
      </c>
      <c r="I130" s="38"/>
      <c r="J130" s="38"/>
      <c r="K130" s="39"/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107"/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3</v>
      </c>
      <c r="Q131" s="65">
        <v>9508.6200000000008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54"/>
      <c r="G132" s="55" t="s">
        <v>28</v>
      </c>
      <c r="H132" s="153">
        <v>1</v>
      </c>
      <c r="I132" s="38"/>
      <c r="J132" s="38"/>
      <c r="K132" s="39"/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25</v>
      </c>
      <c r="H134" s="111"/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23" t="s">
        <v>24</v>
      </c>
      <c r="H135" s="107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1</v>
      </c>
      <c r="Q135" s="30">
        <v>2466.56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02"/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/>
      <c r="D137" s="374"/>
      <c r="E137" s="374"/>
      <c r="F137" s="22"/>
      <c r="G137" s="23" t="s">
        <v>24</v>
      </c>
      <c r="H137" s="61">
        <v>1</v>
      </c>
      <c r="I137" s="25"/>
      <c r="J137" s="25"/>
      <c r="K137" s="26"/>
      <c r="L137" s="27"/>
      <c r="M137" s="26">
        <f t="shared" si="0"/>
        <v>0</v>
      </c>
      <c r="N137" s="26"/>
      <c r="O137" s="31"/>
      <c r="P137" s="53">
        <v>8</v>
      </c>
      <c r="Q137" s="30">
        <v>18419.52</v>
      </c>
      <c r="R137" s="27"/>
      <c r="S137" s="26">
        <f t="shared" si="1"/>
        <v>0</v>
      </c>
      <c r="T137" s="26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135"/>
      <c r="G138" s="154" t="s">
        <v>28</v>
      </c>
      <c r="H138" s="102"/>
      <c r="I138" s="155"/>
      <c r="J138" s="155"/>
      <c r="K138" s="129"/>
      <c r="L138" s="128"/>
      <c r="M138" s="129">
        <f t="shared" si="0"/>
        <v>0</v>
      </c>
      <c r="N138" s="129"/>
      <c r="O138" s="45"/>
      <c r="P138" s="156"/>
      <c r="Q138" s="129"/>
      <c r="R138" s="128"/>
      <c r="S138" s="129">
        <f t="shared" si="1"/>
        <v>0</v>
      </c>
      <c r="T138" s="129"/>
      <c r="U138" s="45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74"/>
      <c r="F140" s="22"/>
      <c r="G140" s="23" t="s">
        <v>24</v>
      </c>
      <c r="H140" s="61">
        <v>3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2"/>
      <c r="B142" s="381" t="s">
        <v>134</v>
      </c>
      <c r="C142" s="381" t="s">
        <v>39</v>
      </c>
      <c r="D142" s="381" t="s">
        <v>135</v>
      </c>
      <c r="E142" s="381" t="s">
        <v>136</v>
      </c>
      <c r="F142" s="46"/>
      <c r="G142" s="47" t="s">
        <v>24</v>
      </c>
      <c r="H142" s="48">
        <v>2</v>
      </c>
      <c r="I142" s="49"/>
      <c r="J142" s="49"/>
      <c r="K142" s="50"/>
      <c r="L142" s="51"/>
      <c r="M142" s="50">
        <f t="shared" si="0"/>
        <v>0</v>
      </c>
      <c r="N142" s="50"/>
      <c r="O142" s="31"/>
      <c r="P142" s="108">
        <v>2</v>
      </c>
      <c r="Q142" s="65">
        <v>3694.33</v>
      </c>
      <c r="R142" s="51"/>
      <c r="S142" s="50">
        <f t="shared" si="1"/>
        <v>0</v>
      </c>
      <c r="T142" s="50"/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140"/>
      <c r="G143" s="141" t="s">
        <v>28</v>
      </c>
      <c r="H143" s="151">
        <v>1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1</v>
      </c>
      <c r="Q143" s="158">
        <v>1344.7</v>
      </c>
      <c r="R143" s="51"/>
      <c r="S143" s="50">
        <f t="shared" si="1"/>
        <v>0</v>
      </c>
      <c r="T143" s="142"/>
      <c r="U143" s="4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54"/>
      <c r="G144" s="55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4"/>
      <c r="D145" s="374"/>
      <c r="E145" s="374"/>
      <c r="F145" s="22"/>
      <c r="G145" s="23" t="s">
        <v>24</v>
      </c>
      <c r="H145" s="24">
        <v>1</v>
      </c>
      <c r="I145" s="25"/>
      <c r="J145" s="25"/>
      <c r="K145" s="26"/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0</v>
      </c>
      <c r="T145" s="26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35" t="s">
        <v>28</v>
      </c>
      <c r="H146" s="66">
        <v>1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2"/>
      <c r="B147" s="381" t="s">
        <v>138</v>
      </c>
      <c r="C147" s="381" t="s">
        <v>22</v>
      </c>
      <c r="D147" s="381"/>
      <c r="E147" s="381" t="s">
        <v>27</v>
      </c>
      <c r="F147" s="46"/>
      <c r="G147" s="47" t="s">
        <v>24</v>
      </c>
      <c r="H147" s="98"/>
      <c r="I147" s="49"/>
      <c r="J147" s="49"/>
      <c r="K147" s="50"/>
      <c r="L147" s="51"/>
      <c r="M147" s="50">
        <f t="shared" si="0"/>
        <v>0</v>
      </c>
      <c r="N147" s="50"/>
      <c r="O147" s="31"/>
      <c r="P147" s="108">
        <v>7</v>
      </c>
      <c r="Q147" s="65">
        <v>11686.89</v>
      </c>
      <c r="R147" s="51"/>
      <c r="S147" s="50">
        <f t="shared" si="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9"/>
      <c r="B148" s="380"/>
      <c r="C148" s="380"/>
      <c r="D148" s="380"/>
      <c r="E148" s="380"/>
      <c r="F148" s="54"/>
      <c r="G148" s="55" t="s">
        <v>28</v>
      </c>
      <c r="H148" s="13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1</v>
      </c>
      <c r="Q148" s="114">
        <v>4802.5</v>
      </c>
      <c r="R148" s="44"/>
      <c r="S148" s="43">
        <f t="shared" si="1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2"/>
      <c r="G149" s="23" t="s">
        <v>24</v>
      </c>
      <c r="H149" s="151">
        <v>1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4</v>
      </c>
      <c r="Q149" s="30">
        <v>9342.81</v>
      </c>
      <c r="R149" s="27"/>
      <c r="S149" s="26">
        <f t="shared" si="1"/>
        <v>0</v>
      </c>
      <c r="T149" s="26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54"/>
      <c r="G150" s="55" t="s">
        <v>28</v>
      </c>
      <c r="H150" s="102"/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1</v>
      </c>
      <c r="Q150" s="114">
        <v>2393.3000000000002</v>
      </c>
      <c r="R150" s="44"/>
      <c r="S150" s="43">
        <f t="shared" si="1"/>
        <v>0</v>
      </c>
      <c r="T150" s="43"/>
      <c r="U150" s="4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20981.75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35" t="s">
        <v>28</v>
      </c>
      <c r="H152" s="36"/>
      <c r="I152" s="38"/>
      <c r="J152" s="38"/>
      <c r="K152" s="39"/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1</v>
      </c>
      <c r="I155" s="25"/>
      <c r="J155" s="25"/>
      <c r="K155" s="26"/>
      <c r="L155" s="27"/>
      <c r="M155" s="26">
        <f t="shared" si="0"/>
        <v>0</v>
      </c>
      <c r="N155" s="26"/>
      <c r="O155" s="28"/>
      <c r="P155" s="99"/>
      <c r="Q155" s="26"/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144</v>
      </c>
      <c r="E157" s="381" t="s">
        <v>145</v>
      </c>
      <c r="F157" s="46"/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8</v>
      </c>
      <c r="Q157" s="65">
        <v>27662.38</v>
      </c>
      <c r="R157" s="51"/>
      <c r="S157" s="50">
        <f t="shared" si="1"/>
        <v>0</v>
      </c>
      <c r="T157" s="50"/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54"/>
      <c r="G158" s="55" t="s">
        <v>28</v>
      </c>
      <c r="H158" s="116"/>
      <c r="I158" s="57"/>
      <c r="J158" s="57"/>
      <c r="K158" s="43"/>
      <c r="L158" s="128"/>
      <c r="M158" s="50">
        <f t="shared" si="0"/>
        <v>0</v>
      </c>
      <c r="N158" s="43"/>
      <c r="O158" s="41"/>
      <c r="P158" s="103"/>
      <c r="Q158" s="43"/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147</v>
      </c>
      <c r="E159" s="374" t="s">
        <v>27</v>
      </c>
      <c r="F159" s="22"/>
      <c r="G159" s="23" t="s">
        <v>24</v>
      </c>
      <c r="H159" s="48">
        <v>1</v>
      </c>
      <c r="I159" s="25"/>
      <c r="J159" s="25"/>
      <c r="K159" s="26"/>
      <c r="L159" s="27"/>
      <c r="M159" s="26">
        <f t="shared" si="0"/>
        <v>0</v>
      </c>
      <c r="N159" s="26"/>
      <c r="O159" s="31"/>
      <c r="P159" s="53">
        <v>3</v>
      </c>
      <c r="Q159" s="30">
        <v>7527.38</v>
      </c>
      <c r="R159" s="27"/>
      <c r="S159" s="26">
        <f t="shared" si="1"/>
        <v>0</v>
      </c>
      <c r="T159" s="26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1"/>
      <c r="I160" s="57"/>
      <c r="J160" s="57"/>
      <c r="K160" s="43"/>
      <c r="L160" s="44"/>
      <c r="M160" s="43">
        <f t="shared" si="0"/>
        <v>0</v>
      </c>
      <c r="N160" s="43"/>
      <c r="O160" s="41"/>
      <c r="P160" s="59"/>
      <c r="Q160" s="39"/>
      <c r="R160" s="40"/>
      <c r="S160" s="39">
        <f t="shared" si="1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2"/>
      <c r="G161" s="23" t="s">
        <v>24</v>
      </c>
      <c r="H161" s="48">
        <v>2</v>
      </c>
      <c r="I161" s="25"/>
      <c r="J161" s="60"/>
      <c r="K161" s="26"/>
      <c r="L161" s="27"/>
      <c r="M161" s="26">
        <f t="shared" si="0"/>
        <v>0</v>
      </c>
      <c r="N161" s="26"/>
      <c r="O161" s="31"/>
      <c r="P161" s="108">
        <v>7</v>
      </c>
      <c r="Q161" s="65">
        <v>22932.53</v>
      </c>
      <c r="R161" s="51"/>
      <c r="S161" s="50">
        <f t="shared" si="1"/>
        <v>0</v>
      </c>
      <c r="T161" s="50"/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34"/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9"/>
      <c r="Q164" s="39"/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81" t="s">
        <v>22</v>
      </c>
      <c r="D165" s="381" t="s">
        <v>154</v>
      </c>
      <c r="E165" s="381" t="s">
        <v>27</v>
      </c>
      <c r="F165" s="46"/>
      <c r="G165" s="47" t="s">
        <v>24</v>
      </c>
      <c r="H165" s="107"/>
      <c r="I165" s="49"/>
      <c r="J165" s="49"/>
      <c r="K165" s="166"/>
      <c r="L165" s="167"/>
      <c r="M165" s="166">
        <f t="shared" si="0"/>
        <v>0</v>
      </c>
      <c r="N165" s="166"/>
      <c r="O165" s="31"/>
      <c r="P165" s="108">
        <v>4</v>
      </c>
      <c r="Q165" s="65">
        <v>15452.64</v>
      </c>
      <c r="R165" s="51"/>
      <c r="S165" s="50">
        <f t="shared" si="1"/>
        <v>0</v>
      </c>
      <c r="T165" s="50"/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46"/>
      <c r="G167" s="23" t="s">
        <v>24</v>
      </c>
      <c r="H167" s="107"/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1</v>
      </c>
      <c r="Q167" s="30">
        <v>3759.09</v>
      </c>
      <c r="R167" s="27"/>
      <c r="S167" s="26">
        <f t="shared" si="1"/>
        <v>0</v>
      </c>
      <c r="T167" s="26"/>
      <c r="U167" s="3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158</v>
      </c>
      <c r="C173" s="391"/>
      <c r="D173" s="381"/>
      <c r="E173" s="381"/>
      <c r="F173" s="46"/>
      <c r="G173" s="47" t="s">
        <v>24</v>
      </c>
      <c r="H173" s="48">
        <v>1</v>
      </c>
      <c r="I173" s="49"/>
      <c r="J173" s="49"/>
      <c r="K173" s="50"/>
      <c r="L173" s="51"/>
      <c r="M173" s="50">
        <f t="shared" si="0"/>
        <v>0</v>
      </c>
      <c r="N173" s="50"/>
      <c r="O173" s="31"/>
      <c r="P173" s="108">
        <v>3</v>
      </c>
      <c r="Q173" s="65">
        <v>4741.03</v>
      </c>
      <c r="R173" s="51"/>
      <c r="S173" s="50">
        <f t="shared" si="1"/>
        <v>0</v>
      </c>
      <c r="T173" s="50"/>
      <c r="U173" s="3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105"/>
      <c r="G174" s="35" t="s">
        <v>28</v>
      </c>
      <c r="H174" s="106"/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159</v>
      </c>
      <c r="C175" s="381" t="s">
        <v>22</v>
      </c>
      <c r="D175" s="381"/>
      <c r="E175" s="381" t="s">
        <v>160</v>
      </c>
      <c r="F175" s="46"/>
      <c r="G175" s="47" t="s">
        <v>24</v>
      </c>
      <c r="H175" s="107"/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16</v>
      </c>
      <c r="Q175" s="65">
        <v>20835.490000000002</v>
      </c>
      <c r="R175" s="51"/>
      <c r="S175" s="50">
        <f t="shared" si="1"/>
        <v>0</v>
      </c>
      <c r="T175" s="50"/>
      <c r="U175" s="3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02"/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119"/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0</v>
      </c>
      <c r="T181" s="43"/>
      <c r="U181" s="4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54"/>
      <c r="G183" s="55" t="s">
        <v>28</v>
      </c>
      <c r="H183" s="56">
        <v>1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2</v>
      </c>
      <c r="Q183" s="114">
        <v>2977.55</v>
      </c>
      <c r="R183" s="44"/>
      <c r="S183" s="43">
        <f t="shared" si="1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23"/>
      <c r="Q186" s="50"/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119"/>
      <c r="I188" s="25"/>
      <c r="J188" s="25"/>
      <c r="K188" s="26"/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173"/>
      <c r="G189" s="35" t="s">
        <v>28</v>
      </c>
      <c r="H189" s="36"/>
      <c r="I189" s="37"/>
      <c r="J189" s="37"/>
      <c r="K189" s="39"/>
      <c r="L189" s="40"/>
      <c r="M189" s="39">
        <f t="shared" si="0"/>
        <v>0</v>
      </c>
      <c r="N189" s="39"/>
      <c r="O189" s="58"/>
      <c r="P189" s="174">
        <v>1</v>
      </c>
      <c r="Q189" s="175">
        <v>1152.5999999999999</v>
      </c>
      <c r="R189" s="40"/>
      <c r="S189" s="39">
        <f t="shared" si="1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169</v>
      </c>
      <c r="C190" s="381" t="s">
        <v>22</v>
      </c>
      <c r="D190" s="381"/>
      <c r="E190" s="381" t="s">
        <v>27</v>
      </c>
      <c r="F190" s="46"/>
      <c r="G190" s="47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1"/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2"/>
      <c r="G192" s="23" t="s">
        <v>24</v>
      </c>
      <c r="H192" s="48">
        <v>1</v>
      </c>
      <c r="I192" s="25"/>
      <c r="J192" s="25"/>
      <c r="K192" s="26"/>
      <c r="L192" s="27"/>
      <c r="M192" s="26">
        <f t="shared" si="0"/>
        <v>0</v>
      </c>
      <c r="N192" s="26"/>
      <c r="O192" s="31"/>
      <c r="P192" s="53">
        <v>11</v>
      </c>
      <c r="Q192" s="30">
        <v>29205.8</v>
      </c>
      <c r="R192" s="27"/>
      <c r="S192" s="26">
        <f t="shared" si="1"/>
        <v>0</v>
      </c>
      <c r="T192" s="26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171</v>
      </c>
      <c r="C194" s="381" t="s">
        <v>22</v>
      </c>
      <c r="D194" s="381"/>
      <c r="E194" s="381" t="s">
        <v>27</v>
      </c>
      <c r="F194" s="46"/>
      <c r="G194" s="23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54"/>
      <c r="G195" s="55" t="s">
        <v>28</v>
      </c>
      <c r="H195" s="116"/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4" t="s">
        <v>22</v>
      </c>
      <c r="D196" s="374"/>
      <c r="E196" s="374" t="s">
        <v>121</v>
      </c>
      <c r="F196" s="22"/>
      <c r="G196" s="23" t="s">
        <v>24</v>
      </c>
      <c r="H196" s="107"/>
      <c r="I196" s="25"/>
      <c r="J196" s="25"/>
      <c r="K196" s="26"/>
      <c r="L196" s="27"/>
      <c r="M196" s="26">
        <f t="shared" si="0"/>
        <v>0</v>
      </c>
      <c r="N196" s="26"/>
      <c r="O196" s="31"/>
      <c r="P196" s="53">
        <v>20</v>
      </c>
      <c r="Q196" s="30">
        <v>29001.87</v>
      </c>
      <c r="R196" s="27"/>
      <c r="S196" s="26">
        <f t="shared" si="1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/>
      <c r="E198" s="25"/>
      <c r="F198" s="22"/>
      <c r="G198" s="23" t="s">
        <v>24</v>
      </c>
      <c r="H198" s="61">
        <v>1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8"/>
      <c r="F199" s="34"/>
      <c r="G199" s="35" t="s">
        <v>25</v>
      </c>
      <c r="H199" s="117">
        <v>1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174</v>
      </c>
      <c r="C200" s="381" t="s">
        <v>39</v>
      </c>
      <c r="D200" s="381" t="s">
        <v>175</v>
      </c>
      <c r="E200" s="381" t="s">
        <v>176</v>
      </c>
      <c r="F200" s="46"/>
      <c r="G200" s="47" t="s">
        <v>24</v>
      </c>
      <c r="H200" s="107"/>
      <c r="I200" s="49"/>
      <c r="J200" s="49"/>
      <c r="K200" s="50"/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2324.41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74" t="s">
        <v>22</v>
      </c>
      <c r="D202" s="374"/>
      <c r="E202" s="374" t="s">
        <v>27</v>
      </c>
      <c r="F202" s="22"/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8</v>
      </c>
      <c r="Q202" s="30">
        <v>20068.18</v>
      </c>
      <c r="R202" s="27"/>
      <c r="S202" s="26">
        <f t="shared" si="1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104"/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104"/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46"/>
      <c r="G208" s="47" t="s">
        <v>24</v>
      </c>
      <c r="H208" s="48">
        <v>2</v>
      </c>
      <c r="I208" s="49"/>
      <c r="J208" s="49"/>
      <c r="K208" s="50"/>
      <c r="L208" s="51"/>
      <c r="M208" s="50">
        <f t="shared" si="0"/>
        <v>0</v>
      </c>
      <c r="N208" s="50"/>
      <c r="O208" s="31"/>
      <c r="P208" s="108">
        <v>9</v>
      </c>
      <c r="Q208" s="65">
        <v>31034.59</v>
      </c>
      <c r="R208" s="51"/>
      <c r="S208" s="50">
        <f t="shared" si="1"/>
        <v>0</v>
      </c>
      <c r="T208" s="50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0</v>
      </c>
      <c r="T209" s="43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3</v>
      </c>
      <c r="I210" s="25"/>
      <c r="J210" s="25"/>
      <c r="K210" s="26"/>
      <c r="L210" s="27"/>
      <c r="M210" s="26">
        <f t="shared" si="0"/>
        <v>0</v>
      </c>
      <c r="N210" s="26"/>
      <c r="O210" s="31"/>
      <c r="P210" s="53">
        <v>3</v>
      </c>
      <c r="Q210" s="30">
        <v>18152.009999999998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107"/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54"/>
      <c r="G213" s="55" t="s">
        <v>28</v>
      </c>
      <c r="H213" s="133">
        <v>1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54"/>
      <c r="G215" s="55" t="s">
        <v>28</v>
      </c>
      <c r="H215" s="111"/>
      <c r="I215" s="57"/>
      <c r="J215" s="57"/>
      <c r="K215" s="43"/>
      <c r="L215" s="44"/>
      <c r="M215" s="43">
        <f t="shared" si="0"/>
        <v>0</v>
      </c>
      <c r="N215" s="43"/>
      <c r="O215" s="41"/>
      <c r="P215" s="103"/>
      <c r="Q215" s="43"/>
      <c r="R215" s="44"/>
      <c r="S215" s="43">
        <f t="shared" si="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2"/>
      <c r="G216" s="23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03"/>
      <c r="Q217" s="43"/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60"/>
      <c r="G218" s="23" t="s">
        <v>24</v>
      </c>
      <c r="H218" s="107"/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10828.63</v>
      </c>
      <c r="R218" s="27"/>
      <c r="S218" s="26">
        <f t="shared" si="1"/>
        <v>0</v>
      </c>
      <c r="T218" s="26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35" t="s">
        <v>28</v>
      </c>
      <c r="H219" s="153">
        <v>2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46"/>
      <c r="G220" s="23" t="s">
        <v>24</v>
      </c>
      <c r="H220" s="48">
        <v>1</v>
      </c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11</v>
      </c>
      <c r="Q220" s="65">
        <v>24461.09</v>
      </c>
      <c r="R220" s="51"/>
      <c r="S220" s="50">
        <f t="shared" si="1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54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0</v>
      </c>
      <c r="T223" s="43"/>
      <c r="U223" s="45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119"/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105"/>
      <c r="G225" s="35" t="s">
        <v>28</v>
      </c>
      <c r="H225" s="36"/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4"/>
      <c r="G227" s="35" t="s">
        <v>28</v>
      </c>
      <c r="H227" s="102"/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0</v>
      </c>
      <c r="T227" s="39"/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192</v>
      </c>
      <c r="C228" s="381" t="s">
        <v>22</v>
      </c>
      <c r="D228" s="381"/>
      <c r="E228" s="381" t="s">
        <v>193</v>
      </c>
      <c r="F228" s="46"/>
      <c r="G228" s="23" t="s">
        <v>24</v>
      </c>
      <c r="H228" s="104"/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10</v>
      </c>
      <c r="Q228" s="65">
        <v>17890.599999999999</v>
      </c>
      <c r="R228" s="51"/>
      <c r="S228" s="50">
        <f t="shared" si="1"/>
        <v>0</v>
      </c>
      <c r="T228" s="50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4" t="s">
        <v>22</v>
      </c>
      <c r="D230" s="374"/>
      <c r="E230" s="374" t="s">
        <v>160</v>
      </c>
      <c r="F230" s="22"/>
      <c r="G230" s="23" t="s">
        <v>24</v>
      </c>
      <c r="H230" s="107"/>
      <c r="I230" s="49"/>
      <c r="J230" s="49"/>
      <c r="K230" s="50"/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0</v>
      </c>
      <c r="T230" s="26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34"/>
      <c r="G231" s="35" t="s">
        <v>28</v>
      </c>
      <c r="H231" s="106"/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81" t="s">
        <v>22</v>
      </c>
      <c r="D232" s="381"/>
      <c r="E232" s="381" t="s">
        <v>27</v>
      </c>
      <c r="F232" s="46"/>
      <c r="G232" s="47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5</v>
      </c>
      <c r="Q232" s="65">
        <v>42908.57</v>
      </c>
      <c r="R232" s="51"/>
      <c r="S232" s="50">
        <f t="shared" si="1"/>
        <v>0</v>
      </c>
      <c r="T232" s="50"/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54"/>
      <c r="G233" s="55" t="s">
        <v>28</v>
      </c>
      <c r="H233" s="178">
        <v>1</v>
      </c>
      <c r="I233" s="130"/>
      <c r="J233" s="130"/>
      <c r="K233" s="43"/>
      <c r="L233" s="44"/>
      <c r="M233" s="43">
        <f t="shared" si="0"/>
        <v>0</v>
      </c>
      <c r="N233" s="43"/>
      <c r="O233" s="45"/>
      <c r="P233" s="130">
        <v>2</v>
      </c>
      <c r="Q233" s="130">
        <v>1849.55</v>
      </c>
      <c r="R233" s="44"/>
      <c r="S233" s="43">
        <f t="shared" si="1"/>
        <v>0</v>
      </c>
      <c r="T233" s="43"/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34"/>
      <c r="G235" s="35" t="s">
        <v>28</v>
      </c>
      <c r="H235" s="36"/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23"/>
      <c r="Q236" s="50"/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54"/>
      <c r="G237" s="55" t="s">
        <v>28</v>
      </c>
      <c r="H237" s="153">
        <v>1</v>
      </c>
      <c r="I237" s="57"/>
      <c r="J237" s="57"/>
      <c r="K237" s="43"/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1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4</v>
      </c>
      <c r="Q238" s="30">
        <v>13493.49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34"/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54"/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0</v>
      </c>
      <c r="T243" s="43"/>
      <c r="U243" s="45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107"/>
      <c r="I246" s="49"/>
      <c r="J246" s="49"/>
      <c r="K246" s="50"/>
      <c r="L246" s="51"/>
      <c r="M246" s="50">
        <f t="shared" si="0"/>
        <v>0</v>
      </c>
      <c r="N246" s="50"/>
      <c r="O246" s="31"/>
      <c r="P246" s="123"/>
      <c r="Q246" s="50"/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54"/>
      <c r="G247" s="55" t="s">
        <v>28</v>
      </c>
      <c r="H247" s="102"/>
      <c r="I247" s="57"/>
      <c r="J247" s="57"/>
      <c r="K247" s="43"/>
      <c r="L247" s="128"/>
      <c r="M247" s="129">
        <f t="shared" si="0"/>
        <v>0</v>
      </c>
      <c r="N247" s="43"/>
      <c r="O247" s="45"/>
      <c r="P247" s="103"/>
      <c r="Q247" s="43"/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06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2</v>
      </c>
      <c r="I250" s="49"/>
      <c r="J250" s="49"/>
      <c r="K250" s="50"/>
      <c r="L250" s="51"/>
      <c r="M250" s="50">
        <f t="shared" si="0"/>
        <v>0</v>
      </c>
      <c r="N250" s="50"/>
      <c r="O250" s="31"/>
      <c r="P250" s="123"/>
      <c r="Q250" s="50"/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79</v>
      </c>
      <c r="I252" s="183">
        <f t="shared" si="2"/>
        <v>6</v>
      </c>
      <c r="J252" s="183">
        <f t="shared" si="2"/>
        <v>6</v>
      </c>
      <c r="K252" s="184">
        <f t="shared" si="2"/>
        <v>12765.029999999999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497</v>
      </c>
      <c r="Q252" s="188">
        <f t="shared" si="2"/>
        <v>1425247.62</v>
      </c>
      <c r="R252" s="185">
        <f t="shared" si="2"/>
        <v>0</v>
      </c>
      <c r="S252" s="188">
        <f t="shared" si="2"/>
        <v>0</v>
      </c>
      <c r="T252" s="188">
        <f t="shared" si="2"/>
        <v>0</v>
      </c>
      <c r="U252" s="189">
        <f t="shared" si="2"/>
        <v>0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53</v>
      </c>
      <c r="H258" s="193">
        <f t="shared" si="3"/>
        <v>6</v>
      </c>
      <c r="I258" s="193">
        <f t="shared" si="3"/>
        <v>6</v>
      </c>
      <c r="J258" s="194">
        <f t="shared" ref="J258:J260" si="4">SUMIF($G$9:$G$251,F258,$K$9:$K$251)</f>
        <v>12765.029999999999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460</v>
      </c>
      <c r="P258" s="194">
        <f t="shared" ref="P258:P260" si="8">SUMIF($G$9:$G$251,F258,$Q$9:$Q$251)</f>
        <v>1340231.8699999999</v>
      </c>
      <c r="Q258" s="195">
        <f t="shared" ref="Q258:Q260" si="9">SUMIF($G$9:$G$251,F258,$R$9:$R$251)</f>
        <v>0</v>
      </c>
      <c r="R258" s="194">
        <f t="shared" ref="R258:R260" si="10">SUMIF($G$9:$G$251,F258,$S$9:$S$251)</f>
        <v>0</v>
      </c>
      <c r="S258" s="194">
        <f t="shared" ref="S258:T258" si="11">SUMIF($G$9:$G$251,$F$258,T9:T251)</f>
        <v>0</v>
      </c>
      <c r="T258" s="194">
        <f t="shared" si="11"/>
        <v>0</v>
      </c>
      <c r="U258" s="194">
        <f t="shared" ref="U258:U260" si="12">S258+M258</f>
        <v>0</v>
      </c>
      <c r="V258" s="196">
        <f t="shared" ref="V258:V260" si="13">J258-M258+P258-S258</f>
        <v>1352996.9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193">
        <f t="shared" ref="G259:I259" si="14">SUMIF($G$9:$G$251,$F$259,H9:H251)</f>
        <v>22</v>
      </c>
      <c r="H259" s="193">
        <f t="shared" si="14"/>
        <v>0</v>
      </c>
      <c r="I259" s="193">
        <f t="shared" si="14"/>
        <v>0</v>
      </c>
      <c r="J259" s="194">
        <f t="shared" si="4"/>
        <v>0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33</v>
      </c>
      <c r="P259" s="194">
        <f t="shared" si="8"/>
        <v>79041.440000000002</v>
      </c>
      <c r="Q259" s="195">
        <f t="shared" si="9"/>
        <v>0</v>
      </c>
      <c r="R259" s="194">
        <f t="shared" si="10"/>
        <v>0</v>
      </c>
      <c r="S259" s="194">
        <f t="shared" ref="S259:T259" si="16">SUMIF($G$9:$G$251,$F$259,T9:T251)</f>
        <v>0</v>
      </c>
      <c r="T259" s="194">
        <f t="shared" si="16"/>
        <v>0</v>
      </c>
      <c r="U259" s="194">
        <f t="shared" si="12"/>
        <v>0</v>
      </c>
      <c r="V259" s="196">
        <f t="shared" si="13"/>
        <v>79041.440000000002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4</v>
      </c>
      <c r="H260" s="193">
        <f t="shared" si="17"/>
        <v>0</v>
      </c>
      <c r="I260" s="193">
        <f t="shared" si="17"/>
        <v>0</v>
      </c>
      <c r="J260" s="194">
        <f t="shared" si="4"/>
        <v>0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4</v>
      </c>
      <c r="P260" s="194">
        <f t="shared" si="8"/>
        <v>5974.3099999999995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5974.3099999999995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79</v>
      </c>
      <c r="H261" s="197">
        <f t="shared" si="20"/>
        <v>6</v>
      </c>
      <c r="I261" s="197">
        <f t="shared" si="20"/>
        <v>6</v>
      </c>
      <c r="J261" s="198">
        <f t="shared" si="20"/>
        <v>12765.029999999999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497</v>
      </c>
      <c r="P261" s="198">
        <f t="shared" si="20"/>
        <v>1425247.6199999999</v>
      </c>
      <c r="Q261" s="200">
        <f t="shared" si="20"/>
        <v>0</v>
      </c>
      <c r="R261" s="198">
        <f t="shared" si="20"/>
        <v>0</v>
      </c>
      <c r="S261" s="198">
        <f t="shared" si="20"/>
        <v>0</v>
      </c>
      <c r="T261" s="198">
        <f t="shared" si="20"/>
        <v>0</v>
      </c>
      <c r="U261" s="198">
        <f t="shared" si="20"/>
        <v>0</v>
      </c>
      <c r="V261" s="198">
        <f t="shared" si="20"/>
        <v>1438012.65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2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6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14</v>
      </c>
      <c r="K13" s="79">
        <v>28664.04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18</v>
      </c>
      <c r="I15" s="62">
        <v>17</v>
      </c>
      <c r="J15" s="62">
        <v>24</v>
      </c>
      <c r="K15" s="30">
        <v>63004.34</v>
      </c>
      <c r="L15" s="205">
        <v>21</v>
      </c>
      <c r="M15" s="26">
        <f t="shared" si="0"/>
        <v>55399.29</v>
      </c>
      <c r="N15" s="30">
        <v>55399.29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4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1</v>
      </c>
      <c r="M18" s="211">
        <f t="shared" si="0"/>
        <v>576.29999999999995</v>
      </c>
      <c r="N18" s="211">
        <f>576.3</f>
        <v>576.29999999999995</v>
      </c>
      <c r="O18" s="212"/>
      <c r="P18" s="262">
        <v>7</v>
      </c>
      <c r="Q18" s="209">
        <v>24148.51</v>
      </c>
      <c r="R18" s="290">
        <v>3</v>
      </c>
      <c r="S18" s="211">
        <f t="shared" si="1"/>
        <v>11446</v>
      </c>
      <c r="T18" s="209">
        <f>7027.7+4418.3</f>
        <v>11446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10</v>
      </c>
      <c r="I19" s="62">
        <v>6</v>
      </c>
      <c r="J19" s="62">
        <v>6</v>
      </c>
      <c r="K19" s="30">
        <v>11266.13</v>
      </c>
      <c r="L19" s="205">
        <v>4</v>
      </c>
      <c r="M19" s="26">
        <f t="shared" si="0"/>
        <v>4141.68</v>
      </c>
      <c r="N19" s="30">
        <v>4141.68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5</v>
      </c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8</v>
      </c>
      <c r="I21" s="266">
        <v>6</v>
      </c>
      <c r="J21" s="266">
        <v>11</v>
      </c>
      <c r="K21" s="79">
        <v>18693.64</v>
      </c>
      <c r="L21" s="268">
        <v>9</v>
      </c>
      <c r="M21" s="81">
        <f t="shared" si="0"/>
        <v>16872.189999999999</v>
      </c>
      <c r="N21" s="79">
        <v>16872.189999999999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432</v>
      </c>
      <c r="E23" s="381" t="s">
        <v>41</v>
      </c>
      <c r="F23" s="223" t="s">
        <v>255</v>
      </c>
      <c r="G23" s="23" t="s">
        <v>24</v>
      </c>
      <c r="H23" s="48">
        <v>14</v>
      </c>
      <c r="I23" s="203">
        <v>13</v>
      </c>
      <c r="J23" s="203">
        <v>20</v>
      </c>
      <c r="K23" s="65">
        <v>27065.53</v>
      </c>
      <c r="L23" s="224">
        <v>16</v>
      </c>
      <c r="M23" s="50">
        <f t="shared" si="0"/>
        <v>23101.61</v>
      </c>
      <c r="N23" s="65">
        <v>23101.61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11</v>
      </c>
      <c r="I25" s="62">
        <v>7</v>
      </c>
      <c r="J25" s="62">
        <v>7</v>
      </c>
      <c r="K25" s="62">
        <v>5386.43</v>
      </c>
      <c r="L25" s="205">
        <v>6</v>
      </c>
      <c r="M25" s="26">
        <f t="shared" si="0"/>
        <v>4262.51</v>
      </c>
      <c r="N25" s="30">
        <v>4262.51</v>
      </c>
      <c r="O25" s="225"/>
      <c r="P25" s="53">
        <v>8</v>
      </c>
      <c r="Q25" s="30">
        <v>10662.31</v>
      </c>
      <c r="R25" s="205">
        <v>5</v>
      </c>
      <c r="S25" s="26">
        <f t="shared" si="1"/>
        <v>8390.39</v>
      </c>
      <c r="T25" s="30">
        <v>8390.39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3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11</v>
      </c>
      <c r="J27" s="203">
        <v>18</v>
      </c>
      <c r="K27" s="65">
        <v>32058.39</v>
      </c>
      <c r="L27" s="224">
        <v>18</v>
      </c>
      <c r="M27" s="50">
        <f t="shared" si="0"/>
        <v>32058.39</v>
      </c>
      <c r="N27" s="65">
        <v>32058.39</v>
      </c>
      <c r="O27" s="225"/>
      <c r="P27" s="53">
        <v>14</v>
      </c>
      <c r="Q27" s="30">
        <v>23941.11</v>
      </c>
      <c r="R27" s="205">
        <v>13</v>
      </c>
      <c r="S27" s="26">
        <f t="shared" si="1"/>
        <v>23258.73</v>
      </c>
      <c r="T27" s="30">
        <v>23258.73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4</v>
      </c>
      <c r="I28" s="130">
        <v>1</v>
      </c>
      <c r="J28" s="130">
        <v>1</v>
      </c>
      <c r="K28" s="114">
        <v>1204.2</v>
      </c>
      <c r="L28" s="44"/>
      <c r="M28" s="43">
        <f t="shared" si="0"/>
        <v>0</v>
      </c>
      <c r="N28" s="43"/>
      <c r="O28" s="41"/>
      <c r="P28" s="115">
        <v>4</v>
      </c>
      <c r="Q28" s="68">
        <v>16596.400000000001</v>
      </c>
      <c r="R28" s="285">
        <v>5</v>
      </c>
      <c r="S28" s="39">
        <f t="shared" si="1"/>
        <v>18263.100000000002</v>
      </c>
      <c r="T28" s="68">
        <f>4302+3533.6+960.5+5240.8+4226.2</f>
        <v>18263.100000000002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3</v>
      </c>
      <c r="S30" s="43">
        <f t="shared" si="1"/>
        <v>18665.68</v>
      </c>
      <c r="T30" s="114">
        <f>14247.38+1921+2497.3</f>
        <v>18665.68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8</v>
      </c>
      <c r="I33" s="203">
        <v>4</v>
      </c>
      <c r="J33" s="203">
        <v>5</v>
      </c>
      <c r="K33" s="65">
        <v>8549.15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7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95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21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6</v>
      </c>
      <c r="I37" s="203">
        <v>6</v>
      </c>
      <c r="J37" s="203">
        <v>6</v>
      </c>
      <c r="K37" s="65">
        <v>7209.83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5</v>
      </c>
      <c r="Q37" s="65">
        <v>16862.68</v>
      </c>
      <c r="R37" s="317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1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2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3</v>
      </c>
      <c r="Q43" s="30">
        <v>4264.95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12</v>
      </c>
      <c r="I45" s="266">
        <v>12</v>
      </c>
      <c r="J45" s="266">
        <v>12</v>
      </c>
      <c r="K45" s="79">
        <v>16687.98</v>
      </c>
      <c r="L45" s="268">
        <v>12</v>
      </c>
      <c r="M45" s="81">
        <f t="shared" si="2"/>
        <v>16687.98</v>
      </c>
      <c r="N45" s="79">
        <v>16687.98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17</v>
      </c>
      <c r="I47" s="62">
        <v>7</v>
      </c>
      <c r="J47" s="62">
        <v>8</v>
      </c>
      <c r="K47" s="30">
        <v>8567.49</v>
      </c>
      <c r="L47" s="205">
        <v>8</v>
      </c>
      <c r="M47" s="26">
        <f t="shared" si="2"/>
        <v>8567.49</v>
      </c>
      <c r="N47" s="30">
        <v>8567.49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80"/>
      <c r="F48" s="233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390</v>
      </c>
      <c r="C49" s="374" t="s">
        <v>22</v>
      </c>
      <c r="D49" s="374"/>
      <c r="E49" s="374" t="s">
        <v>391</v>
      </c>
      <c r="F49" s="204" t="s">
        <v>392</v>
      </c>
      <c r="G49" s="213" t="s">
        <v>24</v>
      </c>
      <c r="H49" s="61">
        <v>6</v>
      </c>
      <c r="I49" s="62">
        <v>2</v>
      </c>
      <c r="J49" s="62">
        <v>2</v>
      </c>
      <c r="K49" s="30">
        <v>3766.34</v>
      </c>
      <c r="L49" s="205">
        <v>1</v>
      </c>
      <c r="M49" s="26">
        <f t="shared" si="2"/>
        <v>1324.62</v>
      </c>
      <c r="N49" s="30">
        <v>1324.62</v>
      </c>
      <c r="O49" s="28"/>
      <c r="P49" s="275"/>
      <c r="Q49" s="26"/>
      <c r="R49" s="27"/>
      <c r="S49" s="26">
        <f t="shared" si="3"/>
        <v>0</v>
      </c>
      <c r="T49" s="26"/>
      <c r="U49" s="2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06"/>
      <c r="I50" s="38"/>
      <c r="J50" s="38"/>
      <c r="K50" s="39"/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6"/>
      <c r="B51" s="377" t="s">
        <v>358</v>
      </c>
      <c r="C51" s="377"/>
      <c r="D51" s="377"/>
      <c r="E51" s="377"/>
      <c r="F51" s="76"/>
      <c r="G51" s="73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82"/>
      <c r="P51" s="303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34"/>
      <c r="G52" s="215" t="s">
        <v>28</v>
      </c>
      <c r="H52" s="117">
        <v>1</v>
      </c>
      <c r="I52" s="37">
        <v>1</v>
      </c>
      <c r="J52" s="37">
        <v>1</v>
      </c>
      <c r="K52" s="68">
        <v>576.29999999999995</v>
      </c>
      <c r="L52" s="40"/>
      <c r="M52" s="39">
        <f t="shared" si="2"/>
        <v>0</v>
      </c>
      <c r="N52" s="39"/>
      <c r="O52" s="41"/>
      <c r="P52" s="276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60</v>
      </c>
      <c r="C53" s="374" t="s">
        <v>39</v>
      </c>
      <c r="D53" s="374" t="s">
        <v>61</v>
      </c>
      <c r="E53" s="383" t="s">
        <v>27</v>
      </c>
      <c r="F53" s="204" t="s">
        <v>463</v>
      </c>
      <c r="G53" s="176" t="s">
        <v>24</v>
      </c>
      <c r="H53" s="74"/>
      <c r="I53" s="96"/>
      <c r="J53" s="96"/>
      <c r="K53" s="81"/>
      <c r="L53" s="80"/>
      <c r="M53" s="81">
        <f t="shared" si="2"/>
        <v>0</v>
      </c>
      <c r="N53" s="81"/>
      <c r="O53" s="97"/>
      <c r="P53" s="277"/>
      <c r="Q53" s="81"/>
      <c r="R53" s="80"/>
      <c r="S53" s="81">
        <f t="shared" si="3"/>
        <v>0</v>
      </c>
      <c r="T53" s="81"/>
      <c r="U53" s="8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401"/>
      <c r="F54" s="34"/>
      <c r="G54" s="229" t="s">
        <v>28</v>
      </c>
      <c r="H54" s="112">
        <v>5</v>
      </c>
      <c r="I54" s="130">
        <v>2</v>
      </c>
      <c r="J54" s="130">
        <v>2</v>
      </c>
      <c r="K54" s="114">
        <v>3411.9</v>
      </c>
      <c r="L54" s="44"/>
      <c r="M54" s="43">
        <f t="shared" si="2"/>
        <v>0</v>
      </c>
      <c r="N54" s="43"/>
      <c r="O54" s="58"/>
      <c r="P54" s="59"/>
      <c r="Q54" s="39"/>
      <c r="R54" s="40"/>
      <c r="S54" s="39">
        <f t="shared" si="3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62</v>
      </c>
      <c r="C55" s="374" t="s">
        <v>39</v>
      </c>
      <c r="D55" s="374" t="s">
        <v>63</v>
      </c>
      <c r="E55" s="374" t="s">
        <v>27</v>
      </c>
      <c r="F55" s="232" t="s">
        <v>359</v>
      </c>
      <c r="G55" s="23" t="s">
        <v>24</v>
      </c>
      <c r="H55" s="24">
        <v>4</v>
      </c>
      <c r="I55" s="62">
        <v>2</v>
      </c>
      <c r="J55" s="62">
        <v>2</v>
      </c>
      <c r="K55" s="30">
        <v>1754.47</v>
      </c>
      <c r="L55" s="205">
        <v>2</v>
      </c>
      <c r="M55" s="26">
        <f t="shared" si="2"/>
        <v>1754.47</v>
      </c>
      <c r="N55" s="30">
        <v>1754.47</v>
      </c>
      <c r="O55" s="31"/>
      <c r="P55" s="108">
        <v>7</v>
      </c>
      <c r="Q55" s="65">
        <v>15242.58</v>
      </c>
      <c r="R55" s="224">
        <v>7</v>
      </c>
      <c r="S55" s="50">
        <f t="shared" si="3"/>
        <v>15242.58</v>
      </c>
      <c r="T55" s="65">
        <v>15242.58</v>
      </c>
      <c r="U55" s="3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34"/>
      <c r="G56" s="35" t="s">
        <v>28</v>
      </c>
      <c r="H56" s="66">
        <v>4</v>
      </c>
      <c r="I56" s="37">
        <v>1</v>
      </c>
      <c r="J56" s="37">
        <v>1</v>
      </c>
      <c r="K56" s="68">
        <v>2007</v>
      </c>
      <c r="L56" s="285">
        <v>1</v>
      </c>
      <c r="M56" s="39">
        <f t="shared" si="2"/>
        <v>2007</v>
      </c>
      <c r="N56" s="39">
        <f>2007</f>
        <v>2007</v>
      </c>
      <c r="O56" s="41"/>
      <c r="P56" s="115">
        <v>7</v>
      </c>
      <c r="Q56" s="68">
        <v>14652.43</v>
      </c>
      <c r="R56" s="285">
        <v>12</v>
      </c>
      <c r="S56" s="39">
        <f t="shared" si="3"/>
        <v>26971.13</v>
      </c>
      <c r="T56" s="68">
        <f>2209.2+576.3+13639.1+1921+1921+3438.83+3265.7</f>
        <v>26971.13</v>
      </c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66</v>
      </c>
      <c r="C57" s="374" t="s">
        <v>22</v>
      </c>
      <c r="D57" s="374"/>
      <c r="E57" s="374" t="s">
        <v>67</v>
      </c>
      <c r="F57" s="223" t="s">
        <v>360</v>
      </c>
      <c r="G57" s="176" t="s">
        <v>24</v>
      </c>
      <c r="H57" s="278">
        <v>4</v>
      </c>
      <c r="I57" s="203">
        <v>3</v>
      </c>
      <c r="J57" s="203">
        <v>5</v>
      </c>
      <c r="K57" s="65">
        <v>6927.86</v>
      </c>
      <c r="L57" s="224">
        <v>5</v>
      </c>
      <c r="M57" s="50">
        <f t="shared" si="2"/>
        <v>6927.86</v>
      </c>
      <c r="N57" s="65">
        <v>6927.86</v>
      </c>
      <c r="O57" s="31"/>
      <c r="P57" s="53">
        <v>4</v>
      </c>
      <c r="Q57" s="30">
        <v>12223.84</v>
      </c>
      <c r="R57" s="205">
        <v>4</v>
      </c>
      <c r="S57" s="26">
        <f t="shared" si="3"/>
        <v>12223.84</v>
      </c>
      <c r="T57" s="30">
        <v>12223.84</v>
      </c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105"/>
      <c r="G58" s="229" t="s">
        <v>28</v>
      </c>
      <c r="H58" s="230"/>
      <c r="I58" s="57"/>
      <c r="J58" s="57"/>
      <c r="K58" s="43"/>
      <c r="L58" s="44"/>
      <c r="M58" s="43">
        <f t="shared" si="2"/>
        <v>0</v>
      </c>
      <c r="N58" s="43"/>
      <c r="O58" s="41"/>
      <c r="P58" s="59"/>
      <c r="Q58" s="39"/>
      <c r="R58" s="40"/>
      <c r="S58" s="39">
        <f t="shared" si="3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6"/>
      <c r="B59" s="377" t="s">
        <v>68</v>
      </c>
      <c r="C59" s="377" t="s">
        <v>39</v>
      </c>
      <c r="D59" s="377" t="s">
        <v>69</v>
      </c>
      <c r="E59" s="377" t="s">
        <v>65</v>
      </c>
      <c r="F59" s="223" t="s">
        <v>263</v>
      </c>
      <c r="G59" s="95" t="s">
        <v>24</v>
      </c>
      <c r="H59" s="61">
        <v>13</v>
      </c>
      <c r="I59" s="62">
        <v>12</v>
      </c>
      <c r="J59" s="62">
        <v>13</v>
      </c>
      <c r="K59" s="30">
        <v>23872.07</v>
      </c>
      <c r="L59" s="205">
        <v>11</v>
      </c>
      <c r="M59" s="26">
        <f t="shared" si="2"/>
        <v>20141.560000000001</v>
      </c>
      <c r="N59" s="30">
        <v>20141.560000000001</v>
      </c>
      <c r="O59" s="225"/>
      <c r="P59" s="53">
        <v>6</v>
      </c>
      <c r="Q59" s="30">
        <v>45189.01</v>
      </c>
      <c r="R59" s="205">
        <v>6</v>
      </c>
      <c r="S59" s="26">
        <f t="shared" si="3"/>
        <v>45189.01</v>
      </c>
      <c r="T59" s="30">
        <v>45189.01</v>
      </c>
      <c r="U59" s="225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05" t="s">
        <v>222</v>
      </c>
      <c r="G60" s="35" t="s">
        <v>28</v>
      </c>
      <c r="H60" s="117">
        <v>4</v>
      </c>
      <c r="I60" s="37">
        <v>3</v>
      </c>
      <c r="J60" s="37">
        <v>3</v>
      </c>
      <c r="K60" s="68">
        <v>3099.46</v>
      </c>
      <c r="L60" s="285">
        <v>2</v>
      </c>
      <c r="M60" s="39">
        <f t="shared" si="2"/>
        <v>2497.3000000000002</v>
      </c>
      <c r="N60" s="39">
        <f>1921+576.3</f>
        <v>2497.3000000000002</v>
      </c>
      <c r="O60" s="41"/>
      <c r="P60" s="115">
        <v>1</v>
      </c>
      <c r="Q60" s="68">
        <v>576.29999999999995</v>
      </c>
      <c r="R60" s="285">
        <v>1</v>
      </c>
      <c r="S60" s="39">
        <f t="shared" si="3"/>
        <v>144.08000000000001</v>
      </c>
      <c r="T60" s="39">
        <f>144.08</f>
        <v>144.08000000000001</v>
      </c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70</v>
      </c>
      <c r="C61" s="374" t="s">
        <v>39</v>
      </c>
      <c r="D61" s="374" t="s">
        <v>284</v>
      </c>
      <c r="E61" s="374" t="s">
        <v>55</v>
      </c>
      <c r="F61" s="204" t="s">
        <v>285</v>
      </c>
      <c r="G61" s="176" t="s">
        <v>24</v>
      </c>
      <c r="H61" s="48">
        <v>20</v>
      </c>
      <c r="I61" s="203">
        <v>12</v>
      </c>
      <c r="J61" s="203">
        <v>18</v>
      </c>
      <c r="K61" s="65">
        <v>40586.410000000003</v>
      </c>
      <c r="L61" s="224">
        <v>17</v>
      </c>
      <c r="M61" s="50">
        <f t="shared" si="2"/>
        <v>39743.47</v>
      </c>
      <c r="N61" s="65">
        <v>39743.47</v>
      </c>
      <c r="O61" s="225"/>
      <c r="P61" s="53">
        <v>35</v>
      </c>
      <c r="Q61" s="30">
        <v>84174.76</v>
      </c>
      <c r="R61" s="205">
        <v>34</v>
      </c>
      <c r="S61" s="26">
        <f t="shared" si="3"/>
        <v>83293.759999999995</v>
      </c>
      <c r="T61" s="30">
        <v>83293.759999999995</v>
      </c>
      <c r="U61" s="243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229" t="s">
        <v>25</v>
      </c>
      <c r="H62" s="272"/>
      <c r="I62" s="261"/>
      <c r="J62" s="261"/>
      <c r="K62" s="211"/>
      <c r="L62" s="210"/>
      <c r="M62" s="211">
        <f t="shared" si="2"/>
        <v>0</v>
      </c>
      <c r="N62" s="211"/>
      <c r="O62" s="212"/>
      <c r="P62" s="273"/>
      <c r="Q62" s="211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361</v>
      </c>
      <c r="C63" s="374" t="s">
        <v>39</v>
      </c>
      <c r="D63" s="374" t="s">
        <v>393</v>
      </c>
      <c r="E63" s="377" t="s">
        <v>27</v>
      </c>
      <c r="F63" s="204" t="s">
        <v>394</v>
      </c>
      <c r="G63" s="213" t="s">
        <v>24</v>
      </c>
      <c r="H63" s="24">
        <v>11</v>
      </c>
      <c r="I63" s="62">
        <v>4</v>
      </c>
      <c r="J63" s="62">
        <v>4</v>
      </c>
      <c r="K63" s="30">
        <v>7581.29</v>
      </c>
      <c r="L63" s="205">
        <v>3</v>
      </c>
      <c r="M63" s="26">
        <f t="shared" si="2"/>
        <v>5443.83</v>
      </c>
      <c r="N63" s="30">
        <v>5443.83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247"/>
      <c r="G64" s="279" t="s">
        <v>28</v>
      </c>
      <c r="H64" s="207">
        <v>5</v>
      </c>
      <c r="I64" s="208"/>
      <c r="J64" s="208"/>
      <c r="K64" s="209"/>
      <c r="L64" s="210"/>
      <c r="M64" s="211">
        <f t="shared" si="2"/>
        <v>0</v>
      </c>
      <c r="N64" s="211"/>
      <c r="O64" s="212"/>
      <c r="P64" s="280"/>
      <c r="Q64" s="209"/>
      <c r="R64" s="210"/>
      <c r="S64" s="211">
        <f t="shared" si="3"/>
        <v>0</v>
      </c>
      <c r="T64" s="211"/>
      <c r="U64" s="212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362</v>
      </c>
      <c r="C65" s="374" t="s">
        <v>39</v>
      </c>
      <c r="D65" s="374" t="s">
        <v>395</v>
      </c>
      <c r="E65" s="374" t="s">
        <v>27</v>
      </c>
      <c r="F65" s="204" t="s">
        <v>396</v>
      </c>
      <c r="G65" s="176" t="s">
        <v>24</v>
      </c>
      <c r="H65" s="248">
        <v>6</v>
      </c>
      <c r="I65" s="62">
        <v>3</v>
      </c>
      <c r="J65" s="62">
        <v>4</v>
      </c>
      <c r="K65" s="30">
        <v>8451.36</v>
      </c>
      <c r="L65" s="205">
        <v>3</v>
      </c>
      <c r="M65" s="26">
        <f t="shared" si="2"/>
        <v>6733.37</v>
      </c>
      <c r="N65" s="30">
        <v>6733.37</v>
      </c>
      <c r="O65" s="28"/>
      <c r="P65" s="214"/>
      <c r="Q65" s="30"/>
      <c r="R65" s="27"/>
      <c r="S65" s="26">
        <f t="shared" si="3"/>
        <v>0</v>
      </c>
      <c r="T65" s="26"/>
      <c r="U65" s="2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34"/>
      <c r="G66" s="229" t="s">
        <v>28</v>
      </c>
      <c r="H66" s="258">
        <v>6</v>
      </c>
      <c r="I66" s="37"/>
      <c r="J66" s="37"/>
      <c r="K66" s="68"/>
      <c r="L66" s="40"/>
      <c r="M66" s="39">
        <f t="shared" si="2"/>
        <v>0</v>
      </c>
      <c r="N66" s="39"/>
      <c r="O66" s="41"/>
      <c r="P66" s="217"/>
      <c r="Q66" s="68"/>
      <c r="R66" s="40"/>
      <c r="S66" s="39">
        <f t="shared" si="3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6"/>
      <c r="B67" s="377" t="s">
        <v>72</v>
      </c>
      <c r="C67" s="377" t="s">
        <v>39</v>
      </c>
      <c r="D67" s="377" t="s">
        <v>363</v>
      </c>
      <c r="E67" s="377" t="s">
        <v>27</v>
      </c>
      <c r="F67" s="232" t="s">
        <v>364</v>
      </c>
      <c r="G67" s="95" t="s">
        <v>24</v>
      </c>
      <c r="H67" s="281">
        <v>6</v>
      </c>
      <c r="I67" s="266">
        <v>3</v>
      </c>
      <c r="J67" s="266">
        <v>3</v>
      </c>
      <c r="K67" s="79">
        <v>10543.17</v>
      </c>
      <c r="L67" s="268">
        <v>3</v>
      </c>
      <c r="M67" s="81">
        <f t="shared" si="2"/>
        <v>10543.17</v>
      </c>
      <c r="N67" s="79">
        <v>10543.17</v>
      </c>
      <c r="O67" s="219"/>
      <c r="P67" s="267">
        <v>3</v>
      </c>
      <c r="Q67" s="79">
        <v>4835.93</v>
      </c>
      <c r="R67" s="268">
        <v>3</v>
      </c>
      <c r="S67" s="81">
        <f t="shared" si="3"/>
        <v>4835.93</v>
      </c>
      <c r="T67" s="79">
        <v>4835.93</v>
      </c>
      <c r="U67" s="269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9"/>
      <c r="B68" s="380"/>
      <c r="C68" s="380"/>
      <c r="D68" s="380"/>
      <c r="E68" s="380"/>
      <c r="F68" s="233" t="s">
        <v>223</v>
      </c>
      <c r="G68" s="227" t="s">
        <v>28</v>
      </c>
      <c r="H68" s="112">
        <v>6</v>
      </c>
      <c r="I68" s="130">
        <v>4</v>
      </c>
      <c r="J68" s="130">
        <v>4</v>
      </c>
      <c r="K68" s="114">
        <v>6601.18</v>
      </c>
      <c r="L68" s="316">
        <v>4</v>
      </c>
      <c r="M68" s="129">
        <f t="shared" si="2"/>
        <v>6601.18</v>
      </c>
      <c r="N68" s="43">
        <f>1344.7+1738.48+2113.1+1404.9</f>
        <v>6601.18</v>
      </c>
      <c r="O68" s="45"/>
      <c r="P68" s="103"/>
      <c r="Q68" s="43"/>
      <c r="R68" s="128"/>
      <c r="S68" s="129">
        <f t="shared" si="3"/>
        <v>0</v>
      </c>
      <c r="T68" s="43"/>
      <c r="U68" s="45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73</v>
      </c>
      <c r="C69" s="374" t="s">
        <v>22</v>
      </c>
      <c r="D69" s="374"/>
      <c r="E69" s="374" t="s">
        <v>27</v>
      </c>
      <c r="F69" s="204" t="s">
        <v>209</v>
      </c>
      <c r="G69" s="176" t="s">
        <v>24</v>
      </c>
      <c r="H69" s="61">
        <v>5</v>
      </c>
      <c r="I69" s="62">
        <v>4</v>
      </c>
      <c r="J69" s="62">
        <v>4</v>
      </c>
      <c r="K69" s="30">
        <v>5904.82</v>
      </c>
      <c r="L69" s="205">
        <v>4</v>
      </c>
      <c r="M69" s="26">
        <f t="shared" si="2"/>
        <v>5904.82</v>
      </c>
      <c r="N69" s="30">
        <v>5904.82</v>
      </c>
      <c r="O69" s="28"/>
      <c r="P69" s="29">
        <v>9</v>
      </c>
      <c r="Q69" s="30">
        <v>16995.990000000002</v>
      </c>
      <c r="R69" s="205">
        <v>9</v>
      </c>
      <c r="S69" s="26">
        <f t="shared" si="3"/>
        <v>16995.990000000002</v>
      </c>
      <c r="T69" s="30">
        <v>16995.990000000002</v>
      </c>
      <c r="U69" s="2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05"/>
      <c r="G70" s="229" t="s">
        <v>28</v>
      </c>
      <c r="H70" s="106"/>
      <c r="I70" s="38"/>
      <c r="J70" s="38"/>
      <c r="K70" s="39"/>
      <c r="L70" s="40"/>
      <c r="M70" s="39">
        <f t="shared" si="2"/>
        <v>0</v>
      </c>
      <c r="N70" s="39"/>
      <c r="O70" s="41"/>
      <c r="P70" s="69"/>
      <c r="Q70" s="39"/>
      <c r="R70" s="40"/>
      <c r="S70" s="39">
        <f t="shared" si="3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74</v>
      </c>
      <c r="C71" s="374" t="s">
        <v>39</v>
      </c>
      <c r="D71" s="374" t="s">
        <v>264</v>
      </c>
      <c r="E71" s="374" t="s">
        <v>27</v>
      </c>
      <c r="F71" s="204" t="s">
        <v>265</v>
      </c>
      <c r="G71" s="176" t="s">
        <v>24</v>
      </c>
      <c r="H71" s="48">
        <v>2</v>
      </c>
      <c r="I71" s="49"/>
      <c r="J71" s="49"/>
      <c r="K71" s="50"/>
      <c r="L71" s="51"/>
      <c r="M71" s="50">
        <f t="shared" si="2"/>
        <v>0</v>
      </c>
      <c r="N71" s="50"/>
      <c r="O71" s="31"/>
      <c r="P71" s="108">
        <v>20</v>
      </c>
      <c r="Q71" s="65">
        <v>107069.27</v>
      </c>
      <c r="R71" s="224">
        <v>15</v>
      </c>
      <c r="S71" s="50">
        <f t="shared" si="3"/>
        <v>73353.95</v>
      </c>
      <c r="T71" s="65">
        <v>73353.95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286</v>
      </c>
      <c r="G72" s="229" t="s">
        <v>28</v>
      </c>
      <c r="H72" s="56">
        <v>5</v>
      </c>
      <c r="I72" s="130">
        <v>1</v>
      </c>
      <c r="J72" s="130">
        <v>1</v>
      </c>
      <c r="K72" s="114">
        <v>1056.5999999999999</v>
      </c>
      <c r="L72" s="270">
        <v>1</v>
      </c>
      <c r="M72" s="43">
        <f t="shared" si="2"/>
        <v>1152.5999999999999</v>
      </c>
      <c r="N72" s="43">
        <f>1152.6</f>
        <v>1152.5999999999999</v>
      </c>
      <c r="O72" s="41"/>
      <c r="P72" s="113">
        <v>1</v>
      </c>
      <c r="Q72" s="114">
        <v>2881.5</v>
      </c>
      <c r="R72" s="270">
        <v>1</v>
      </c>
      <c r="S72" s="43">
        <f t="shared" si="3"/>
        <v>2881.5</v>
      </c>
      <c r="T72" s="114">
        <v>2881.5</v>
      </c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76</v>
      </c>
      <c r="C73" s="374" t="s">
        <v>39</v>
      </c>
      <c r="D73" s="374" t="s">
        <v>397</v>
      </c>
      <c r="E73" s="374" t="s">
        <v>77</v>
      </c>
      <c r="F73" s="232" t="s">
        <v>398</v>
      </c>
      <c r="G73" s="23" t="s">
        <v>24</v>
      </c>
      <c r="H73" s="61">
        <v>10</v>
      </c>
      <c r="I73" s="62">
        <v>9</v>
      </c>
      <c r="J73" s="62">
        <v>11</v>
      </c>
      <c r="K73" s="30">
        <v>23718.52</v>
      </c>
      <c r="L73" s="205">
        <v>10</v>
      </c>
      <c r="M73" s="26">
        <f t="shared" si="2"/>
        <v>22978.94</v>
      </c>
      <c r="N73" s="30">
        <v>22978.94</v>
      </c>
      <c r="O73" s="225"/>
      <c r="P73" s="29">
        <v>5</v>
      </c>
      <c r="Q73" s="30">
        <v>10539.19</v>
      </c>
      <c r="R73" s="205">
        <v>5</v>
      </c>
      <c r="S73" s="26">
        <f t="shared" si="3"/>
        <v>10539.19</v>
      </c>
      <c r="T73" s="30">
        <v>10539.19</v>
      </c>
      <c r="U73" s="225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220" t="s">
        <v>287</v>
      </c>
      <c r="G74" s="35" t="s">
        <v>28</v>
      </c>
      <c r="H74" s="117">
        <v>4</v>
      </c>
      <c r="I74" s="38"/>
      <c r="J74" s="38"/>
      <c r="K74" s="39"/>
      <c r="L74" s="40"/>
      <c r="M74" s="39">
        <f t="shared" si="2"/>
        <v>0</v>
      </c>
      <c r="N74" s="39"/>
      <c r="O74" s="41"/>
      <c r="P74" s="69"/>
      <c r="Q74" s="39"/>
      <c r="R74" s="40"/>
      <c r="S74" s="39">
        <f t="shared" si="3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78</v>
      </c>
      <c r="C75" s="381" t="s">
        <v>22</v>
      </c>
      <c r="D75" s="381"/>
      <c r="E75" s="374" t="s">
        <v>77</v>
      </c>
      <c r="F75" s="204" t="s">
        <v>408</v>
      </c>
      <c r="G75" s="47" t="s">
        <v>24</v>
      </c>
      <c r="H75" s="48">
        <v>2</v>
      </c>
      <c r="I75" s="203">
        <v>2</v>
      </c>
      <c r="J75" s="203">
        <v>3</v>
      </c>
      <c r="K75" s="65">
        <v>1661.67</v>
      </c>
      <c r="L75" s="224">
        <v>1</v>
      </c>
      <c r="M75" s="50">
        <f t="shared" si="2"/>
        <v>633.92999999999995</v>
      </c>
      <c r="N75" s="65">
        <v>633.92999999999995</v>
      </c>
      <c r="O75" s="225"/>
      <c r="P75" s="123"/>
      <c r="Q75" s="50"/>
      <c r="R75" s="51"/>
      <c r="S75" s="50">
        <f t="shared" si="3"/>
        <v>0</v>
      </c>
      <c r="T75" s="50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26"/>
      <c r="G76" s="55" t="s">
        <v>28</v>
      </c>
      <c r="H76" s="131"/>
      <c r="I76" s="57"/>
      <c r="J76" s="57"/>
      <c r="K76" s="43"/>
      <c r="L76" s="44"/>
      <c r="M76" s="43">
        <f t="shared" si="2"/>
        <v>0</v>
      </c>
      <c r="N76" s="43"/>
      <c r="O76" s="41"/>
      <c r="P76" s="103"/>
      <c r="Q76" s="43"/>
      <c r="R76" s="44"/>
      <c r="S76" s="43">
        <f t="shared" si="3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79</v>
      </c>
      <c r="C77" s="374" t="s">
        <v>22</v>
      </c>
      <c r="D77" s="374"/>
      <c r="E77" s="374" t="s">
        <v>50</v>
      </c>
      <c r="F77" s="204" t="s">
        <v>444</v>
      </c>
      <c r="G77" s="23" t="s">
        <v>24</v>
      </c>
      <c r="H77" s="61">
        <v>8</v>
      </c>
      <c r="I77" s="62">
        <v>6</v>
      </c>
      <c r="J77" s="62">
        <v>9</v>
      </c>
      <c r="K77" s="30">
        <v>14971.8</v>
      </c>
      <c r="L77" s="205">
        <v>9</v>
      </c>
      <c r="M77" s="26">
        <f t="shared" si="2"/>
        <v>14971.8</v>
      </c>
      <c r="N77" s="30">
        <v>14971.8</v>
      </c>
      <c r="O77" s="31"/>
      <c r="P77" s="53">
        <v>3</v>
      </c>
      <c r="Q77" s="30">
        <v>6335.58</v>
      </c>
      <c r="R77" s="205">
        <v>2</v>
      </c>
      <c r="S77" s="26">
        <f t="shared" si="3"/>
        <v>4729.9799999999996</v>
      </c>
      <c r="T77" s="30">
        <v>4729.9799999999996</v>
      </c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35" t="s">
        <v>25</v>
      </c>
      <c r="H78" s="117">
        <v>3</v>
      </c>
      <c r="I78" s="37">
        <v>2</v>
      </c>
      <c r="J78" s="37">
        <v>2</v>
      </c>
      <c r="K78" s="68">
        <v>1479.45</v>
      </c>
      <c r="L78" s="285">
        <v>2</v>
      </c>
      <c r="M78" s="68">
        <v>1479.45</v>
      </c>
      <c r="N78" s="68">
        <v>1479.45</v>
      </c>
      <c r="O78" s="41"/>
      <c r="P78" s="59"/>
      <c r="Q78" s="39"/>
      <c r="R78" s="40"/>
      <c r="S78" s="39">
        <f t="shared" si="3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82"/>
      <c r="B79" s="381" t="s">
        <v>80</v>
      </c>
      <c r="C79" s="381" t="s">
        <v>22</v>
      </c>
      <c r="D79" s="381"/>
      <c r="E79" s="381" t="s">
        <v>67</v>
      </c>
      <c r="F79" s="223" t="s">
        <v>399</v>
      </c>
      <c r="G79" s="47" t="s">
        <v>24</v>
      </c>
      <c r="H79" s="48">
        <v>10</v>
      </c>
      <c r="I79" s="203">
        <v>6</v>
      </c>
      <c r="J79" s="203">
        <v>9</v>
      </c>
      <c r="K79" s="158">
        <v>12064.84</v>
      </c>
      <c r="L79" s="224">
        <v>9</v>
      </c>
      <c r="M79" s="50">
        <f t="shared" ref="M79:M95" si="4">N79+O79</f>
        <v>12064.84</v>
      </c>
      <c r="N79" s="65">
        <v>12064.84</v>
      </c>
      <c r="O79" s="225"/>
      <c r="P79" s="108">
        <v>10</v>
      </c>
      <c r="Q79" s="65">
        <v>40632.5</v>
      </c>
      <c r="R79" s="224">
        <v>10</v>
      </c>
      <c r="S79" s="50">
        <f t="shared" si="3"/>
        <v>40632.5</v>
      </c>
      <c r="T79" s="65">
        <v>40632.5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9"/>
      <c r="B80" s="380"/>
      <c r="C80" s="380"/>
      <c r="D80" s="380"/>
      <c r="E80" s="380"/>
      <c r="F80" s="226"/>
      <c r="G80" s="227" t="s">
        <v>28</v>
      </c>
      <c r="H80" s="118"/>
      <c r="I80" s="57"/>
      <c r="J80" s="57"/>
      <c r="L80" s="44"/>
      <c r="M80" s="43">
        <f t="shared" si="4"/>
        <v>0</v>
      </c>
      <c r="N80" s="43"/>
      <c r="O80" s="41"/>
      <c r="P80" s="103"/>
      <c r="Q80" s="43"/>
      <c r="R80" s="44"/>
      <c r="S80" s="43">
        <f t="shared" si="3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81</v>
      </c>
      <c r="C81" s="374" t="s">
        <v>39</v>
      </c>
      <c r="D81" s="374" t="s">
        <v>224</v>
      </c>
      <c r="E81" s="374" t="s">
        <v>65</v>
      </c>
      <c r="F81" s="204" t="s">
        <v>225</v>
      </c>
      <c r="G81" s="176" t="s">
        <v>24</v>
      </c>
      <c r="H81" s="248">
        <v>35</v>
      </c>
      <c r="I81" s="62">
        <v>31</v>
      </c>
      <c r="J81" s="62">
        <v>46</v>
      </c>
      <c r="K81" s="30">
        <v>87983.76</v>
      </c>
      <c r="L81" s="205">
        <v>38</v>
      </c>
      <c r="M81" s="26">
        <f t="shared" si="4"/>
        <v>75742.87</v>
      </c>
      <c r="N81" s="30">
        <v>75742.87</v>
      </c>
      <c r="O81" s="225"/>
      <c r="P81" s="29">
        <v>24</v>
      </c>
      <c r="Q81" s="30">
        <v>80699.88</v>
      </c>
      <c r="R81" s="205">
        <v>23</v>
      </c>
      <c r="S81" s="26">
        <f t="shared" si="3"/>
        <v>68475.47</v>
      </c>
      <c r="T81" s="30">
        <v>68475.47</v>
      </c>
      <c r="U81" s="225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282" t="s">
        <v>28</v>
      </c>
      <c r="H82" s="283"/>
      <c r="I82" s="261"/>
      <c r="J82" s="261"/>
      <c r="K82" s="211"/>
      <c r="L82" s="210"/>
      <c r="M82" s="211">
        <f t="shared" si="4"/>
        <v>0</v>
      </c>
      <c r="N82" s="211"/>
      <c r="O82" s="212"/>
      <c r="P82" s="284"/>
      <c r="Q82" s="211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365</v>
      </c>
      <c r="C83" s="374" t="s">
        <v>39</v>
      </c>
      <c r="D83" s="378" t="s">
        <v>409</v>
      </c>
      <c r="E83" s="374" t="s">
        <v>65</v>
      </c>
      <c r="F83" s="232" t="s">
        <v>410</v>
      </c>
      <c r="G83" s="213" t="s">
        <v>24</v>
      </c>
      <c r="H83" s="24">
        <v>6</v>
      </c>
      <c r="I83" s="62">
        <v>3</v>
      </c>
      <c r="J83" s="62">
        <v>3</v>
      </c>
      <c r="K83" s="30">
        <v>4115.55</v>
      </c>
      <c r="L83" s="205">
        <v>3</v>
      </c>
      <c r="M83" s="26">
        <f t="shared" si="4"/>
        <v>4115.55</v>
      </c>
      <c r="N83" s="30">
        <v>4115.55</v>
      </c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47"/>
      <c r="G84" s="279" t="s">
        <v>28</v>
      </c>
      <c r="H84" s="207">
        <v>4</v>
      </c>
      <c r="I84" s="208">
        <v>1</v>
      </c>
      <c r="J84" s="208">
        <v>1</v>
      </c>
      <c r="K84" s="209">
        <v>2305.1999999999998</v>
      </c>
      <c r="L84" s="290">
        <v>1</v>
      </c>
      <c r="M84" s="211">
        <f t="shared" si="4"/>
        <v>2305.1999999999998</v>
      </c>
      <c r="N84" s="211">
        <f>2305.2</f>
        <v>2305.1999999999998</v>
      </c>
      <c r="O84" s="212"/>
      <c r="P84" s="280"/>
      <c r="Q84" s="209"/>
      <c r="R84" s="210"/>
      <c r="S84" s="211">
        <f t="shared" si="3"/>
        <v>0</v>
      </c>
      <c r="T84" s="211"/>
      <c r="U84" s="212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400</v>
      </c>
      <c r="C85" s="374" t="s">
        <v>22</v>
      </c>
      <c r="D85" s="378"/>
      <c r="E85" s="374" t="s">
        <v>401</v>
      </c>
      <c r="F85" s="204" t="s">
        <v>402</v>
      </c>
      <c r="G85" s="213" t="s">
        <v>24</v>
      </c>
      <c r="H85" s="24"/>
      <c r="I85" s="62"/>
      <c r="J85" s="62"/>
      <c r="K85" s="30"/>
      <c r="L85" s="27"/>
      <c r="M85" s="26">
        <f t="shared" si="4"/>
        <v>0</v>
      </c>
      <c r="N85" s="26"/>
      <c r="O85" s="28"/>
      <c r="P85" s="214"/>
      <c r="Q85" s="30"/>
      <c r="R85" s="27"/>
      <c r="S85" s="26">
        <f t="shared" si="3"/>
        <v>0</v>
      </c>
      <c r="T85" s="26"/>
      <c r="U85" s="2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34"/>
      <c r="G86" s="215" t="s">
        <v>28</v>
      </c>
      <c r="H86" s="66"/>
      <c r="I86" s="37"/>
      <c r="J86" s="37"/>
      <c r="K86" s="68"/>
      <c r="L86" s="40"/>
      <c r="M86" s="39">
        <f t="shared" si="4"/>
        <v>0</v>
      </c>
      <c r="N86" s="39"/>
      <c r="O86" s="41"/>
      <c r="P86" s="217"/>
      <c r="Q86" s="68"/>
      <c r="R86" s="40"/>
      <c r="S86" s="39">
        <f t="shared" si="3"/>
        <v>0</v>
      </c>
      <c r="T86" s="39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6"/>
      <c r="B87" s="377" t="s">
        <v>82</v>
      </c>
      <c r="C87" s="377" t="s">
        <v>22</v>
      </c>
      <c r="D87" s="400"/>
      <c r="E87" s="377" t="s">
        <v>83</v>
      </c>
      <c r="F87" s="223" t="s">
        <v>404</v>
      </c>
      <c r="G87" s="95" t="s">
        <v>24</v>
      </c>
      <c r="H87" s="281">
        <v>10</v>
      </c>
      <c r="I87" s="266">
        <v>8</v>
      </c>
      <c r="J87" s="266">
        <v>13</v>
      </c>
      <c r="K87" s="79">
        <v>22197.56</v>
      </c>
      <c r="L87" s="268">
        <v>13</v>
      </c>
      <c r="M87" s="81">
        <f t="shared" si="4"/>
        <v>22197.56</v>
      </c>
      <c r="N87" s="79">
        <v>22197.56</v>
      </c>
      <c r="O87" s="269"/>
      <c r="P87" s="267">
        <v>10</v>
      </c>
      <c r="Q87" s="79">
        <v>23116.35</v>
      </c>
      <c r="R87" s="268">
        <v>9</v>
      </c>
      <c r="S87" s="81">
        <f t="shared" si="3"/>
        <v>22011.75</v>
      </c>
      <c r="T87" s="79">
        <v>22011.75</v>
      </c>
      <c r="U87" s="269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54"/>
      <c r="G88" s="55" t="s">
        <v>25</v>
      </c>
      <c r="H88" s="121">
        <v>2</v>
      </c>
      <c r="I88" s="130">
        <v>1</v>
      </c>
      <c r="J88" s="130">
        <v>1</v>
      </c>
      <c r="K88" s="114">
        <v>1344.7</v>
      </c>
      <c r="L88" s="270">
        <v>1</v>
      </c>
      <c r="M88" s="43">
        <f t="shared" si="4"/>
        <v>1344.7</v>
      </c>
      <c r="N88" s="114">
        <v>1344.7</v>
      </c>
      <c r="O88" s="234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84</v>
      </c>
      <c r="C89" s="374"/>
      <c r="D89" s="378"/>
      <c r="E89" s="374"/>
      <c r="F89" s="60"/>
      <c r="G89" s="23" t="s">
        <v>24</v>
      </c>
      <c r="H89" s="119"/>
      <c r="I89" s="25"/>
      <c r="J89" s="25"/>
      <c r="K89" s="26"/>
      <c r="L89" s="27"/>
      <c r="M89" s="26">
        <f t="shared" si="4"/>
        <v>0</v>
      </c>
      <c r="N89" s="26"/>
      <c r="O89" s="31"/>
      <c r="P89" s="120"/>
      <c r="Q89" s="26"/>
      <c r="R89" s="27"/>
      <c r="S89" s="26">
        <f t="shared" si="3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132"/>
      <c r="G90" s="35" t="s">
        <v>28</v>
      </c>
      <c r="H90" s="36"/>
      <c r="I90" s="38"/>
      <c r="J90" s="38"/>
      <c r="K90" s="39"/>
      <c r="L90" s="40"/>
      <c r="M90" s="39">
        <f t="shared" si="4"/>
        <v>0</v>
      </c>
      <c r="N90" s="39"/>
      <c r="O90" s="41"/>
      <c r="P90" s="69"/>
      <c r="Q90" s="39"/>
      <c r="R90" s="40"/>
      <c r="S90" s="39">
        <f t="shared" si="3"/>
        <v>0</v>
      </c>
      <c r="T90" s="39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82"/>
      <c r="B91" s="381" t="s">
        <v>85</v>
      </c>
      <c r="C91" s="381" t="s">
        <v>22</v>
      </c>
      <c r="D91" s="385"/>
      <c r="E91" s="381" t="s">
        <v>27</v>
      </c>
      <c r="F91" s="127"/>
      <c r="G91" s="47" t="s">
        <v>24</v>
      </c>
      <c r="H91" s="98"/>
      <c r="I91" s="49"/>
      <c r="J91" s="49"/>
      <c r="K91" s="50"/>
      <c r="L91" s="51"/>
      <c r="M91" s="50">
        <f t="shared" si="4"/>
        <v>0</v>
      </c>
      <c r="N91" s="50"/>
      <c r="O91" s="31"/>
      <c r="P91" s="108">
        <v>1</v>
      </c>
      <c r="Q91" s="65">
        <v>405.02</v>
      </c>
      <c r="R91" s="51"/>
      <c r="S91" s="50">
        <f t="shared" si="3"/>
        <v>0</v>
      </c>
      <c r="T91" s="50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26"/>
      <c r="G92" s="227" t="s">
        <v>28</v>
      </c>
      <c r="H92" s="116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86</v>
      </c>
      <c r="C93" s="374" t="s">
        <v>39</v>
      </c>
      <c r="D93" s="374" t="s">
        <v>266</v>
      </c>
      <c r="E93" s="374" t="s">
        <v>23</v>
      </c>
      <c r="F93" s="204" t="s">
        <v>267</v>
      </c>
      <c r="G93" s="176" t="s">
        <v>24</v>
      </c>
      <c r="H93" s="151">
        <v>2</v>
      </c>
      <c r="I93" s="25"/>
      <c r="J93" s="25"/>
      <c r="K93" s="26"/>
      <c r="L93" s="27"/>
      <c r="M93" s="26">
        <f t="shared" si="4"/>
        <v>0</v>
      </c>
      <c r="N93" s="26"/>
      <c r="O93" s="31"/>
      <c r="P93" s="53">
        <v>8</v>
      </c>
      <c r="Q93" s="30">
        <v>23413.73</v>
      </c>
      <c r="R93" s="205">
        <v>8</v>
      </c>
      <c r="S93" s="26">
        <f t="shared" si="3"/>
        <v>23413.73</v>
      </c>
      <c r="T93" s="30">
        <v>23413.73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25</v>
      </c>
      <c r="H94" s="118"/>
      <c r="I94" s="57"/>
      <c r="J94" s="57"/>
      <c r="K94" s="43"/>
      <c r="L94" s="44"/>
      <c r="M94" s="43">
        <f t="shared" si="4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87</v>
      </c>
      <c r="C95" s="374" t="s">
        <v>39</v>
      </c>
      <c r="D95" s="374" t="s">
        <v>88</v>
      </c>
      <c r="E95" s="374" t="s">
        <v>89</v>
      </c>
      <c r="F95" s="232" t="s">
        <v>268</v>
      </c>
      <c r="G95" s="23" t="s">
        <v>24</v>
      </c>
      <c r="H95" s="61">
        <v>15</v>
      </c>
      <c r="I95" s="62">
        <v>12</v>
      </c>
      <c r="J95" s="62">
        <v>17</v>
      </c>
      <c r="K95" s="30">
        <v>29987.31</v>
      </c>
      <c r="L95" s="205">
        <v>17</v>
      </c>
      <c r="M95" s="26">
        <f t="shared" si="4"/>
        <v>29987.31</v>
      </c>
      <c r="N95" s="30">
        <v>29987.31</v>
      </c>
      <c r="O95" s="31"/>
      <c r="P95" s="53">
        <v>10</v>
      </c>
      <c r="Q95" s="30">
        <v>37445.699999999997</v>
      </c>
      <c r="R95" s="205">
        <v>9</v>
      </c>
      <c r="S95" s="26">
        <f t="shared" si="3"/>
        <v>32936.699999999997</v>
      </c>
      <c r="T95" s="30">
        <v>32936.699999999997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290</v>
      </c>
      <c r="G96" s="35" t="s">
        <v>25</v>
      </c>
      <c r="H96" s="117">
        <v>7</v>
      </c>
      <c r="I96" s="37">
        <v>6</v>
      </c>
      <c r="J96" s="37">
        <v>6</v>
      </c>
      <c r="K96" s="68">
        <v>8961.58</v>
      </c>
      <c r="L96" s="285">
        <v>3</v>
      </c>
      <c r="M96" s="68">
        <v>4303.04</v>
      </c>
      <c r="N96" s="68">
        <v>4303.04</v>
      </c>
      <c r="O96" s="234"/>
      <c r="P96" s="115">
        <v>7</v>
      </c>
      <c r="Q96" s="68">
        <v>19517.36</v>
      </c>
      <c r="R96" s="285">
        <v>7</v>
      </c>
      <c r="S96" s="68">
        <v>19517.36</v>
      </c>
      <c r="T96" s="68">
        <v>19517.36</v>
      </c>
      <c r="U96" s="23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90</v>
      </c>
      <c r="C97" s="374" t="s">
        <v>39</v>
      </c>
      <c r="D97" s="374" t="s">
        <v>91</v>
      </c>
      <c r="E97" s="374" t="s">
        <v>27</v>
      </c>
      <c r="F97" s="204" t="s">
        <v>291</v>
      </c>
      <c r="G97" s="176" t="s">
        <v>24</v>
      </c>
      <c r="H97" s="48">
        <v>5</v>
      </c>
      <c r="I97" s="203">
        <v>2</v>
      </c>
      <c r="J97" s="203">
        <v>2</v>
      </c>
      <c r="K97" s="65">
        <v>2539.56</v>
      </c>
      <c r="L97" s="224">
        <v>2</v>
      </c>
      <c r="M97" s="50">
        <f t="shared" ref="M97:M103" si="5">N97+O97</f>
        <v>2539.56</v>
      </c>
      <c r="N97" s="65">
        <v>2539.56</v>
      </c>
      <c r="O97" s="31"/>
      <c r="P97" s="108">
        <v>8</v>
      </c>
      <c r="Q97" s="65">
        <v>93924.24</v>
      </c>
      <c r="R97" s="224">
        <v>8</v>
      </c>
      <c r="S97" s="50">
        <f t="shared" ref="S97:S103" si="6">T97+U97</f>
        <v>93924.24</v>
      </c>
      <c r="T97" s="65">
        <v>93924.24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229</v>
      </c>
      <c r="G98" s="229" t="s">
        <v>28</v>
      </c>
      <c r="H98" s="133">
        <v>3</v>
      </c>
      <c r="I98" s="130">
        <v>1</v>
      </c>
      <c r="J98" s="130">
        <v>1</v>
      </c>
      <c r="K98" s="114">
        <v>1344.7</v>
      </c>
      <c r="L98" s="270">
        <v>1</v>
      </c>
      <c r="M98" s="43">
        <f t="shared" si="5"/>
        <v>1344.7</v>
      </c>
      <c r="N98" s="43">
        <f>1344.7</f>
        <v>1344.7</v>
      </c>
      <c r="O98" s="41"/>
      <c r="P98" s="103"/>
      <c r="Q98" s="43"/>
      <c r="R98" s="44"/>
      <c r="S98" s="43">
        <f t="shared" si="6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92</v>
      </c>
      <c r="C99" s="374" t="s">
        <v>22</v>
      </c>
      <c r="D99" s="374"/>
      <c r="E99" s="374" t="s">
        <v>27</v>
      </c>
      <c r="F99" s="232" t="s">
        <v>269</v>
      </c>
      <c r="G99" s="23" t="s">
        <v>24</v>
      </c>
      <c r="H99" s="151">
        <v>3</v>
      </c>
      <c r="I99" s="62">
        <v>2</v>
      </c>
      <c r="J99" s="62">
        <v>2</v>
      </c>
      <c r="K99" s="30">
        <v>6064.6</v>
      </c>
      <c r="L99" s="205">
        <v>2</v>
      </c>
      <c r="M99" s="26">
        <f t="shared" si="5"/>
        <v>6064.6</v>
      </c>
      <c r="N99" s="30">
        <v>6064.6</v>
      </c>
      <c r="O99" s="31"/>
      <c r="P99" s="53">
        <v>7</v>
      </c>
      <c r="Q99" s="30">
        <v>37669.07</v>
      </c>
      <c r="R99" s="205">
        <v>7</v>
      </c>
      <c r="S99" s="26">
        <f t="shared" si="6"/>
        <v>37669.07</v>
      </c>
      <c r="T99" s="30">
        <v>37669.07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9"/>
      <c r="B100" s="380"/>
      <c r="C100" s="380"/>
      <c r="D100" s="380"/>
      <c r="E100" s="380"/>
      <c r="F100" s="233" t="s">
        <v>230</v>
      </c>
      <c r="G100" s="227" t="s">
        <v>28</v>
      </c>
      <c r="H100" s="133">
        <v>2</v>
      </c>
      <c r="I100" s="130">
        <v>2</v>
      </c>
      <c r="J100" s="130">
        <v>2</v>
      </c>
      <c r="K100" s="114">
        <v>1756.5</v>
      </c>
      <c r="L100" s="270">
        <v>2</v>
      </c>
      <c r="M100" s="43">
        <f t="shared" si="5"/>
        <v>1780.5</v>
      </c>
      <c r="N100" s="43">
        <f>576.3+1204.2</f>
        <v>1780.5</v>
      </c>
      <c r="O100" s="41"/>
      <c r="P100" s="103"/>
      <c r="Q100" s="43"/>
      <c r="R100" s="44"/>
      <c r="S100" s="43">
        <f t="shared" si="6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93</v>
      </c>
      <c r="C101" s="374" t="s">
        <v>22</v>
      </c>
      <c r="D101" s="374"/>
      <c r="E101" s="374" t="s">
        <v>27</v>
      </c>
      <c r="F101" s="204" t="s">
        <v>412</v>
      </c>
      <c r="G101" s="176" t="s">
        <v>24</v>
      </c>
      <c r="H101" s="151">
        <v>3</v>
      </c>
      <c r="I101" s="62">
        <v>2</v>
      </c>
      <c r="J101" s="62">
        <v>3</v>
      </c>
      <c r="K101" s="30">
        <v>4738.63</v>
      </c>
      <c r="L101" s="205">
        <v>3</v>
      </c>
      <c r="M101" s="26">
        <f t="shared" si="5"/>
        <v>4738.63</v>
      </c>
      <c r="N101" s="30">
        <v>4738.63</v>
      </c>
      <c r="O101" s="225"/>
      <c r="P101" s="53">
        <v>3</v>
      </c>
      <c r="Q101" s="30">
        <v>15479.57</v>
      </c>
      <c r="R101" s="205">
        <v>3</v>
      </c>
      <c r="S101" s="26">
        <f t="shared" si="6"/>
        <v>15479.57</v>
      </c>
      <c r="T101" s="30">
        <v>15479.57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105"/>
      <c r="G102" s="229" t="s">
        <v>28</v>
      </c>
      <c r="H102" s="116"/>
      <c r="I102" s="57"/>
      <c r="J102" s="57"/>
      <c r="K102" s="43"/>
      <c r="L102" s="44"/>
      <c r="M102" s="43">
        <f t="shared" si="5"/>
        <v>0</v>
      </c>
      <c r="N102" s="43"/>
      <c r="O102" s="41"/>
      <c r="P102" s="103"/>
      <c r="Q102" s="43"/>
      <c r="R102" s="44"/>
      <c r="S102" s="43">
        <f t="shared" si="6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94</v>
      </c>
      <c r="C103" s="374" t="s">
        <v>39</v>
      </c>
      <c r="D103" s="374" t="s">
        <v>95</v>
      </c>
      <c r="E103" s="374" t="s">
        <v>96</v>
      </c>
      <c r="F103" s="204" t="s">
        <v>292</v>
      </c>
      <c r="G103" s="176" t="s">
        <v>24</v>
      </c>
      <c r="H103" s="48">
        <v>6</v>
      </c>
      <c r="I103" s="62">
        <v>4</v>
      </c>
      <c r="J103" s="62">
        <v>5</v>
      </c>
      <c r="K103" s="30">
        <v>15598.88</v>
      </c>
      <c r="L103" s="205">
        <v>4</v>
      </c>
      <c r="M103" s="26">
        <f t="shared" si="5"/>
        <v>11188.97</v>
      </c>
      <c r="N103" s="30">
        <v>11188.97</v>
      </c>
      <c r="O103" s="31"/>
      <c r="P103" s="53">
        <v>23</v>
      </c>
      <c r="Q103" s="30">
        <v>59909.59</v>
      </c>
      <c r="R103" s="205">
        <v>21</v>
      </c>
      <c r="S103" s="26">
        <f t="shared" si="6"/>
        <v>53290.5</v>
      </c>
      <c r="T103" s="30">
        <v>53290.5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293</v>
      </c>
      <c r="G104" s="307" t="s">
        <v>25</v>
      </c>
      <c r="H104" s="112">
        <v>7</v>
      </c>
      <c r="I104" s="130">
        <v>7</v>
      </c>
      <c r="J104" s="130">
        <v>7</v>
      </c>
      <c r="K104" s="114">
        <v>9494.5</v>
      </c>
      <c r="L104" s="270">
        <v>6</v>
      </c>
      <c r="M104" s="114">
        <v>8672.4</v>
      </c>
      <c r="N104" s="114">
        <v>8672.4</v>
      </c>
      <c r="O104" s="234"/>
      <c r="P104" s="113">
        <v>8</v>
      </c>
      <c r="Q104" s="114">
        <v>20762.439999999999</v>
      </c>
      <c r="R104" s="270">
        <v>8</v>
      </c>
      <c r="S104" s="114">
        <v>20762.439999999999</v>
      </c>
      <c r="T104" s="114">
        <v>20762.439999999999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97</v>
      </c>
      <c r="C105" s="374" t="s">
        <v>22</v>
      </c>
      <c r="D105" s="374"/>
      <c r="E105" s="374" t="s">
        <v>27</v>
      </c>
      <c r="F105" s="232" t="s">
        <v>406</v>
      </c>
      <c r="G105" s="176" t="s">
        <v>24</v>
      </c>
      <c r="H105" s="248">
        <v>7</v>
      </c>
      <c r="I105" s="62">
        <v>6</v>
      </c>
      <c r="J105" s="62">
        <v>6</v>
      </c>
      <c r="K105" s="30">
        <v>4786.25</v>
      </c>
      <c r="L105" s="205">
        <v>6</v>
      </c>
      <c r="M105" s="26">
        <f t="shared" ref="M105:M120" si="7">N105+O105</f>
        <v>4786.25</v>
      </c>
      <c r="N105" s="30">
        <v>4786.25</v>
      </c>
      <c r="O105" s="225"/>
      <c r="P105" s="53">
        <v>7</v>
      </c>
      <c r="Q105" s="30">
        <v>12035.94</v>
      </c>
      <c r="R105" s="205">
        <v>7</v>
      </c>
      <c r="S105" s="26">
        <f t="shared" ref="S105:S136" si="8">T105+U105</f>
        <v>12035.94</v>
      </c>
      <c r="T105" s="30">
        <v>12035.94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294</v>
      </c>
      <c r="G106" s="229" t="s">
        <v>28</v>
      </c>
      <c r="H106" s="251">
        <v>6</v>
      </c>
      <c r="I106" s="208">
        <v>4</v>
      </c>
      <c r="J106" s="208">
        <v>4</v>
      </c>
      <c r="K106" s="209">
        <v>5955.1</v>
      </c>
      <c r="L106" s="290">
        <v>4</v>
      </c>
      <c r="M106" s="211">
        <f t="shared" si="7"/>
        <v>5955.0999999999995</v>
      </c>
      <c r="N106" s="209">
        <f>1344.7+3265.7+1344.7</f>
        <v>5955.0999999999995</v>
      </c>
      <c r="O106" s="212"/>
      <c r="P106" s="103"/>
      <c r="Q106" s="43"/>
      <c r="R106" s="270">
        <v>1</v>
      </c>
      <c r="S106" s="43">
        <f t="shared" si="8"/>
        <v>2209.15</v>
      </c>
      <c r="T106" s="114">
        <v>2209.15</v>
      </c>
      <c r="U106" s="23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6"/>
      <c r="B107" s="377" t="s">
        <v>98</v>
      </c>
      <c r="C107" s="377" t="s">
        <v>39</v>
      </c>
      <c r="D107" s="377" t="s">
        <v>270</v>
      </c>
      <c r="E107" s="377" t="s">
        <v>99</v>
      </c>
      <c r="F107" s="232" t="s">
        <v>271</v>
      </c>
      <c r="G107" s="73" t="s">
        <v>24</v>
      </c>
      <c r="H107" s="24">
        <v>11</v>
      </c>
      <c r="I107" s="62">
        <v>8</v>
      </c>
      <c r="J107" s="62">
        <v>11</v>
      </c>
      <c r="K107" s="30">
        <v>21963.53</v>
      </c>
      <c r="L107" s="205">
        <v>9</v>
      </c>
      <c r="M107" s="26">
        <f t="shared" si="7"/>
        <v>18370.830000000002</v>
      </c>
      <c r="N107" s="30">
        <v>18370.830000000002</v>
      </c>
      <c r="O107" s="241"/>
      <c r="P107" s="214">
        <v>12</v>
      </c>
      <c r="Q107" s="30">
        <v>50650.69</v>
      </c>
      <c r="R107" s="205">
        <v>12</v>
      </c>
      <c r="S107" s="26">
        <f t="shared" si="8"/>
        <v>50650.69</v>
      </c>
      <c r="T107" s="30">
        <v>50650.69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295</v>
      </c>
      <c r="G108" s="215" t="s">
        <v>28</v>
      </c>
      <c r="H108" s="66">
        <v>7</v>
      </c>
      <c r="I108" s="286">
        <v>5</v>
      </c>
      <c r="J108" s="286">
        <v>5</v>
      </c>
      <c r="K108" s="287">
        <v>11331</v>
      </c>
      <c r="L108" s="315">
        <v>5</v>
      </c>
      <c r="M108" s="39">
        <f t="shared" si="7"/>
        <v>11331</v>
      </c>
      <c r="N108" s="39">
        <f>1921+3073.6+1921+3010.5+1404.9</f>
        <v>11331</v>
      </c>
      <c r="O108" s="41"/>
      <c r="P108" s="217">
        <v>3</v>
      </c>
      <c r="Q108" s="37">
        <v>7587.95</v>
      </c>
      <c r="R108" s="285">
        <v>3</v>
      </c>
      <c r="S108" s="39">
        <f t="shared" si="8"/>
        <v>8740.5499999999993</v>
      </c>
      <c r="T108" s="68">
        <f>1056.55+3457.8+4226.2</f>
        <v>8740.5499999999993</v>
      </c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100</v>
      </c>
      <c r="C109" s="374" t="s">
        <v>39</v>
      </c>
      <c r="D109" s="381" t="s">
        <v>296</v>
      </c>
      <c r="E109" s="381" t="s">
        <v>27</v>
      </c>
      <c r="F109" s="223" t="s">
        <v>297</v>
      </c>
      <c r="G109" s="47" t="s">
        <v>24</v>
      </c>
      <c r="H109" s="218"/>
      <c r="I109" s="96"/>
      <c r="J109" s="96"/>
      <c r="K109" s="81"/>
      <c r="L109" s="80"/>
      <c r="M109" s="81">
        <f t="shared" si="7"/>
        <v>0</v>
      </c>
      <c r="N109" s="81"/>
      <c r="O109" s="219"/>
      <c r="P109" s="108">
        <v>5</v>
      </c>
      <c r="Q109" s="65">
        <v>33607.81</v>
      </c>
      <c r="R109" s="224">
        <v>4</v>
      </c>
      <c r="S109" s="50">
        <f t="shared" si="8"/>
        <v>17684.7</v>
      </c>
      <c r="T109" s="65">
        <v>17684.7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3"/>
      <c r="B110" s="375"/>
      <c r="C110" s="375"/>
      <c r="D110" s="375"/>
      <c r="E110" s="375"/>
      <c r="F110" s="220" t="s">
        <v>298</v>
      </c>
      <c r="G110" s="35" t="s">
        <v>28</v>
      </c>
      <c r="H110" s="133">
        <v>5</v>
      </c>
      <c r="I110" s="37">
        <v>1</v>
      </c>
      <c r="J110" s="37">
        <v>1</v>
      </c>
      <c r="K110" s="68">
        <v>864.45</v>
      </c>
      <c r="L110" s="285">
        <v>1</v>
      </c>
      <c r="M110" s="39">
        <f t="shared" si="7"/>
        <v>864.15</v>
      </c>
      <c r="N110" s="39">
        <f>864.15</f>
        <v>864.15</v>
      </c>
      <c r="O110" s="41"/>
      <c r="P110" s="115">
        <v>1</v>
      </c>
      <c r="Q110" s="68">
        <v>1152.5999999999999</v>
      </c>
      <c r="R110" s="40"/>
      <c r="S110" s="39">
        <f t="shared" si="8"/>
        <v>0</v>
      </c>
      <c r="T110" s="39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82"/>
      <c r="B111" s="381" t="s">
        <v>102</v>
      </c>
      <c r="C111" s="381" t="s">
        <v>22</v>
      </c>
      <c r="D111" s="381"/>
      <c r="E111" s="381" t="s">
        <v>67</v>
      </c>
      <c r="F111" s="223" t="s">
        <v>272</v>
      </c>
      <c r="G111" s="23" t="s">
        <v>24</v>
      </c>
      <c r="H111" s="48">
        <v>7</v>
      </c>
      <c r="I111" s="203">
        <v>5</v>
      </c>
      <c r="J111" s="203">
        <v>6</v>
      </c>
      <c r="K111" s="65">
        <v>10235.59</v>
      </c>
      <c r="L111" s="224">
        <v>6</v>
      </c>
      <c r="M111" s="50">
        <f t="shared" si="7"/>
        <v>10235.59</v>
      </c>
      <c r="N111" s="65">
        <v>10235.59</v>
      </c>
      <c r="O111" s="225"/>
      <c r="P111" s="108">
        <v>9</v>
      </c>
      <c r="Q111" s="65">
        <v>19656.830000000002</v>
      </c>
      <c r="R111" s="224">
        <v>9</v>
      </c>
      <c r="S111" s="50">
        <f t="shared" si="8"/>
        <v>19656.830000000002</v>
      </c>
      <c r="T111" s="65">
        <v>19656.830000000002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9"/>
      <c r="B112" s="380"/>
      <c r="C112" s="380"/>
      <c r="D112" s="380"/>
      <c r="E112" s="380"/>
      <c r="F112" s="220" t="s">
        <v>299</v>
      </c>
      <c r="G112" s="55" t="s">
        <v>28</v>
      </c>
      <c r="H112" s="153">
        <v>8</v>
      </c>
      <c r="I112" s="130">
        <v>2</v>
      </c>
      <c r="J112" s="130">
        <v>2</v>
      </c>
      <c r="K112" s="114">
        <v>2443.1999999999998</v>
      </c>
      <c r="L112" s="316">
        <v>4</v>
      </c>
      <c r="M112" s="50">
        <f t="shared" si="7"/>
        <v>4428.0999999999995</v>
      </c>
      <c r="N112" s="43">
        <f>1290.6+1152.6+1290.6+694.3</f>
        <v>4428.0999999999995</v>
      </c>
      <c r="O112" s="41"/>
      <c r="P112" s="113">
        <v>3</v>
      </c>
      <c r="Q112" s="114">
        <v>14347.1</v>
      </c>
      <c r="R112" s="270">
        <v>4</v>
      </c>
      <c r="S112" s="43">
        <f t="shared" si="8"/>
        <v>19149.900000000001</v>
      </c>
      <c r="T112" s="114">
        <f>4358.2+3649.9+4802.5+6339.3</f>
        <v>19149.900000000001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103</v>
      </c>
      <c r="C113" s="374" t="s">
        <v>22</v>
      </c>
      <c r="D113" s="374"/>
      <c r="E113" s="374" t="s">
        <v>67</v>
      </c>
      <c r="F113" s="232" t="s">
        <v>407</v>
      </c>
      <c r="G113" s="23" t="s">
        <v>24</v>
      </c>
      <c r="H113" s="48">
        <v>6</v>
      </c>
      <c r="I113" s="62">
        <v>1</v>
      </c>
      <c r="J113" s="62">
        <v>2</v>
      </c>
      <c r="K113" s="30">
        <v>3538.71</v>
      </c>
      <c r="L113" s="205">
        <v>2</v>
      </c>
      <c r="M113" s="26">
        <f t="shared" si="7"/>
        <v>3538.71</v>
      </c>
      <c r="N113" s="30">
        <v>3538.71</v>
      </c>
      <c r="O113" s="225"/>
      <c r="P113" s="53">
        <v>6</v>
      </c>
      <c r="Q113" s="30">
        <v>12782.06</v>
      </c>
      <c r="R113" s="205">
        <v>6</v>
      </c>
      <c r="S113" s="26">
        <f t="shared" si="8"/>
        <v>12782.06</v>
      </c>
      <c r="T113" s="30">
        <v>12782.06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220" t="s">
        <v>300</v>
      </c>
      <c r="G114" s="35" t="s">
        <v>28</v>
      </c>
      <c r="H114" s="133">
        <v>6</v>
      </c>
      <c r="I114" s="37">
        <v>5</v>
      </c>
      <c r="J114" s="37">
        <v>6</v>
      </c>
      <c r="K114" s="68">
        <v>12151</v>
      </c>
      <c r="L114" s="285">
        <v>2</v>
      </c>
      <c r="M114" s="39">
        <f t="shared" si="7"/>
        <v>4934.5</v>
      </c>
      <c r="N114" s="39">
        <f>1580.8+3353.7</f>
        <v>4934.5</v>
      </c>
      <c r="O114" s="41"/>
      <c r="P114" s="115">
        <v>2</v>
      </c>
      <c r="Q114" s="68">
        <v>3490.8</v>
      </c>
      <c r="R114" s="285">
        <v>3</v>
      </c>
      <c r="S114" s="39">
        <f t="shared" si="8"/>
        <v>8836.6</v>
      </c>
      <c r="T114" s="39">
        <f>5378.8+1344.7+2113.1</f>
        <v>8836.6</v>
      </c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104</v>
      </c>
      <c r="C115" s="374" t="s">
        <v>39</v>
      </c>
      <c r="D115" s="374" t="s">
        <v>301</v>
      </c>
      <c r="E115" s="374" t="s">
        <v>27</v>
      </c>
      <c r="F115" s="204" t="s">
        <v>302</v>
      </c>
      <c r="G115" s="176" t="s">
        <v>24</v>
      </c>
      <c r="H115" s="48">
        <v>20</v>
      </c>
      <c r="I115" s="203">
        <v>11</v>
      </c>
      <c r="J115" s="203">
        <v>12</v>
      </c>
      <c r="K115" s="65">
        <v>28053.1</v>
      </c>
      <c r="L115" s="224">
        <v>9</v>
      </c>
      <c r="M115" s="50">
        <f t="shared" si="7"/>
        <v>21370</v>
      </c>
      <c r="N115" s="65">
        <v>21370</v>
      </c>
      <c r="O115" s="225"/>
      <c r="P115" s="108">
        <v>20</v>
      </c>
      <c r="Q115" s="65">
        <v>59066.38</v>
      </c>
      <c r="R115" s="224">
        <v>16</v>
      </c>
      <c r="S115" s="50">
        <f t="shared" si="8"/>
        <v>54023.4</v>
      </c>
      <c r="T115" s="65">
        <v>54023.4</v>
      </c>
      <c r="U115" s="225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3"/>
      <c r="B116" s="375"/>
      <c r="C116" s="375"/>
      <c r="D116" s="375"/>
      <c r="E116" s="375"/>
      <c r="F116" s="34"/>
      <c r="G116" s="229" t="s">
        <v>28</v>
      </c>
      <c r="H116" s="116"/>
      <c r="I116" s="57"/>
      <c r="J116" s="57"/>
      <c r="K116" s="43"/>
      <c r="L116" s="44"/>
      <c r="M116" s="43">
        <f t="shared" si="7"/>
        <v>0</v>
      </c>
      <c r="N116" s="43"/>
      <c r="O116" s="41"/>
      <c r="P116" s="103"/>
      <c r="Q116" s="43"/>
      <c r="R116" s="44"/>
      <c r="S116" s="43">
        <f t="shared" si="8"/>
        <v>0</v>
      </c>
      <c r="T116" s="43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106</v>
      </c>
      <c r="C117" s="377" t="s">
        <v>39</v>
      </c>
      <c r="D117" s="374" t="s">
        <v>107</v>
      </c>
      <c r="E117" s="374" t="s">
        <v>27</v>
      </c>
      <c r="F117" s="232" t="s">
        <v>366</v>
      </c>
      <c r="G117" s="23" t="s">
        <v>24</v>
      </c>
      <c r="H117" s="48">
        <v>10</v>
      </c>
      <c r="I117" s="62">
        <v>9</v>
      </c>
      <c r="J117" s="62">
        <v>9</v>
      </c>
      <c r="K117" s="30">
        <v>7593.07</v>
      </c>
      <c r="L117" s="205">
        <v>7</v>
      </c>
      <c r="M117" s="26">
        <f t="shared" si="7"/>
        <v>5591.09</v>
      </c>
      <c r="N117" s="30">
        <v>5591.09</v>
      </c>
      <c r="O117" s="31"/>
      <c r="P117" s="53">
        <v>11</v>
      </c>
      <c r="Q117" s="30">
        <v>74457.03</v>
      </c>
      <c r="R117" s="205">
        <v>10</v>
      </c>
      <c r="S117" s="26">
        <f t="shared" si="8"/>
        <v>64182.14</v>
      </c>
      <c r="T117" s="30">
        <v>64182.14</v>
      </c>
      <c r="U117" s="3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9"/>
      <c r="B118" s="380"/>
      <c r="C118" s="380"/>
      <c r="D118" s="380"/>
      <c r="E118" s="380"/>
      <c r="F118" s="233" t="s">
        <v>233</v>
      </c>
      <c r="G118" s="227" t="s">
        <v>28</v>
      </c>
      <c r="H118" s="153">
        <v>5</v>
      </c>
      <c r="I118" s="57"/>
      <c r="J118" s="57"/>
      <c r="K118" s="43"/>
      <c r="L118" s="270">
        <v>1</v>
      </c>
      <c r="M118" s="43">
        <f t="shared" si="7"/>
        <v>576.29999999999995</v>
      </c>
      <c r="N118" s="43">
        <f>576.3</f>
        <v>576.29999999999995</v>
      </c>
      <c r="O118" s="41"/>
      <c r="P118" s="113">
        <v>2</v>
      </c>
      <c r="Q118" s="114">
        <v>2881.5</v>
      </c>
      <c r="R118" s="270">
        <v>2</v>
      </c>
      <c r="S118" s="43">
        <f t="shared" si="8"/>
        <v>2881.5</v>
      </c>
      <c r="T118" s="57">
        <f>576.3+2305.2</f>
        <v>2881.5</v>
      </c>
      <c r="U118" s="4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2"/>
      <c r="B119" s="374" t="s">
        <v>108</v>
      </c>
      <c r="C119" s="374" t="s">
        <v>46</v>
      </c>
      <c r="D119" s="374" t="s">
        <v>109</v>
      </c>
      <c r="E119" s="374" t="s">
        <v>27</v>
      </c>
      <c r="F119" s="204" t="s">
        <v>273</v>
      </c>
      <c r="G119" s="176" t="s">
        <v>24</v>
      </c>
      <c r="H119" s="151">
        <v>12</v>
      </c>
      <c r="I119" s="62">
        <v>9</v>
      </c>
      <c r="J119" s="62">
        <v>9</v>
      </c>
      <c r="K119" s="30">
        <v>8773.83</v>
      </c>
      <c r="L119" s="205">
        <v>9</v>
      </c>
      <c r="M119" s="26">
        <f t="shared" si="7"/>
        <v>8773.83</v>
      </c>
      <c r="N119" s="30">
        <v>8773.83</v>
      </c>
      <c r="O119" s="31"/>
      <c r="P119" s="53">
        <v>8</v>
      </c>
      <c r="Q119" s="30">
        <v>32433.51</v>
      </c>
      <c r="R119" s="205">
        <v>8</v>
      </c>
      <c r="S119" s="26">
        <f t="shared" si="8"/>
        <v>32433.51</v>
      </c>
      <c r="T119" s="30">
        <v>32433.51</v>
      </c>
      <c r="U119" s="225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7"/>
      <c r="B120" s="386"/>
      <c r="C120" s="386"/>
      <c r="D120" s="386"/>
      <c r="E120" s="386"/>
      <c r="F120" s="235" t="s">
        <v>234</v>
      </c>
      <c r="G120" s="252" t="s">
        <v>28</v>
      </c>
      <c r="H120" s="48">
        <v>6</v>
      </c>
      <c r="I120" s="246">
        <v>2</v>
      </c>
      <c r="J120" s="246">
        <v>2</v>
      </c>
      <c r="K120" s="158">
        <v>1152.5999999999999</v>
      </c>
      <c r="L120" s="317">
        <v>1</v>
      </c>
      <c r="M120" s="142">
        <f t="shared" si="7"/>
        <v>576.29999999999995</v>
      </c>
      <c r="N120" s="142">
        <f>576.3</f>
        <v>576.29999999999995</v>
      </c>
      <c r="O120" s="45"/>
      <c r="P120" s="157">
        <v>7</v>
      </c>
      <c r="Q120" s="158">
        <v>15445.86</v>
      </c>
      <c r="R120" s="317">
        <v>5</v>
      </c>
      <c r="S120" s="142">
        <f t="shared" si="8"/>
        <v>13044.61</v>
      </c>
      <c r="T120" s="142">
        <f>288.15+576.3+5648.76+3649.9+2881.5</f>
        <v>13044.61</v>
      </c>
      <c r="U120" s="4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45"/>
      <c r="G121" s="253" t="s">
        <v>25</v>
      </c>
      <c r="H121" s="306">
        <v>1</v>
      </c>
      <c r="I121" s="37">
        <v>1</v>
      </c>
      <c r="J121" s="37">
        <v>1</v>
      </c>
      <c r="K121" s="68">
        <v>2881.5</v>
      </c>
      <c r="L121" s="285">
        <v>1</v>
      </c>
      <c r="M121" s="68">
        <v>2881.5</v>
      </c>
      <c r="N121" s="68">
        <v>2881.5</v>
      </c>
      <c r="O121" s="41"/>
      <c r="P121" s="59"/>
      <c r="Q121" s="39"/>
      <c r="R121" s="40"/>
      <c r="S121" s="39">
        <f t="shared" si="8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6"/>
      <c r="B122" s="377" t="s">
        <v>110</v>
      </c>
      <c r="C122" s="377" t="s">
        <v>22</v>
      </c>
      <c r="D122" s="377"/>
      <c r="E122" s="377" t="s">
        <v>67</v>
      </c>
      <c r="F122" s="232" t="s">
        <v>274</v>
      </c>
      <c r="G122" s="23" t="s">
        <v>24</v>
      </c>
      <c r="H122" s="48">
        <v>3</v>
      </c>
      <c r="I122" s="203">
        <v>1</v>
      </c>
      <c r="J122" s="203">
        <v>2</v>
      </c>
      <c r="K122" s="65">
        <v>4022.19</v>
      </c>
      <c r="L122" s="224">
        <v>2</v>
      </c>
      <c r="M122" s="50">
        <f t="shared" ref="M122:M136" si="9">N122+O122</f>
        <v>4022.19</v>
      </c>
      <c r="N122" s="65">
        <v>4022.19</v>
      </c>
      <c r="O122" s="31"/>
      <c r="P122" s="108">
        <v>8</v>
      </c>
      <c r="Q122" s="65">
        <v>34759.74</v>
      </c>
      <c r="R122" s="224">
        <v>7</v>
      </c>
      <c r="S122" s="50">
        <f t="shared" si="8"/>
        <v>34054.94</v>
      </c>
      <c r="T122" s="65">
        <v>34054.94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34"/>
      <c r="G123" s="55" t="s">
        <v>28</v>
      </c>
      <c r="H123" s="116"/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111</v>
      </c>
      <c r="C124" s="374" t="s">
        <v>39</v>
      </c>
      <c r="D124" s="374" t="s">
        <v>435</v>
      </c>
      <c r="E124" s="374" t="s">
        <v>112</v>
      </c>
      <c r="F124" s="232" t="s">
        <v>436</v>
      </c>
      <c r="G124" s="23" t="s">
        <v>24</v>
      </c>
      <c r="H124" s="48">
        <v>7</v>
      </c>
      <c r="I124" s="62">
        <v>4</v>
      </c>
      <c r="J124" s="62">
        <v>5</v>
      </c>
      <c r="K124" s="30">
        <v>5109.87</v>
      </c>
      <c r="L124" s="205">
        <v>5</v>
      </c>
      <c r="M124" s="26">
        <f t="shared" si="9"/>
        <v>5109.87</v>
      </c>
      <c r="N124" s="30">
        <v>5109.87</v>
      </c>
      <c r="O124" s="31"/>
      <c r="P124" s="53">
        <v>4</v>
      </c>
      <c r="Q124" s="30">
        <v>3732.5</v>
      </c>
      <c r="R124" s="205">
        <v>4</v>
      </c>
      <c r="S124" s="26">
        <f t="shared" si="8"/>
        <v>3732.5</v>
      </c>
      <c r="T124" s="30">
        <v>3732.5</v>
      </c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33" t="s">
        <v>235</v>
      </c>
      <c r="G125" s="227" t="s">
        <v>28</v>
      </c>
      <c r="H125" s="133">
        <v>1</v>
      </c>
      <c r="I125" s="57"/>
      <c r="J125" s="57"/>
      <c r="K125" s="43"/>
      <c r="L125" s="44"/>
      <c r="M125" s="43">
        <f t="shared" si="9"/>
        <v>0</v>
      </c>
      <c r="N125" s="43"/>
      <c r="O125" s="41"/>
      <c r="P125" s="103"/>
      <c r="Q125" s="43"/>
      <c r="R125" s="44"/>
      <c r="S125" s="43">
        <f t="shared" si="8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113</v>
      </c>
      <c r="C126" s="374" t="s">
        <v>39</v>
      </c>
      <c r="D126" s="374" t="s">
        <v>114</v>
      </c>
      <c r="E126" s="374" t="s">
        <v>27</v>
      </c>
      <c r="F126" s="204" t="s">
        <v>305</v>
      </c>
      <c r="G126" s="176" t="s">
        <v>24</v>
      </c>
      <c r="H126" s="48">
        <v>14</v>
      </c>
      <c r="I126" s="62">
        <v>12</v>
      </c>
      <c r="J126" s="62">
        <v>18</v>
      </c>
      <c r="K126" s="30">
        <v>38332.99</v>
      </c>
      <c r="L126" s="205">
        <v>18</v>
      </c>
      <c r="M126" s="26">
        <f t="shared" si="9"/>
        <v>38332.99</v>
      </c>
      <c r="N126" s="30">
        <v>38332.99</v>
      </c>
      <c r="O126" s="225"/>
      <c r="P126" s="53">
        <v>10</v>
      </c>
      <c r="Q126" s="30">
        <v>25611.57</v>
      </c>
      <c r="R126" s="205">
        <v>10</v>
      </c>
      <c r="S126" s="26">
        <f t="shared" si="8"/>
        <v>25611.57</v>
      </c>
      <c r="T126" s="30">
        <v>25611.57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220" t="s">
        <v>306</v>
      </c>
      <c r="G127" s="229" t="s">
        <v>28</v>
      </c>
      <c r="H127" s="56">
        <v>3</v>
      </c>
      <c r="I127" s="130">
        <v>2</v>
      </c>
      <c r="J127" s="130">
        <v>2</v>
      </c>
      <c r="K127" s="114">
        <v>2497.3000000000002</v>
      </c>
      <c r="L127" s="270">
        <v>2</v>
      </c>
      <c r="M127" s="43">
        <f t="shared" si="9"/>
        <v>2497.3000000000002</v>
      </c>
      <c r="N127" s="43">
        <f>1152.6+1344.7</f>
        <v>2497.3000000000002</v>
      </c>
      <c r="O127" s="45"/>
      <c r="P127" s="113">
        <v>2</v>
      </c>
      <c r="Q127" s="114">
        <v>5186.7</v>
      </c>
      <c r="R127" s="270">
        <v>2</v>
      </c>
      <c r="S127" s="43">
        <f t="shared" si="8"/>
        <v>5186.7</v>
      </c>
      <c r="T127" s="43">
        <f>5186.7</f>
        <v>5186.7</v>
      </c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115</v>
      </c>
      <c r="C128" s="374" t="s">
        <v>22</v>
      </c>
      <c r="D128" s="374"/>
      <c r="E128" s="374" t="s">
        <v>27</v>
      </c>
      <c r="F128" s="22"/>
      <c r="G128" s="23" t="s">
        <v>24</v>
      </c>
      <c r="H128" s="104"/>
      <c r="I128" s="25"/>
      <c r="J128" s="25"/>
      <c r="K128" s="26"/>
      <c r="L128" s="148"/>
      <c r="M128" s="149">
        <f t="shared" si="9"/>
        <v>0</v>
      </c>
      <c r="N128" s="26"/>
      <c r="O128" s="100"/>
      <c r="P128" s="120"/>
      <c r="Q128" s="26"/>
      <c r="R128" s="27"/>
      <c r="S128" s="26">
        <f t="shared" si="8"/>
        <v>0</v>
      </c>
      <c r="T128" s="26"/>
      <c r="U128" s="3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06"/>
      <c r="I129" s="38"/>
      <c r="J129" s="38"/>
      <c r="K129" s="39"/>
      <c r="L129" s="40"/>
      <c r="M129" s="39">
        <f t="shared" si="9"/>
        <v>0</v>
      </c>
      <c r="N129" s="39"/>
      <c r="O129" s="41"/>
      <c r="P129" s="69"/>
      <c r="Q129" s="39"/>
      <c r="R129" s="40"/>
      <c r="S129" s="39">
        <f t="shared" si="8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116</v>
      </c>
      <c r="C130" s="381" t="s">
        <v>22</v>
      </c>
      <c r="D130" s="381"/>
      <c r="E130" s="381" t="s">
        <v>27</v>
      </c>
      <c r="F130" s="223" t="s">
        <v>307</v>
      </c>
      <c r="G130" s="47" t="s">
        <v>24</v>
      </c>
      <c r="H130" s="61">
        <v>8</v>
      </c>
      <c r="I130" s="62">
        <v>5</v>
      </c>
      <c r="J130" s="62">
        <v>7</v>
      </c>
      <c r="K130" s="30">
        <v>10408.879999999999</v>
      </c>
      <c r="L130" s="205">
        <v>6</v>
      </c>
      <c r="M130" s="26">
        <f t="shared" si="9"/>
        <v>9207.69</v>
      </c>
      <c r="N130" s="30">
        <v>9207.69</v>
      </c>
      <c r="O130" s="243"/>
      <c r="P130" s="64">
        <v>4</v>
      </c>
      <c r="Q130" s="65">
        <v>10597.93</v>
      </c>
      <c r="R130" s="224">
        <v>4</v>
      </c>
      <c r="S130" s="50">
        <f t="shared" si="8"/>
        <v>10597.93</v>
      </c>
      <c r="T130" s="65">
        <v>10597.93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34"/>
      <c r="G131" s="35" t="s">
        <v>28</v>
      </c>
      <c r="H131" s="133">
        <v>3</v>
      </c>
      <c r="I131" s="38"/>
      <c r="J131" s="38"/>
      <c r="K131" s="39"/>
      <c r="L131" s="40"/>
      <c r="M131" s="39">
        <f t="shared" si="9"/>
        <v>0</v>
      </c>
      <c r="N131" s="39"/>
      <c r="O131" s="41"/>
      <c r="P131" s="67">
        <v>1</v>
      </c>
      <c r="Q131" s="68">
        <v>2305.1999999999998</v>
      </c>
      <c r="R131" s="285">
        <v>1</v>
      </c>
      <c r="S131" s="39">
        <f t="shared" si="8"/>
        <v>2305.1999999999998</v>
      </c>
      <c r="T131" s="39">
        <f>2305.2</f>
        <v>2305.1999999999998</v>
      </c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82"/>
      <c r="B132" s="381" t="s">
        <v>117</v>
      </c>
      <c r="C132" s="381" t="s">
        <v>22</v>
      </c>
      <c r="D132" s="381"/>
      <c r="E132" s="381" t="s">
        <v>67</v>
      </c>
      <c r="F132" s="223" t="s">
        <v>308</v>
      </c>
      <c r="G132" s="23" t="s">
        <v>24</v>
      </c>
      <c r="H132" s="48">
        <v>16</v>
      </c>
      <c r="I132" s="203">
        <v>12</v>
      </c>
      <c r="J132" s="203">
        <v>14</v>
      </c>
      <c r="K132" s="65">
        <v>29289.13</v>
      </c>
      <c r="L132" s="224">
        <v>13</v>
      </c>
      <c r="M132" s="50">
        <f t="shared" si="9"/>
        <v>27739.32</v>
      </c>
      <c r="N132" s="65">
        <v>27739.32</v>
      </c>
      <c r="O132" s="225"/>
      <c r="P132" s="108">
        <v>30</v>
      </c>
      <c r="Q132" s="65">
        <v>112880.7</v>
      </c>
      <c r="R132" s="224">
        <v>28</v>
      </c>
      <c r="S132" s="50">
        <f t="shared" si="8"/>
        <v>110872.94</v>
      </c>
      <c r="T132" s="65">
        <v>110872.94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9"/>
      <c r="B133" s="380"/>
      <c r="C133" s="380"/>
      <c r="D133" s="380"/>
      <c r="E133" s="380"/>
      <c r="F133" s="226"/>
      <c r="G133" s="227" t="s">
        <v>28</v>
      </c>
      <c r="H133" s="116"/>
      <c r="I133" s="57"/>
      <c r="J133" s="57"/>
      <c r="K133" s="43"/>
      <c r="L133" s="44"/>
      <c r="M133" s="43">
        <f t="shared" si="9"/>
        <v>0</v>
      </c>
      <c r="N133" s="43"/>
      <c r="O133" s="41"/>
      <c r="P133" s="103"/>
      <c r="Q133" s="43"/>
      <c r="R133" s="44"/>
      <c r="S133" s="43">
        <f t="shared" si="8"/>
        <v>0</v>
      </c>
      <c r="T133" s="43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118</v>
      </c>
      <c r="C134" s="374" t="s">
        <v>39</v>
      </c>
      <c r="D134" s="374" t="s">
        <v>309</v>
      </c>
      <c r="E134" s="374" t="s">
        <v>27</v>
      </c>
      <c r="F134" s="204" t="s">
        <v>310</v>
      </c>
      <c r="G134" s="176" t="s">
        <v>24</v>
      </c>
      <c r="H134" s="151">
        <v>12</v>
      </c>
      <c r="I134" s="62">
        <v>5</v>
      </c>
      <c r="J134" s="62">
        <v>6</v>
      </c>
      <c r="K134" s="30">
        <v>11483.56</v>
      </c>
      <c r="L134" s="205">
        <v>6</v>
      </c>
      <c r="M134" s="26">
        <f t="shared" si="9"/>
        <v>11483.56</v>
      </c>
      <c r="N134" s="30">
        <v>11483.56</v>
      </c>
      <c r="O134" s="31"/>
      <c r="P134" s="53">
        <v>14</v>
      </c>
      <c r="Q134" s="30">
        <v>53062.44</v>
      </c>
      <c r="R134" s="205">
        <v>13</v>
      </c>
      <c r="S134" s="26">
        <f t="shared" si="8"/>
        <v>52477.24</v>
      </c>
      <c r="T134" s="30">
        <v>52477.24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75"/>
      <c r="C135" s="375"/>
      <c r="D135" s="375"/>
      <c r="E135" s="375"/>
      <c r="F135" s="152"/>
      <c r="G135" s="229" t="s">
        <v>28</v>
      </c>
      <c r="H135" s="116"/>
      <c r="I135" s="38"/>
      <c r="J135" s="38"/>
      <c r="K135" s="39"/>
      <c r="L135" s="40"/>
      <c r="M135" s="39">
        <f t="shared" si="9"/>
        <v>0</v>
      </c>
      <c r="N135" s="39"/>
      <c r="O135" s="41"/>
      <c r="P135" s="59"/>
      <c r="Q135" s="39"/>
      <c r="R135" s="40"/>
      <c r="S135" s="39">
        <f t="shared" si="8"/>
        <v>0</v>
      </c>
      <c r="T135" s="39"/>
      <c r="U135" s="4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119</v>
      </c>
      <c r="C136" s="374" t="s">
        <v>39</v>
      </c>
      <c r="D136" s="374" t="s">
        <v>311</v>
      </c>
      <c r="E136" s="374" t="s">
        <v>121</v>
      </c>
      <c r="F136" s="232" t="s">
        <v>312</v>
      </c>
      <c r="G136" s="23" t="s">
        <v>24</v>
      </c>
      <c r="H136" s="151">
        <v>23</v>
      </c>
      <c r="I136" s="62">
        <v>13</v>
      </c>
      <c r="J136" s="62">
        <v>14</v>
      </c>
      <c r="K136" s="30">
        <v>24096.16</v>
      </c>
      <c r="L136" s="205">
        <v>10</v>
      </c>
      <c r="M136" s="26">
        <f t="shared" si="9"/>
        <v>16966.09</v>
      </c>
      <c r="N136" s="30">
        <v>16966.09</v>
      </c>
      <c r="O136" s="31"/>
      <c r="P136" s="53">
        <v>26</v>
      </c>
      <c r="Q136" s="30">
        <v>41600.46</v>
      </c>
      <c r="R136" s="205">
        <v>26</v>
      </c>
      <c r="S136" s="26">
        <f t="shared" si="8"/>
        <v>41600.46</v>
      </c>
      <c r="T136" s="30">
        <v>41600.46</v>
      </c>
      <c r="U136" s="225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80"/>
      <c r="C137" s="380"/>
      <c r="D137" s="380"/>
      <c r="E137" s="380"/>
      <c r="G137" s="227" t="s">
        <v>25</v>
      </c>
      <c r="H137" s="260">
        <v>5</v>
      </c>
      <c r="I137" s="208">
        <v>3</v>
      </c>
      <c r="J137" s="208">
        <v>3</v>
      </c>
      <c r="K137" s="209">
        <v>3668.91</v>
      </c>
      <c r="L137" s="290">
        <v>3</v>
      </c>
      <c r="M137" s="209">
        <v>3668.91</v>
      </c>
      <c r="N137" s="209">
        <v>3668.91</v>
      </c>
      <c r="O137" s="263"/>
      <c r="P137" s="262">
        <v>4</v>
      </c>
      <c r="Q137" s="209">
        <v>16712.7</v>
      </c>
      <c r="R137" s="290">
        <v>4</v>
      </c>
      <c r="S137" s="209">
        <v>16712.7</v>
      </c>
      <c r="T137" s="209">
        <v>16712.7</v>
      </c>
      <c r="U137" s="212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2"/>
      <c r="B138" s="374" t="s">
        <v>464</v>
      </c>
      <c r="C138" s="374" t="s">
        <v>22</v>
      </c>
      <c r="D138" s="374"/>
      <c r="E138" s="374" t="s">
        <v>391</v>
      </c>
      <c r="F138" s="204" t="s">
        <v>465</v>
      </c>
      <c r="G138" s="176" t="s">
        <v>24</v>
      </c>
      <c r="H138" s="61"/>
      <c r="I138" s="62"/>
      <c r="J138" s="62"/>
      <c r="K138" s="30"/>
      <c r="L138" s="27"/>
      <c r="M138" s="26">
        <f t="shared" ref="M138:M153" si="10">N138+O138</f>
        <v>0</v>
      </c>
      <c r="N138" s="26"/>
      <c r="O138" s="28"/>
      <c r="P138" s="214"/>
      <c r="Q138" s="30"/>
      <c r="R138" s="205"/>
      <c r="S138" s="26">
        <f t="shared" ref="S138:S153" si="11">T138+U138</f>
        <v>0</v>
      </c>
      <c r="T138" s="30"/>
      <c r="U138" s="2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86"/>
      <c r="C139" s="375"/>
      <c r="D139" s="386"/>
      <c r="E139" s="386"/>
      <c r="F139" s="152"/>
      <c r="G139" s="229" t="s">
        <v>28</v>
      </c>
      <c r="H139" s="344"/>
      <c r="I139" s="231"/>
      <c r="J139" s="231"/>
      <c r="K139" s="91"/>
      <c r="L139" s="92"/>
      <c r="M139" s="81">
        <f t="shared" si="10"/>
        <v>0</v>
      </c>
      <c r="N139" s="93"/>
      <c r="O139" s="94"/>
      <c r="P139" s="90"/>
      <c r="Q139" s="91"/>
      <c r="R139" s="330"/>
      <c r="S139" s="81">
        <f t="shared" si="11"/>
        <v>0</v>
      </c>
      <c r="T139" s="91"/>
      <c r="U139" s="3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367</v>
      </c>
      <c r="C140" s="374"/>
      <c r="D140" s="374"/>
      <c r="E140" s="374"/>
      <c r="F140" s="204"/>
      <c r="G140" s="213" t="s">
        <v>24</v>
      </c>
      <c r="H140" s="61"/>
      <c r="I140" s="62"/>
      <c r="J140" s="62"/>
      <c r="K140" s="30"/>
      <c r="L140" s="27"/>
      <c r="M140" s="26">
        <f t="shared" si="10"/>
        <v>0</v>
      </c>
      <c r="N140" s="26"/>
      <c r="O140" s="28"/>
      <c r="P140" s="214"/>
      <c r="Q140" s="30"/>
      <c r="R140" s="205"/>
      <c r="S140" s="26">
        <f t="shared" si="11"/>
        <v>0</v>
      </c>
      <c r="T140" s="30"/>
      <c r="U140" s="2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220"/>
      <c r="G141" s="215" t="s">
        <v>28</v>
      </c>
      <c r="H141" s="117">
        <v>4</v>
      </c>
      <c r="I141" s="37"/>
      <c r="J141" s="37"/>
      <c r="K141" s="68"/>
      <c r="L141" s="40"/>
      <c r="M141" s="39">
        <f t="shared" si="10"/>
        <v>0</v>
      </c>
      <c r="N141" s="39"/>
      <c r="O141" s="41"/>
      <c r="P141" s="217"/>
      <c r="Q141" s="68"/>
      <c r="R141" s="285"/>
      <c r="S141" s="39">
        <f t="shared" si="11"/>
        <v>0</v>
      </c>
      <c r="T141" s="68"/>
      <c r="U141" s="23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6"/>
      <c r="B142" s="377" t="s">
        <v>122</v>
      </c>
      <c r="C142" s="377" t="s">
        <v>39</v>
      </c>
      <c r="D142" s="377" t="s">
        <v>123</v>
      </c>
      <c r="E142" s="377" t="s">
        <v>55</v>
      </c>
      <c r="F142" s="232" t="s">
        <v>236</v>
      </c>
      <c r="G142" s="291" t="s">
        <v>24</v>
      </c>
      <c r="H142" s="265">
        <v>20</v>
      </c>
      <c r="I142" s="266">
        <v>18</v>
      </c>
      <c r="J142" s="266">
        <v>23</v>
      </c>
      <c r="K142" s="79">
        <v>36303.949999999997</v>
      </c>
      <c r="L142" s="268">
        <v>22</v>
      </c>
      <c r="M142" s="81">
        <f t="shared" si="10"/>
        <v>34969.29</v>
      </c>
      <c r="N142" s="79">
        <v>34969.29</v>
      </c>
      <c r="O142" s="269"/>
      <c r="P142" s="267">
        <v>17</v>
      </c>
      <c r="Q142" s="79">
        <v>78816.3</v>
      </c>
      <c r="R142" s="268">
        <v>16</v>
      </c>
      <c r="S142" s="81">
        <f t="shared" si="11"/>
        <v>76490.14</v>
      </c>
      <c r="T142" s="79">
        <v>76490.14</v>
      </c>
      <c r="U142" s="269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34"/>
      <c r="G143" s="229" t="s">
        <v>25</v>
      </c>
      <c r="H143" s="116"/>
      <c r="I143" s="38"/>
      <c r="J143" s="38"/>
      <c r="K143" s="39"/>
      <c r="L143" s="40"/>
      <c r="M143" s="39">
        <f t="shared" si="10"/>
        <v>0</v>
      </c>
      <c r="N143" s="39"/>
      <c r="O143" s="41"/>
      <c r="P143" s="59"/>
      <c r="Q143" s="39"/>
      <c r="R143" s="40"/>
      <c r="S143" s="39">
        <f t="shared" si="11"/>
        <v>0</v>
      </c>
      <c r="T143" s="39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6"/>
      <c r="B144" s="377" t="s">
        <v>124</v>
      </c>
      <c r="C144" s="377" t="s">
        <v>39</v>
      </c>
      <c r="D144" s="377" t="s">
        <v>314</v>
      </c>
      <c r="E144" s="377" t="s">
        <v>27</v>
      </c>
      <c r="F144" s="232" t="s">
        <v>237</v>
      </c>
      <c r="G144" s="23" t="s">
        <v>24</v>
      </c>
      <c r="H144" s="48">
        <v>17</v>
      </c>
      <c r="I144" s="203">
        <v>8</v>
      </c>
      <c r="J144" s="203">
        <v>11</v>
      </c>
      <c r="K144" s="65">
        <v>28601.06</v>
      </c>
      <c r="L144" s="224">
        <v>10</v>
      </c>
      <c r="M144" s="50">
        <f t="shared" si="10"/>
        <v>28601.06</v>
      </c>
      <c r="N144" s="65">
        <v>28601.06</v>
      </c>
      <c r="O144" s="225"/>
      <c r="P144" s="108">
        <v>54</v>
      </c>
      <c r="Q144" s="65">
        <v>322540.28999999998</v>
      </c>
      <c r="R144" s="224">
        <v>52</v>
      </c>
      <c r="S144" s="50">
        <f t="shared" si="11"/>
        <v>311364.90999999997</v>
      </c>
      <c r="T144" s="65">
        <v>311364.90999999997</v>
      </c>
      <c r="U144" s="225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7"/>
      <c r="B145" s="386"/>
      <c r="C145" s="386"/>
      <c r="D145" s="386"/>
      <c r="E145" s="386"/>
      <c r="F145" s="135"/>
      <c r="G145" s="154" t="s">
        <v>25</v>
      </c>
      <c r="H145" s="98"/>
      <c r="I145" s="155"/>
      <c r="J145" s="155"/>
      <c r="K145" s="239" t="s">
        <v>43</v>
      </c>
      <c r="L145" s="128"/>
      <c r="M145" s="129">
        <f t="shared" si="10"/>
        <v>0</v>
      </c>
      <c r="N145" s="129"/>
      <c r="O145" s="45"/>
      <c r="P145" s="156"/>
      <c r="Q145" s="129"/>
      <c r="R145" s="128"/>
      <c r="S145" s="129">
        <f t="shared" si="11"/>
        <v>0</v>
      </c>
      <c r="T145" s="129"/>
      <c r="U145" s="4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9"/>
      <c r="B146" s="380"/>
      <c r="C146" s="380"/>
      <c r="D146" s="380"/>
      <c r="E146" s="380"/>
      <c r="F146" s="34"/>
      <c r="G146" s="55" t="s">
        <v>28</v>
      </c>
      <c r="H146" s="111"/>
      <c r="I146" s="57"/>
      <c r="J146" s="57"/>
      <c r="K146" s="43"/>
      <c r="L146" s="44"/>
      <c r="M146" s="43">
        <f t="shared" si="10"/>
        <v>0</v>
      </c>
      <c r="N146" s="43"/>
      <c r="O146" s="41"/>
      <c r="P146" s="113">
        <v>3</v>
      </c>
      <c r="Q146" s="114">
        <v>8317.5</v>
      </c>
      <c r="R146" s="270">
        <v>3</v>
      </c>
      <c r="S146" s="43">
        <f t="shared" si="11"/>
        <v>9220.7999999999993</v>
      </c>
      <c r="T146" s="114">
        <f>2305.2+4226.2+2689.4</f>
        <v>9220.7999999999993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126</v>
      </c>
      <c r="C147" s="374" t="s">
        <v>22</v>
      </c>
      <c r="D147" s="378"/>
      <c r="E147" s="374" t="s">
        <v>65</v>
      </c>
      <c r="F147" s="232" t="s">
        <v>443</v>
      </c>
      <c r="G147" s="23" t="s">
        <v>24</v>
      </c>
      <c r="H147" s="151">
        <v>5</v>
      </c>
      <c r="I147" s="62">
        <v>1</v>
      </c>
      <c r="J147" s="62">
        <v>1</v>
      </c>
      <c r="K147" s="30">
        <v>384.2</v>
      </c>
      <c r="L147" s="205">
        <v>1</v>
      </c>
      <c r="M147" s="26">
        <f t="shared" si="10"/>
        <v>384.2</v>
      </c>
      <c r="N147" s="30">
        <v>384.2</v>
      </c>
      <c r="O147" s="225"/>
      <c r="P147" s="53">
        <v>15</v>
      </c>
      <c r="Q147" s="30">
        <v>10414.84</v>
      </c>
      <c r="R147" s="205">
        <v>4</v>
      </c>
      <c r="S147" s="26">
        <f t="shared" si="11"/>
        <v>10414.84</v>
      </c>
      <c r="T147" s="30">
        <v>10414.84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54" t="s">
        <v>316</v>
      </c>
      <c r="G148" s="35" t="s">
        <v>28</v>
      </c>
      <c r="H148" s="153">
        <v>6</v>
      </c>
      <c r="I148" s="37">
        <v>3</v>
      </c>
      <c r="J148" s="37">
        <v>3</v>
      </c>
      <c r="K148" s="68">
        <v>3710.1</v>
      </c>
      <c r="L148" s="285">
        <v>3</v>
      </c>
      <c r="M148" s="39">
        <f t="shared" si="10"/>
        <v>3710.1</v>
      </c>
      <c r="N148" s="39">
        <f>2305.2+1404.9</f>
        <v>3710.1</v>
      </c>
      <c r="O148" s="41"/>
      <c r="P148" s="115">
        <v>3</v>
      </c>
      <c r="Q148" s="68">
        <v>7062.2</v>
      </c>
      <c r="R148" s="285">
        <v>2</v>
      </c>
      <c r="S148" s="39">
        <f t="shared" si="11"/>
        <v>2400.9499999999998</v>
      </c>
      <c r="T148" s="39">
        <f>1056.55+1344.4</f>
        <v>2400.9499999999998</v>
      </c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2"/>
      <c r="B149" s="381" t="s">
        <v>127</v>
      </c>
      <c r="C149" s="381" t="s">
        <v>22</v>
      </c>
      <c r="D149" s="381"/>
      <c r="E149" s="381" t="s">
        <v>67</v>
      </c>
      <c r="F149" s="223" t="s">
        <v>368</v>
      </c>
      <c r="G149" s="47" t="s">
        <v>24</v>
      </c>
      <c r="H149" s="48">
        <v>9</v>
      </c>
      <c r="I149" s="203">
        <v>7</v>
      </c>
      <c r="J149" s="203">
        <v>8</v>
      </c>
      <c r="K149" s="65">
        <v>11145</v>
      </c>
      <c r="L149" s="224">
        <v>8</v>
      </c>
      <c r="M149" s="50">
        <f t="shared" si="10"/>
        <v>11145</v>
      </c>
      <c r="N149" s="65">
        <v>11145</v>
      </c>
      <c r="O149" s="225"/>
      <c r="P149" s="108">
        <v>8</v>
      </c>
      <c r="Q149" s="65">
        <v>29582.03</v>
      </c>
      <c r="R149" s="224">
        <v>8</v>
      </c>
      <c r="S149" s="50">
        <f t="shared" si="11"/>
        <v>29582.03</v>
      </c>
      <c r="T149" s="65">
        <v>29582.03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33" t="s">
        <v>317</v>
      </c>
      <c r="G150" s="227" t="s">
        <v>28</v>
      </c>
      <c r="H150" s="153">
        <v>7</v>
      </c>
      <c r="I150" s="37">
        <v>4</v>
      </c>
      <c r="J150" s="37">
        <v>4</v>
      </c>
      <c r="K150" s="68">
        <v>5174.6000000000004</v>
      </c>
      <c r="L150" s="285">
        <v>4</v>
      </c>
      <c r="M150" s="39">
        <f t="shared" si="10"/>
        <v>5220.5999999999995</v>
      </c>
      <c r="N150" s="39">
        <f>1578.8+1152.6+1152.6+1336.6</f>
        <v>5220.5999999999995</v>
      </c>
      <c r="O150" s="41"/>
      <c r="P150" s="115">
        <v>2</v>
      </c>
      <c r="Q150" s="68">
        <v>15088</v>
      </c>
      <c r="R150" s="285">
        <v>2</v>
      </c>
      <c r="S150" s="39">
        <f t="shared" si="11"/>
        <v>15088</v>
      </c>
      <c r="T150" s="39">
        <f>4034.1+11053.9</f>
        <v>15088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128</v>
      </c>
      <c r="C151" s="374" t="s">
        <v>39</v>
      </c>
      <c r="D151" s="374" t="s">
        <v>129</v>
      </c>
      <c r="E151" s="374" t="s">
        <v>121</v>
      </c>
      <c r="F151" s="60"/>
      <c r="G151" s="176" t="s">
        <v>24</v>
      </c>
      <c r="H151" s="107"/>
      <c r="I151" s="49"/>
      <c r="J151" s="127"/>
      <c r="K151" s="50"/>
      <c r="L151" s="51"/>
      <c r="M151" s="50">
        <f t="shared" si="10"/>
        <v>0</v>
      </c>
      <c r="N151" s="50"/>
      <c r="O151" s="31"/>
      <c r="P151" s="108">
        <v>1</v>
      </c>
      <c r="Q151" s="65">
        <v>14638.71</v>
      </c>
      <c r="R151" s="51"/>
      <c r="S151" s="50">
        <f t="shared" si="11"/>
        <v>0</v>
      </c>
      <c r="T151" s="50"/>
      <c r="U151" s="3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229" t="s">
        <v>25</v>
      </c>
      <c r="H152" s="153">
        <v>1</v>
      </c>
      <c r="I152" s="57"/>
      <c r="J152" s="57"/>
      <c r="K152" s="43"/>
      <c r="L152" s="44"/>
      <c r="M152" s="43">
        <f t="shared" si="10"/>
        <v>0</v>
      </c>
      <c r="N152" s="43"/>
      <c r="O152" s="41"/>
      <c r="P152" s="103"/>
      <c r="Q152" s="43"/>
      <c r="R152" s="44"/>
      <c r="S152" s="43">
        <f t="shared" si="11"/>
        <v>0</v>
      </c>
      <c r="T152" s="43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130</v>
      </c>
      <c r="C153" s="374" t="s">
        <v>22</v>
      </c>
      <c r="D153" s="374"/>
      <c r="E153" s="374" t="s">
        <v>131</v>
      </c>
      <c r="F153" s="232" t="s">
        <v>411</v>
      </c>
      <c r="G153" s="176" t="s">
        <v>24</v>
      </c>
      <c r="H153" s="48">
        <v>10</v>
      </c>
      <c r="I153" s="62">
        <v>2</v>
      </c>
      <c r="J153" s="62">
        <v>2</v>
      </c>
      <c r="K153" s="30">
        <v>2935.73</v>
      </c>
      <c r="L153" s="205">
        <v>2</v>
      </c>
      <c r="M153" s="26">
        <f t="shared" si="10"/>
        <v>2935.73</v>
      </c>
      <c r="N153" s="30">
        <v>2935.73</v>
      </c>
      <c r="O153" s="31"/>
      <c r="P153" s="53">
        <v>4</v>
      </c>
      <c r="Q153" s="30">
        <v>22885.21</v>
      </c>
      <c r="R153" s="205">
        <v>4</v>
      </c>
      <c r="S153" s="26">
        <f t="shared" si="11"/>
        <v>22885.21</v>
      </c>
      <c r="T153" s="30">
        <v>22885.21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34"/>
      <c r="G154" s="229" t="s">
        <v>25</v>
      </c>
      <c r="H154" s="112">
        <v>7</v>
      </c>
      <c r="I154" s="130">
        <v>3</v>
      </c>
      <c r="J154" s="130">
        <v>3</v>
      </c>
      <c r="K154" s="114">
        <v>2783</v>
      </c>
      <c r="L154" s="270">
        <v>2</v>
      </c>
      <c r="M154" s="114">
        <v>1728.9</v>
      </c>
      <c r="N154" s="114">
        <v>1728.9</v>
      </c>
      <c r="O154" s="234"/>
      <c r="P154" s="113">
        <v>3</v>
      </c>
      <c r="Q154" s="114">
        <v>7539.8</v>
      </c>
      <c r="R154" s="270">
        <v>3</v>
      </c>
      <c r="S154" s="114">
        <v>7539.8</v>
      </c>
      <c r="T154" s="114">
        <v>7539.8</v>
      </c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132</v>
      </c>
      <c r="C155" s="374" t="s">
        <v>39</v>
      </c>
      <c r="D155" s="374" t="s">
        <v>238</v>
      </c>
      <c r="E155" s="377" t="s">
        <v>136</v>
      </c>
      <c r="F155" s="232" t="s">
        <v>239</v>
      </c>
      <c r="G155" s="23" t="s">
        <v>24</v>
      </c>
      <c r="H155" s="61">
        <v>11</v>
      </c>
      <c r="I155" s="62">
        <v>8</v>
      </c>
      <c r="J155" s="62">
        <v>10</v>
      </c>
      <c r="K155" s="30">
        <v>13129.56</v>
      </c>
      <c r="L155" s="205">
        <v>10</v>
      </c>
      <c r="M155" s="26">
        <f t="shared" ref="M155:M231" si="12">N155+O155</f>
        <v>13129.56</v>
      </c>
      <c r="N155" s="30">
        <v>13129.56</v>
      </c>
      <c r="O155" s="225"/>
      <c r="P155" s="53">
        <v>13</v>
      </c>
      <c r="Q155" s="30">
        <v>50593.43</v>
      </c>
      <c r="R155" s="205">
        <v>12</v>
      </c>
      <c r="S155" s="26">
        <f t="shared" ref="S155:S187" si="13">T155+U155</f>
        <v>49378.37</v>
      </c>
      <c r="T155" s="30">
        <v>49378.37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7"/>
      <c r="B156" s="386"/>
      <c r="C156" s="386"/>
      <c r="D156" s="386"/>
      <c r="E156" s="386"/>
      <c r="F156" s="237" t="s">
        <v>240</v>
      </c>
      <c r="G156" s="154" t="s">
        <v>28</v>
      </c>
      <c r="H156" s="112">
        <v>10</v>
      </c>
      <c r="I156" s="271">
        <v>5</v>
      </c>
      <c r="J156" s="271">
        <v>5</v>
      </c>
      <c r="K156" s="239">
        <v>10817.8</v>
      </c>
      <c r="L156" s="316">
        <v>4</v>
      </c>
      <c r="M156" s="129">
        <f t="shared" si="12"/>
        <v>9412.9</v>
      </c>
      <c r="N156" s="129">
        <f>1728.9+2305.2+576.3+4802.5</f>
        <v>9412.9</v>
      </c>
      <c r="O156" s="45"/>
      <c r="P156" s="238">
        <v>7</v>
      </c>
      <c r="Q156" s="239">
        <v>11775.73</v>
      </c>
      <c r="R156" s="316">
        <v>8</v>
      </c>
      <c r="S156" s="129">
        <f t="shared" si="13"/>
        <v>12985.960000000001</v>
      </c>
      <c r="T156" s="239">
        <f>288.15+6934.81+3073.6+1344.7+1344.7</f>
        <v>12985.960000000001</v>
      </c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105"/>
      <c r="G157" s="55" t="s">
        <v>25</v>
      </c>
      <c r="H157" s="131"/>
      <c r="I157" s="57"/>
      <c r="J157" s="57"/>
      <c r="K157" s="43"/>
      <c r="L157" s="44"/>
      <c r="M157" s="43">
        <f t="shared" si="12"/>
        <v>0</v>
      </c>
      <c r="N157" s="43"/>
      <c r="O157" s="41"/>
      <c r="P157" s="103"/>
      <c r="Q157" s="43"/>
      <c r="R157" s="44"/>
      <c r="S157" s="43">
        <f t="shared" si="13"/>
        <v>0</v>
      </c>
      <c r="T157" s="43"/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133</v>
      </c>
      <c r="C158" s="374" t="s">
        <v>39</v>
      </c>
      <c r="D158" s="374" t="s">
        <v>448</v>
      </c>
      <c r="E158" s="381" t="s">
        <v>23</v>
      </c>
      <c r="F158" s="232" t="s">
        <v>449</v>
      </c>
      <c r="G158" s="23" t="s">
        <v>24</v>
      </c>
      <c r="H158" s="61">
        <v>10</v>
      </c>
      <c r="I158" s="62">
        <v>6</v>
      </c>
      <c r="J158" s="62">
        <v>6</v>
      </c>
      <c r="K158" s="30">
        <v>16306.8</v>
      </c>
      <c r="L158" s="205">
        <v>6</v>
      </c>
      <c r="M158" s="26">
        <f t="shared" si="12"/>
        <v>16306.8</v>
      </c>
      <c r="N158" s="30">
        <v>16306.8</v>
      </c>
      <c r="O158" s="31"/>
      <c r="P158" s="53">
        <v>1</v>
      </c>
      <c r="Q158" s="30">
        <v>1415.78</v>
      </c>
      <c r="R158" s="205">
        <v>1</v>
      </c>
      <c r="S158" s="26">
        <f t="shared" si="13"/>
        <v>1415.78</v>
      </c>
      <c r="T158" s="30">
        <v>1415.78</v>
      </c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34"/>
      <c r="G159" s="35" t="s">
        <v>25</v>
      </c>
      <c r="H159" s="106"/>
      <c r="I159" s="38"/>
      <c r="J159" s="38"/>
      <c r="K159" s="39"/>
      <c r="L159" s="40"/>
      <c r="M159" s="39">
        <f t="shared" si="12"/>
        <v>0</v>
      </c>
      <c r="N159" s="39"/>
      <c r="O159" s="41"/>
      <c r="P159" s="59"/>
      <c r="Q159" s="39"/>
      <c r="R159" s="40"/>
      <c r="S159" s="39">
        <f t="shared" si="13"/>
        <v>0</v>
      </c>
      <c r="T159" s="39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134</v>
      </c>
      <c r="C160" s="374" t="s">
        <v>39</v>
      </c>
      <c r="D160" s="374" t="s">
        <v>280</v>
      </c>
      <c r="E160" s="374" t="s">
        <v>136</v>
      </c>
      <c r="F160" s="204" t="s">
        <v>282</v>
      </c>
      <c r="G160" s="176" t="s">
        <v>24</v>
      </c>
      <c r="H160" s="48">
        <v>11</v>
      </c>
      <c r="I160" s="203">
        <v>9</v>
      </c>
      <c r="J160" s="203">
        <v>9</v>
      </c>
      <c r="K160" s="65">
        <v>12433.98</v>
      </c>
      <c r="L160" s="224">
        <v>8</v>
      </c>
      <c r="M160" s="50">
        <f t="shared" si="12"/>
        <v>9644.25</v>
      </c>
      <c r="N160" s="65">
        <v>9644.25</v>
      </c>
      <c r="O160" s="225"/>
      <c r="P160" s="108">
        <v>5</v>
      </c>
      <c r="Q160" s="65">
        <v>27150.720000000001</v>
      </c>
      <c r="R160" s="224">
        <v>5</v>
      </c>
      <c r="S160" s="50">
        <f t="shared" si="13"/>
        <v>27150.720000000001</v>
      </c>
      <c r="T160" s="65">
        <v>27150.720000000001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7"/>
      <c r="B161" s="386"/>
      <c r="C161" s="386"/>
      <c r="D161" s="386"/>
      <c r="E161" s="386"/>
      <c r="F161" s="235" t="s">
        <v>321</v>
      </c>
      <c r="G161" s="252" t="s">
        <v>28</v>
      </c>
      <c r="H161" s="151">
        <v>9</v>
      </c>
      <c r="I161" s="246">
        <v>3</v>
      </c>
      <c r="J161" s="246">
        <v>3</v>
      </c>
      <c r="K161" s="158">
        <v>7437.4</v>
      </c>
      <c r="L161" s="317">
        <v>2</v>
      </c>
      <c r="M161" s="142">
        <f t="shared" si="12"/>
        <v>4226.2</v>
      </c>
      <c r="N161" s="142">
        <f>1921+2305.2</f>
        <v>4226.2</v>
      </c>
      <c r="O161" s="45"/>
      <c r="P161" s="157">
        <v>4</v>
      </c>
      <c r="Q161" s="158">
        <v>8625.2900000000009</v>
      </c>
      <c r="R161" s="224">
        <v>5</v>
      </c>
      <c r="S161" s="50">
        <f t="shared" si="13"/>
        <v>9681.84</v>
      </c>
      <c r="T161" s="158">
        <f>6224.04+3457.8</f>
        <v>9681.84</v>
      </c>
      <c r="U161" s="4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229" t="s">
        <v>25</v>
      </c>
      <c r="H162" s="118"/>
      <c r="I162" s="57"/>
      <c r="J162" s="57"/>
      <c r="K162" s="43"/>
      <c r="L162" s="44"/>
      <c r="M162" s="43">
        <f t="shared" si="12"/>
        <v>0</v>
      </c>
      <c r="N162" s="43"/>
      <c r="O162" s="41"/>
      <c r="P162" s="103"/>
      <c r="Q162" s="43"/>
      <c r="R162" s="44"/>
      <c r="S162" s="43">
        <f t="shared" si="13"/>
        <v>0</v>
      </c>
      <c r="T162" s="43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137</v>
      </c>
      <c r="C163" s="377" t="s">
        <v>39</v>
      </c>
      <c r="D163" s="374" t="s">
        <v>322</v>
      </c>
      <c r="E163" s="377" t="s">
        <v>27</v>
      </c>
      <c r="F163" s="232" t="s">
        <v>323</v>
      </c>
      <c r="G163" s="23" t="s">
        <v>24</v>
      </c>
      <c r="H163" s="24">
        <v>12</v>
      </c>
      <c r="I163" s="62">
        <v>6</v>
      </c>
      <c r="J163" s="62">
        <v>7</v>
      </c>
      <c r="K163" s="30">
        <v>14775.74</v>
      </c>
      <c r="L163" s="205">
        <v>6</v>
      </c>
      <c r="M163" s="26">
        <f t="shared" si="12"/>
        <v>10738.18</v>
      </c>
      <c r="N163" s="30">
        <v>10738.18</v>
      </c>
      <c r="O163" s="31"/>
      <c r="P163" s="53">
        <v>2</v>
      </c>
      <c r="Q163" s="30">
        <v>3779.47</v>
      </c>
      <c r="R163" s="205">
        <v>2</v>
      </c>
      <c r="S163" s="26">
        <f t="shared" si="13"/>
        <v>3779.47</v>
      </c>
      <c r="T163" s="30">
        <v>3779.47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80"/>
      <c r="F164" s="220" t="s">
        <v>241</v>
      </c>
      <c r="G164" s="35" t="s">
        <v>28</v>
      </c>
      <c r="H164" s="66">
        <v>7</v>
      </c>
      <c r="I164" s="37">
        <v>4</v>
      </c>
      <c r="J164" s="37">
        <v>4</v>
      </c>
      <c r="K164" s="68">
        <v>5042.7</v>
      </c>
      <c r="L164" s="285">
        <v>3</v>
      </c>
      <c r="M164" s="39">
        <f t="shared" si="12"/>
        <v>3637.8</v>
      </c>
      <c r="N164" s="39">
        <f>576.3+1716.8+1344.7</f>
        <v>3637.8</v>
      </c>
      <c r="O164" s="41"/>
      <c r="P164" s="115">
        <v>2</v>
      </c>
      <c r="Q164" s="68">
        <v>3265.7</v>
      </c>
      <c r="R164" s="285">
        <v>2</v>
      </c>
      <c r="S164" s="39">
        <f t="shared" si="13"/>
        <v>3265.7</v>
      </c>
      <c r="T164" s="39">
        <f>1921+1344.7</f>
        <v>3265.7</v>
      </c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138</v>
      </c>
      <c r="C165" s="374" t="s">
        <v>22</v>
      </c>
      <c r="D165" s="374"/>
      <c r="E165" s="374" t="s">
        <v>27</v>
      </c>
      <c r="F165" s="204" t="s">
        <v>324</v>
      </c>
      <c r="G165" s="176" t="s">
        <v>24</v>
      </c>
      <c r="H165" s="151">
        <v>7</v>
      </c>
      <c r="I165" s="203">
        <v>5</v>
      </c>
      <c r="J165" s="203">
        <v>6</v>
      </c>
      <c r="K165" s="65">
        <v>13186.17</v>
      </c>
      <c r="L165" s="224">
        <v>6</v>
      </c>
      <c r="M165" s="50">
        <f t="shared" si="12"/>
        <v>13186.17</v>
      </c>
      <c r="N165" s="65">
        <v>13186.17</v>
      </c>
      <c r="O165" s="31"/>
      <c r="P165" s="108">
        <v>8</v>
      </c>
      <c r="Q165" s="65">
        <v>16335.71</v>
      </c>
      <c r="R165" s="224">
        <v>8</v>
      </c>
      <c r="S165" s="50">
        <f t="shared" si="13"/>
        <v>16335.71</v>
      </c>
      <c r="T165" s="65">
        <v>16335.71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 t="s">
        <v>242</v>
      </c>
      <c r="G166" s="229" t="s">
        <v>28</v>
      </c>
      <c r="H166" s="133">
        <v>6</v>
      </c>
      <c r="I166" s="130">
        <v>4</v>
      </c>
      <c r="J166" s="130">
        <v>4</v>
      </c>
      <c r="K166" s="114">
        <v>12616.62</v>
      </c>
      <c r="L166" s="270">
        <v>4</v>
      </c>
      <c r="M166" s="43">
        <f t="shared" si="12"/>
        <v>7146.12</v>
      </c>
      <c r="N166" s="43">
        <f>3880.42+1344.7+1921</f>
        <v>7146.12</v>
      </c>
      <c r="O166" s="41"/>
      <c r="P166" s="113">
        <v>5</v>
      </c>
      <c r="Q166" s="114">
        <v>11814.15</v>
      </c>
      <c r="R166" s="270">
        <v>4</v>
      </c>
      <c r="S166" s="43">
        <f t="shared" si="13"/>
        <v>9893.15</v>
      </c>
      <c r="T166" s="114">
        <f>4802.5+2401.25+2689.4</f>
        <v>9893.15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139</v>
      </c>
      <c r="C167" s="374" t="s">
        <v>22</v>
      </c>
      <c r="D167" s="374"/>
      <c r="E167" s="374" t="s">
        <v>67</v>
      </c>
      <c r="F167" s="232" t="s">
        <v>325</v>
      </c>
      <c r="G167" s="23" t="s">
        <v>24</v>
      </c>
      <c r="H167" s="151">
        <v>5</v>
      </c>
      <c r="I167" s="62">
        <v>5</v>
      </c>
      <c r="J167" s="62">
        <v>6</v>
      </c>
      <c r="K167" s="30">
        <v>13798.74</v>
      </c>
      <c r="L167" s="205">
        <v>6</v>
      </c>
      <c r="M167" s="26">
        <f t="shared" si="12"/>
        <v>13798.74</v>
      </c>
      <c r="N167" s="30">
        <v>13798.74</v>
      </c>
      <c r="O167" s="225"/>
      <c r="P167" s="53">
        <v>15</v>
      </c>
      <c r="Q167" s="30">
        <v>52937.79</v>
      </c>
      <c r="R167" s="205">
        <v>15</v>
      </c>
      <c r="S167" s="26">
        <f t="shared" si="13"/>
        <v>52937.79</v>
      </c>
      <c r="T167" s="30">
        <v>52937.79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33" t="s">
        <v>326</v>
      </c>
      <c r="G168" s="227" t="s">
        <v>28</v>
      </c>
      <c r="H168" s="112">
        <v>6</v>
      </c>
      <c r="I168" s="130">
        <v>2</v>
      </c>
      <c r="J168" s="130">
        <v>2</v>
      </c>
      <c r="K168" s="114">
        <v>2331</v>
      </c>
      <c r="L168" s="270">
        <v>1</v>
      </c>
      <c r="M168" s="43">
        <f t="shared" si="12"/>
        <v>1728.9</v>
      </c>
      <c r="N168" s="43">
        <f>1728.9</f>
        <v>1728.9</v>
      </c>
      <c r="O168" s="45"/>
      <c r="P168" s="113">
        <v>4</v>
      </c>
      <c r="Q168" s="114">
        <v>9785.2000000000007</v>
      </c>
      <c r="R168" s="270">
        <v>5</v>
      </c>
      <c r="S168" s="43">
        <f t="shared" si="13"/>
        <v>12558.900000000001</v>
      </c>
      <c r="T168" s="114">
        <f>6269.7+3984+2305.2</f>
        <v>12558.900000000001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140</v>
      </c>
      <c r="C169" s="374" t="s">
        <v>39</v>
      </c>
      <c r="D169" s="374" t="s">
        <v>369</v>
      </c>
      <c r="E169" s="374" t="s">
        <v>27</v>
      </c>
      <c r="F169" s="204" t="s">
        <v>370</v>
      </c>
      <c r="G169" s="176" t="s">
        <v>24</v>
      </c>
      <c r="H169" s="24">
        <v>12</v>
      </c>
      <c r="I169" s="62">
        <v>6</v>
      </c>
      <c r="J169" s="62">
        <v>7</v>
      </c>
      <c r="K169" s="30">
        <v>17674.52</v>
      </c>
      <c r="L169" s="205">
        <v>7</v>
      </c>
      <c r="M169" s="26">
        <f t="shared" si="12"/>
        <v>17674.52</v>
      </c>
      <c r="N169" s="30">
        <v>17674.52</v>
      </c>
      <c r="O169" s="159"/>
      <c r="P169" s="53">
        <v>3</v>
      </c>
      <c r="Q169" s="30">
        <v>20168.78</v>
      </c>
      <c r="R169" s="205">
        <v>3</v>
      </c>
      <c r="S169" s="26">
        <f t="shared" si="13"/>
        <v>20168.78</v>
      </c>
      <c r="T169" s="30">
        <v>20168.78</v>
      </c>
      <c r="U169" s="2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233" t="s">
        <v>243</v>
      </c>
      <c r="G170" s="282" t="s">
        <v>28</v>
      </c>
      <c r="H170" s="207">
        <v>5</v>
      </c>
      <c r="I170" s="208">
        <v>1</v>
      </c>
      <c r="J170" s="208">
        <v>1</v>
      </c>
      <c r="K170" s="209">
        <v>1728</v>
      </c>
      <c r="L170" s="210"/>
      <c r="M170" s="211">
        <f t="shared" si="12"/>
        <v>1728.9</v>
      </c>
      <c r="N170" s="211">
        <f>1728.9</f>
        <v>1728.9</v>
      </c>
      <c r="O170" s="274"/>
      <c r="P170" s="262">
        <v>3</v>
      </c>
      <c r="Q170" s="209">
        <v>5494.06</v>
      </c>
      <c r="R170" s="290">
        <v>6</v>
      </c>
      <c r="S170" s="211">
        <f t="shared" si="13"/>
        <v>14023.3</v>
      </c>
      <c r="T170" s="211">
        <f>4034.1+3073.6+5071.44+1267.86+576.3</f>
        <v>14023.3</v>
      </c>
      <c r="U170" s="212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413</v>
      </c>
      <c r="C171" s="374" t="s">
        <v>22</v>
      </c>
      <c r="D171" s="374"/>
      <c r="E171" s="374" t="s">
        <v>391</v>
      </c>
      <c r="F171" s="204" t="s">
        <v>414</v>
      </c>
      <c r="G171" s="176" t="s">
        <v>24</v>
      </c>
      <c r="H171" s="24">
        <v>4</v>
      </c>
      <c r="I171" s="62">
        <v>2</v>
      </c>
      <c r="J171" s="62">
        <v>5</v>
      </c>
      <c r="K171" s="30">
        <v>15627.55</v>
      </c>
      <c r="L171" s="205">
        <v>5</v>
      </c>
      <c r="M171" s="26">
        <f t="shared" si="12"/>
        <v>15627.55</v>
      </c>
      <c r="N171" s="30">
        <v>15627.55</v>
      </c>
      <c r="O171" s="28"/>
      <c r="P171" s="214"/>
      <c r="Q171" s="30"/>
      <c r="R171" s="205"/>
      <c r="S171" s="26">
        <f t="shared" si="13"/>
        <v>0</v>
      </c>
      <c r="T171" s="30"/>
      <c r="U171" s="2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0"/>
      <c r="G172" s="229" t="s">
        <v>28</v>
      </c>
      <c r="H172" s="66"/>
      <c r="I172" s="38"/>
      <c r="J172" s="38"/>
      <c r="K172" s="39"/>
      <c r="L172" s="40"/>
      <c r="M172" s="39">
        <f t="shared" si="12"/>
        <v>0</v>
      </c>
      <c r="N172" s="39"/>
      <c r="O172" s="41"/>
      <c r="P172" s="217"/>
      <c r="Q172" s="68"/>
      <c r="R172" s="285"/>
      <c r="S172" s="39">
        <f t="shared" si="13"/>
        <v>0</v>
      </c>
      <c r="T172" s="68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141</v>
      </c>
      <c r="C173" s="374" t="s">
        <v>39</v>
      </c>
      <c r="D173" s="374" t="s">
        <v>371</v>
      </c>
      <c r="E173" s="374" t="s">
        <v>27</v>
      </c>
      <c r="F173" s="204" t="s">
        <v>372</v>
      </c>
      <c r="G173" s="176" t="s">
        <v>24</v>
      </c>
      <c r="H173" s="281">
        <v>8</v>
      </c>
      <c r="I173" s="266">
        <v>5</v>
      </c>
      <c r="J173" s="266">
        <v>5</v>
      </c>
      <c r="K173" s="79">
        <v>11395.47</v>
      </c>
      <c r="L173" s="268">
        <v>4</v>
      </c>
      <c r="M173" s="81">
        <f t="shared" si="12"/>
        <v>10015.66</v>
      </c>
      <c r="N173" s="79">
        <v>10015.66</v>
      </c>
      <c r="O173" s="219"/>
      <c r="P173" s="267">
        <v>2</v>
      </c>
      <c r="Q173" s="79">
        <v>4949.17</v>
      </c>
      <c r="R173" s="268">
        <v>2</v>
      </c>
      <c r="S173" s="81">
        <f t="shared" si="13"/>
        <v>4949.17</v>
      </c>
      <c r="T173" s="79">
        <v>4949.17</v>
      </c>
      <c r="U173" s="219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34"/>
      <c r="G174" s="229" t="s">
        <v>28</v>
      </c>
      <c r="H174" s="118"/>
      <c r="I174" s="57"/>
      <c r="J174" s="57"/>
      <c r="K174" s="43"/>
      <c r="L174" s="44"/>
      <c r="M174" s="43">
        <f t="shared" si="12"/>
        <v>0</v>
      </c>
      <c r="N174" s="43"/>
      <c r="O174" s="45"/>
      <c r="P174" s="103"/>
      <c r="Q174" s="43"/>
      <c r="R174" s="44"/>
      <c r="S174" s="43">
        <f t="shared" si="13"/>
        <v>0</v>
      </c>
      <c r="T174" s="43"/>
      <c r="U174" s="4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142</v>
      </c>
      <c r="C175" s="374" t="s">
        <v>39</v>
      </c>
      <c r="D175" s="374" t="s">
        <v>415</v>
      </c>
      <c r="E175" s="374" t="s">
        <v>27</v>
      </c>
      <c r="F175" s="232" t="s">
        <v>416</v>
      </c>
      <c r="G175" s="23" t="s">
        <v>24</v>
      </c>
      <c r="H175" s="24">
        <v>4</v>
      </c>
      <c r="I175" s="62">
        <v>2</v>
      </c>
      <c r="J175" s="62">
        <v>2</v>
      </c>
      <c r="K175" s="30">
        <v>524.91</v>
      </c>
      <c r="L175" s="205">
        <v>2</v>
      </c>
      <c r="M175" s="26">
        <f t="shared" si="12"/>
        <v>524.91</v>
      </c>
      <c r="N175" s="30">
        <v>524.91</v>
      </c>
      <c r="O175" s="241"/>
      <c r="P175" s="53">
        <v>1</v>
      </c>
      <c r="Q175" s="30">
        <v>412.05</v>
      </c>
      <c r="R175" s="205">
        <v>1</v>
      </c>
      <c r="S175" s="26">
        <f t="shared" si="13"/>
        <v>412.05</v>
      </c>
      <c r="T175" s="30">
        <v>412.05</v>
      </c>
      <c r="U175" s="2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227" t="s">
        <v>28</v>
      </c>
      <c r="H176" s="311"/>
      <c r="I176" s="261"/>
      <c r="J176" s="261"/>
      <c r="K176" s="211"/>
      <c r="L176" s="210"/>
      <c r="M176" s="211">
        <f t="shared" si="12"/>
        <v>0</v>
      </c>
      <c r="N176" s="211"/>
      <c r="O176" s="212"/>
      <c r="P176" s="273"/>
      <c r="Q176" s="211"/>
      <c r="R176" s="210"/>
      <c r="S176" s="211">
        <f t="shared" si="13"/>
        <v>0</v>
      </c>
      <c r="T176" s="211"/>
      <c r="U176" s="212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424</v>
      </c>
      <c r="C177" s="374" t="s">
        <v>22</v>
      </c>
      <c r="D177" s="374"/>
      <c r="E177" s="374" t="s">
        <v>65</v>
      </c>
      <c r="F177" s="232" t="s">
        <v>437</v>
      </c>
      <c r="G177" s="213" t="s">
        <v>24</v>
      </c>
      <c r="H177" s="24">
        <v>3</v>
      </c>
      <c r="I177" s="62">
        <v>1</v>
      </c>
      <c r="J177" s="62">
        <v>1</v>
      </c>
      <c r="K177" s="30">
        <v>1285.1500000000001</v>
      </c>
      <c r="L177" s="205">
        <v>1</v>
      </c>
      <c r="M177" s="26">
        <f t="shared" si="12"/>
        <v>1285.1500000000001</v>
      </c>
      <c r="N177" s="30">
        <v>1285.1500000000001</v>
      </c>
      <c r="O177" s="28"/>
      <c r="P177" s="214"/>
      <c r="Q177" s="30"/>
      <c r="R177" s="205"/>
      <c r="S177" s="26">
        <f t="shared" si="13"/>
        <v>0</v>
      </c>
      <c r="T177" s="30"/>
      <c r="U177" s="24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/>
      <c r="G178" s="215" t="s">
        <v>28</v>
      </c>
      <c r="H178" s="66"/>
      <c r="I178" s="38"/>
      <c r="J178" s="38"/>
      <c r="K178" s="39"/>
      <c r="L178" s="40"/>
      <c r="M178" s="39">
        <f t="shared" si="12"/>
        <v>0</v>
      </c>
      <c r="N178" s="39"/>
      <c r="O178" s="41"/>
      <c r="P178" s="217"/>
      <c r="Q178" s="68"/>
      <c r="R178" s="285"/>
      <c r="S178" s="39">
        <f t="shared" si="13"/>
        <v>0</v>
      </c>
      <c r="T178" s="68"/>
      <c r="U178" s="23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6"/>
      <c r="B179" s="377" t="s">
        <v>143</v>
      </c>
      <c r="C179" s="377" t="s">
        <v>39</v>
      </c>
      <c r="D179" s="377" t="s">
        <v>327</v>
      </c>
      <c r="E179" s="377" t="s">
        <v>145</v>
      </c>
      <c r="F179" s="232" t="s">
        <v>215</v>
      </c>
      <c r="G179" s="95" t="s">
        <v>24</v>
      </c>
      <c r="H179" s="281">
        <v>4</v>
      </c>
      <c r="I179" s="266">
        <v>3</v>
      </c>
      <c r="J179" s="266">
        <v>3</v>
      </c>
      <c r="K179" s="79">
        <v>3521.24</v>
      </c>
      <c r="L179" s="268">
        <v>3</v>
      </c>
      <c r="M179" s="81">
        <f t="shared" si="12"/>
        <v>3521.24</v>
      </c>
      <c r="N179" s="79">
        <v>3521.24</v>
      </c>
      <c r="O179" s="219"/>
      <c r="P179" s="267">
        <v>15</v>
      </c>
      <c r="Q179" s="79">
        <v>43575.18</v>
      </c>
      <c r="R179" s="268">
        <v>15</v>
      </c>
      <c r="S179" s="81">
        <f t="shared" si="13"/>
        <v>43575.18</v>
      </c>
      <c r="T179" s="79">
        <v>43575.18</v>
      </c>
      <c r="U179" s="269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9"/>
      <c r="B180" s="380"/>
      <c r="C180" s="380"/>
      <c r="D180" s="380"/>
      <c r="E180" s="380"/>
      <c r="F180" s="233" t="s">
        <v>244</v>
      </c>
      <c r="G180" s="227" t="s">
        <v>28</v>
      </c>
      <c r="H180" s="133">
        <v>9</v>
      </c>
      <c r="I180" s="130">
        <v>4</v>
      </c>
      <c r="J180" s="130">
        <v>4</v>
      </c>
      <c r="K180" s="114">
        <v>14993.72</v>
      </c>
      <c r="L180" s="316">
        <v>2</v>
      </c>
      <c r="M180" s="50">
        <f t="shared" si="12"/>
        <v>3649.9</v>
      </c>
      <c r="N180" s="43">
        <f>2497.3+1152.6</f>
        <v>3649.9</v>
      </c>
      <c r="O180" s="41"/>
      <c r="P180" s="113">
        <v>2</v>
      </c>
      <c r="Q180" s="114">
        <v>7924</v>
      </c>
      <c r="R180" s="270">
        <v>3</v>
      </c>
      <c r="S180" s="43">
        <f t="shared" si="13"/>
        <v>8500.2999999999993</v>
      </c>
      <c r="T180" s="114">
        <f>576.3+5426.7+2497.3</f>
        <v>8500.2999999999993</v>
      </c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146</v>
      </c>
      <c r="C181" s="374" t="s">
        <v>39</v>
      </c>
      <c r="D181" s="374" t="s">
        <v>328</v>
      </c>
      <c r="E181" s="374" t="s">
        <v>27</v>
      </c>
      <c r="F181" s="204" t="s">
        <v>329</v>
      </c>
      <c r="G181" s="176" t="s">
        <v>24</v>
      </c>
      <c r="H181" s="48">
        <v>8</v>
      </c>
      <c r="I181" s="62">
        <v>6</v>
      </c>
      <c r="J181" s="62">
        <v>6</v>
      </c>
      <c r="K181" s="30">
        <v>22780.46</v>
      </c>
      <c r="L181" s="205">
        <v>6</v>
      </c>
      <c r="M181" s="26">
        <f t="shared" si="12"/>
        <v>22780.46</v>
      </c>
      <c r="N181" s="30">
        <v>22780.46</v>
      </c>
      <c r="O181" s="225"/>
      <c r="P181" s="53">
        <v>11</v>
      </c>
      <c r="Q181" s="30">
        <v>34917.42</v>
      </c>
      <c r="R181" s="205">
        <v>11</v>
      </c>
      <c r="S181" s="26">
        <f t="shared" si="13"/>
        <v>34917.42</v>
      </c>
      <c r="T181" s="30">
        <v>34917.42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220" t="s">
        <v>330</v>
      </c>
      <c r="G182" s="229" t="s">
        <v>28</v>
      </c>
      <c r="H182" s="153">
        <v>4</v>
      </c>
      <c r="I182" s="57"/>
      <c r="J182" s="57"/>
      <c r="K182" s="43"/>
      <c r="L182" s="44"/>
      <c r="M182" s="43">
        <f t="shared" si="12"/>
        <v>0</v>
      </c>
      <c r="N182" s="43"/>
      <c r="O182" s="41"/>
      <c r="P182" s="115">
        <v>6</v>
      </c>
      <c r="Q182" s="68">
        <v>27573.17</v>
      </c>
      <c r="R182" s="285">
        <v>6</v>
      </c>
      <c r="S182" s="39">
        <f t="shared" si="13"/>
        <v>27573.17</v>
      </c>
      <c r="T182" s="68">
        <f>576.3+15944.3+1479.17+1344.7+8228.7</f>
        <v>27573.17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148</v>
      </c>
      <c r="C183" s="374" t="s">
        <v>39</v>
      </c>
      <c r="D183" s="374" t="s">
        <v>149</v>
      </c>
      <c r="E183" s="374" t="s">
        <v>27</v>
      </c>
      <c r="F183" s="204" t="s">
        <v>218</v>
      </c>
      <c r="G183" s="176" t="s">
        <v>24</v>
      </c>
      <c r="H183" s="48">
        <v>17</v>
      </c>
      <c r="I183" s="62">
        <v>15</v>
      </c>
      <c r="J183" s="204">
        <v>19</v>
      </c>
      <c r="K183" s="30">
        <v>35669.300000000003</v>
      </c>
      <c r="L183" s="205">
        <v>19</v>
      </c>
      <c r="M183" s="26">
        <f t="shared" si="12"/>
        <v>35669.300000000003</v>
      </c>
      <c r="N183" s="30">
        <v>35669.300000000003</v>
      </c>
      <c r="O183" s="225"/>
      <c r="P183" s="108">
        <v>23</v>
      </c>
      <c r="Q183" s="65">
        <v>81517.899999999994</v>
      </c>
      <c r="R183" s="224">
        <v>22</v>
      </c>
      <c r="S183" s="50">
        <f t="shared" si="13"/>
        <v>79924.350000000006</v>
      </c>
      <c r="T183" s="65">
        <v>79924.350000000006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34"/>
      <c r="G184" s="229" t="s">
        <v>28</v>
      </c>
      <c r="H184" s="292">
        <v>2</v>
      </c>
      <c r="I184" s="208">
        <v>1</v>
      </c>
      <c r="J184" s="208">
        <v>1</v>
      </c>
      <c r="K184" s="209">
        <v>3010.5</v>
      </c>
      <c r="L184" s="210"/>
      <c r="M184" s="211">
        <f t="shared" si="12"/>
        <v>0</v>
      </c>
      <c r="N184" s="211"/>
      <c r="O184" s="212"/>
      <c r="P184" s="262">
        <v>1</v>
      </c>
      <c r="Q184" s="209">
        <v>576.29999999999995</v>
      </c>
      <c r="R184" s="290">
        <v>2</v>
      </c>
      <c r="S184" s="211">
        <f t="shared" si="13"/>
        <v>2497.3000000000002</v>
      </c>
      <c r="T184" s="209">
        <f>1921+576.3</f>
        <v>2497.3000000000002</v>
      </c>
      <c r="U184" s="21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2"/>
      <c r="B185" s="374" t="s">
        <v>373</v>
      </c>
      <c r="C185" s="374" t="s">
        <v>22</v>
      </c>
      <c r="D185" s="374"/>
      <c r="E185" s="374" t="s">
        <v>27</v>
      </c>
      <c r="F185" s="232" t="s">
        <v>417</v>
      </c>
      <c r="G185" s="213" t="s">
        <v>24</v>
      </c>
      <c r="H185" s="61">
        <v>1</v>
      </c>
      <c r="I185" s="62">
        <v>1</v>
      </c>
      <c r="J185" s="62">
        <v>1</v>
      </c>
      <c r="K185" s="326">
        <v>662.31</v>
      </c>
      <c r="L185" s="327">
        <v>1</v>
      </c>
      <c r="M185" s="162">
        <f t="shared" si="12"/>
        <v>662.31</v>
      </c>
      <c r="N185" s="326">
        <v>662.31</v>
      </c>
      <c r="O185" s="28"/>
      <c r="P185" s="275"/>
      <c r="Q185" s="26"/>
      <c r="R185" s="27"/>
      <c r="S185" s="26">
        <f t="shared" si="13"/>
        <v>0</v>
      </c>
      <c r="T185" s="26"/>
      <c r="U185" s="28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75"/>
      <c r="F186" s="105"/>
      <c r="G186" s="215" t="s">
        <v>28</v>
      </c>
      <c r="H186" s="117">
        <v>4</v>
      </c>
      <c r="I186" s="37">
        <v>1</v>
      </c>
      <c r="J186" s="37">
        <v>1</v>
      </c>
      <c r="K186" s="318">
        <v>1056.22</v>
      </c>
      <c r="L186" s="343">
        <v>1</v>
      </c>
      <c r="M186" s="164">
        <f t="shared" si="12"/>
        <v>1056.55</v>
      </c>
      <c r="N186" s="164">
        <f>1056.55</f>
        <v>1056.55</v>
      </c>
      <c r="O186" s="41"/>
      <c r="P186" s="276"/>
      <c r="Q186" s="39"/>
      <c r="R186" s="40"/>
      <c r="S186" s="39">
        <f t="shared" si="13"/>
        <v>0</v>
      </c>
      <c r="T186" s="39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6"/>
      <c r="B187" s="402" t="s">
        <v>150</v>
      </c>
      <c r="C187" s="377" t="s">
        <v>39</v>
      </c>
      <c r="D187" s="377" t="s">
        <v>151</v>
      </c>
      <c r="E187" s="377" t="s">
        <v>152</v>
      </c>
      <c r="F187" s="72"/>
      <c r="G187" s="95" t="s">
        <v>24</v>
      </c>
      <c r="H187" s="74"/>
      <c r="I187" s="96"/>
      <c r="J187" s="96"/>
      <c r="K187" s="293"/>
      <c r="L187" s="294"/>
      <c r="M187" s="293">
        <f t="shared" si="12"/>
        <v>0</v>
      </c>
      <c r="N187" s="293"/>
      <c r="O187" s="82"/>
      <c r="P187" s="295"/>
      <c r="Q187" s="81"/>
      <c r="R187" s="80"/>
      <c r="S187" s="81">
        <f t="shared" si="13"/>
        <v>0</v>
      </c>
      <c r="T187" s="81"/>
      <c r="U187" s="8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89"/>
      <c r="C188" s="375"/>
      <c r="D188" s="375"/>
      <c r="E188" s="375"/>
      <c r="F188" s="220" t="s">
        <v>331</v>
      </c>
      <c r="G188" s="35" t="s">
        <v>25</v>
      </c>
      <c r="H188" s="106"/>
      <c r="I188" s="38"/>
      <c r="J188" s="38"/>
      <c r="K188" s="164"/>
      <c r="L188" s="165"/>
      <c r="M188" s="164">
        <f t="shared" si="12"/>
        <v>0</v>
      </c>
      <c r="N188" s="164"/>
      <c r="O188" s="41"/>
      <c r="P188" s="67">
        <v>4</v>
      </c>
      <c r="Q188" s="68">
        <v>19199.810000000001</v>
      </c>
      <c r="R188" s="285">
        <v>4</v>
      </c>
      <c r="S188" s="68">
        <v>19199.810000000001</v>
      </c>
      <c r="T188" s="68">
        <v>19199.810000000001</v>
      </c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153</v>
      </c>
      <c r="C189" s="374" t="s">
        <v>39</v>
      </c>
      <c r="D189" s="381" t="s">
        <v>332</v>
      </c>
      <c r="E189" s="381" t="s">
        <v>27</v>
      </c>
      <c r="F189" s="223" t="s">
        <v>333</v>
      </c>
      <c r="G189" s="47" t="s">
        <v>24</v>
      </c>
      <c r="H189" s="48">
        <v>18</v>
      </c>
      <c r="I189" s="203">
        <v>16</v>
      </c>
      <c r="J189" s="203">
        <v>21</v>
      </c>
      <c r="K189" s="242">
        <v>45122.87</v>
      </c>
      <c r="L189" s="320">
        <v>20</v>
      </c>
      <c r="M189" s="166">
        <f t="shared" si="12"/>
        <v>43798.25</v>
      </c>
      <c r="N189" s="242">
        <v>43798.25</v>
      </c>
      <c r="O189" s="225"/>
      <c r="P189" s="108">
        <v>6</v>
      </c>
      <c r="Q189" s="65">
        <v>34185.78</v>
      </c>
      <c r="R189" s="224">
        <v>6</v>
      </c>
      <c r="S189" s="50">
        <f t="shared" ref="S189:S208" si="14">T189+U189</f>
        <v>34185.78</v>
      </c>
      <c r="T189" s="65">
        <v>34185.78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75"/>
      <c r="D190" s="380"/>
      <c r="E190" s="380"/>
      <c r="F190" s="34"/>
      <c r="G190" s="35" t="s">
        <v>28</v>
      </c>
      <c r="H190" s="153">
        <v>1</v>
      </c>
      <c r="I190" s="130">
        <v>1</v>
      </c>
      <c r="J190" s="130">
        <v>1</v>
      </c>
      <c r="K190" s="114">
        <v>1152.5999999999999</v>
      </c>
      <c r="L190" s="270">
        <v>1</v>
      </c>
      <c r="M190" s="43">
        <f t="shared" si="12"/>
        <v>1152.5999999999999</v>
      </c>
      <c r="N190" s="43">
        <f>1152.6</f>
        <v>1152.5999999999999</v>
      </c>
      <c r="O190" s="41"/>
      <c r="P190" s="113">
        <v>3</v>
      </c>
      <c r="Q190" s="114">
        <v>19714.599999999999</v>
      </c>
      <c r="R190" s="270">
        <v>3</v>
      </c>
      <c r="S190" s="43">
        <f t="shared" si="14"/>
        <v>18825.8</v>
      </c>
      <c r="T190" s="114">
        <f>1921+11718.1+5186.7</f>
        <v>18825.8</v>
      </c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155</v>
      </c>
      <c r="C191" s="374" t="s">
        <v>22</v>
      </c>
      <c r="D191" s="374"/>
      <c r="E191" s="374" t="s">
        <v>37</v>
      </c>
      <c r="F191" s="223" t="s">
        <v>245</v>
      </c>
      <c r="G191" s="23" t="s">
        <v>24</v>
      </c>
      <c r="H191" s="48">
        <v>5</v>
      </c>
      <c r="I191" s="62">
        <v>4</v>
      </c>
      <c r="J191" s="62">
        <v>4</v>
      </c>
      <c r="K191" s="30">
        <v>5891.75</v>
      </c>
      <c r="L191" s="205">
        <v>4</v>
      </c>
      <c r="M191" s="26">
        <f t="shared" si="12"/>
        <v>5891.75</v>
      </c>
      <c r="N191" s="30">
        <v>5891.75</v>
      </c>
      <c r="O191" s="31"/>
      <c r="P191" s="53">
        <v>7</v>
      </c>
      <c r="Q191" s="30">
        <v>16748.509999999998</v>
      </c>
      <c r="R191" s="205">
        <v>7</v>
      </c>
      <c r="S191" s="26">
        <f t="shared" si="14"/>
        <v>16748.509999999998</v>
      </c>
      <c r="T191" s="30">
        <v>16748.509999999998</v>
      </c>
      <c r="U191" s="225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105"/>
      <c r="G192" s="35" t="s">
        <v>28</v>
      </c>
      <c r="H192" s="116"/>
      <c r="I192" s="38"/>
      <c r="J192" s="38"/>
      <c r="K192" s="39"/>
      <c r="L192" s="40"/>
      <c r="M192" s="39">
        <f t="shared" si="12"/>
        <v>0</v>
      </c>
      <c r="N192" s="39"/>
      <c r="O192" s="41"/>
      <c r="P192" s="5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82"/>
      <c r="B193" s="381" t="s">
        <v>156</v>
      </c>
      <c r="C193" s="381" t="s">
        <v>46</v>
      </c>
      <c r="D193" s="385" t="s">
        <v>418</v>
      </c>
      <c r="E193" s="381" t="s">
        <v>27</v>
      </c>
      <c r="F193" s="223" t="s">
        <v>419</v>
      </c>
      <c r="G193" s="23" t="s">
        <v>24</v>
      </c>
      <c r="H193" s="98"/>
      <c r="I193" s="49"/>
      <c r="J193" s="49"/>
      <c r="K193" s="50"/>
      <c r="L193" s="51"/>
      <c r="M193" s="50">
        <f t="shared" si="12"/>
        <v>0</v>
      </c>
      <c r="N193" s="50"/>
      <c r="O193" s="31"/>
      <c r="P193" s="108">
        <v>2</v>
      </c>
      <c r="Q193" s="65">
        <v>14241.9</v>
      </c>
      <c r="R193" s="224">
        <v>2</v>
      </c>
      <c r="S193" s="50">
        <f t="shared" si="14"/>
        <v>14241.9</v>
      </c>
      <c r="T193" s="65">
        <v>14241.9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9"/>
      <c r="B194" s="380"/>
      <c r="C194" s="380"/>
      <c r="D194" s="380"/>
      <c r="E194" s="380"/>
      <c r="F194" s="54"/>
      <c r="G194" s="55" t="s">
        <v>28</v>
      </c>
      <c r="H194" s="118"/>
      <c r="I194" s="57"/>
      <c r="J194" s="57"/>
      <c r="K194" s="43"/>
      <c r="L194" s="44"/>
      <c r="M194" s="43">
        <f t="shared" si="12"/>
        <v>0</v>
      </c>
      <c r="N194" s="43"/>
      <c r="O194" s="41"/>
      <c r="P194" s="113">
        <v>1</v>
      </c>
      <c r="Q194" s="114">
        <v>0</v>
      </c>
      <c r="R194" s="44"/>
      <c r="S194" s="43">
        <f t="shared" si="14"/>
        <v>0</v>
      </c>
      <c r="T194" s="43"/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2"/>
      <c r="B195" s="374" t="s">
        <v>157</v>
      </c>
      <c r="C195" s="390"/>
      <c r="D195" s="374"/>
      <c r="E195" s="374"/>
      <c r="F195" s="22"/>
      <c r="G195" s="23" t="s">
        <v>24</v>
      </c>
      <c r="H195" s="104"/>
      <c r="I195" s="25"/>
      <c r="J195" s="25"/>
      <c r="K195" s="26"/>
      <c r="L195" s="27"/>
      <c r="M195" s="26">
        <f t="shared" si="12"/>
        <v>0</v>
      </c>
      <c r="N195" s="26"/>
      <c r="O195" s="31"/>
      <c r="P195" s="120"/>
      <c r="Q195" s="26"/>
      <c r="R195" s="27"/>
      <c r="S195" s="26">
        <f t="shared" si="14"/>
        <v>0</v>
      </c>
      <c r="T195" s="26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34"/>
      <c r="G196" s="35" t="s">
        <v>28</v>
      </c>
      <c r="H196" s="106"/>
      <c r="I196" s="38"/>
      <c r="J196" s="38"/>
      <c r="K196" s="39"/>
      <c r="L196" s="40"/>
      <c r="M196" s="39">
        <f t="shared" si="12"/>
        <v>0</v>
      </c>
      <c r="N196" s="39"/>
      <c r="O196" s="41"/>
      <c r="P196" s="69"/>
      <c r="Q196" s="39"/>
      <c r="R196" s="40"/>
      <c r="S196" s="39">
        <f t="shared" si="14"/>
        <v>0</v>
      </c>
      <c r="T196" s="39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158</v>
      </c>
      <c r="C197" s="374" t="s">
        <v>39</v>
      </c>
      <c r="D197" s="374" t="s">
        <v>288</v>
      </c>
      <c r="E197" s="374" t="s">
        <v>27</v>
      </c>
      <c r="F197" s="204" t="s">
        <v>289</v>
      </c>
      <c r="G197" s="176" t="s">
        <v>24</v>
      </c>
      <c r="H197" s="48">
        <v>10</v>
      </c>
      <c r="I197" s="203">
        <v>8</v>
      </c>
      <c r="J197" s="203">
        <v>9</v>
      </c>
      <c r="K197" s="65">
        <v>22982.49</v>
      </c>
      <c r="L197" s="224">
        <v>9</v>
      </c>
      <c r="M197" s="50">
        <f t="shared" si="12"/>
        <v>22982.49</v>
      </c>
      <c r="N197" s="65">
        <v>22982.49</v>
      </c>
      <c r="O197" s="225"/>
      <c r="P197" s="108">
        <v>10</v>
      </c>
      <c r="Q197" s="65">
        <v>22956.16</v>
      </c>
      <c r="R197" s="224">
        <v>9</v>
      </c>
      <c r="S197" s="50">
        <f t="shared" si="14"/>
        <v>21932.59</v>
      </c>
      <c r="T197" s="65">
        <v>21932.59</v>
      </c>
      <c r="U197" s="225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75"/>
      <c r="F198" s="220" t="s">
        <v>334</v>
      </c>
      <c r="G198" s="229" t="s">
        <v>28</v>
      </c>
      <c r="H198" s="117">
        <v>4</v>
      </c>
      <c r="I198" s="37">
        <v>4</v>
      </c>
      <c r="J198" s="37">
        <v>4</v>
      </c>
      <c r="K198" s="68">
        <v>5874.79</v>
      </c>
      <c r="L198" s="285">
        <v>1</v>
      </c>
      <c r="M198" s="39">
        <f t="shared" si="12"/>
        <v>1921</v>
      </c>
      <c r="N198" s="39">
        <f>1921</f>
        <v>1921</v>
      </c>
      <c r="O198" s="41"/>
      <c r="P198" s="59"/>
      <c r="Q198" s="39"/>
      <c r="R198" s="40"/>
      <c r="S198" s="39">
        <f t="shared" si="14"/>
        <v>1152.5999999999999</v>
      </c>
      <c r="T198" s="68">
        <v>1152.5999999999999</v>
      </c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6"/>
      <c r="B199" s="377" t="s">
        <v>159</v>
      </c>
      <c r="C199" s="377" t="s">
        <v>22</v>
      </c>
      <c r="D199" s="377"/>
      <c r="E199" s="377" t="s">
        <v>160</v>
      </c>
      <c r="F199" s="232" t="s">
        <v>246</v>
      </c>
      <c r="G199" s="95" t="s">
        <v>24</v>
      </c>
      <c r="H199" s="48">
        <v>18</v>
      </c>
      <c r="I199" s="203">
        <v>16</v>
      </c>
      <c r="J199" s="203">
        <v>24</v>
      </c>
      <c r="K199" s="65">
        <v>46779.08</v>
      </c>
      <c r="L199" s="224">
        <v>24</v>
      </c>
      <c r="M199" s="50">
        <f t="shared" si="12"/>
        <v>46779.08</v>
      </c>
      <c r="N199" s="65">
        <v>46779.08</v>
      </c>
      <c r="O199" s="225"/>
      <c r="P199" s="108">
        <v>27</v>
      </c>
      <c r="Q199" s="65">
        <v>43490.11</v>
      </c>
      <c r="R199" s="224">
        <v>26</v>
      </c>
      <c r="S199" s="50">
        <f t="shared" si="14"/>
        <v>42356.26</v>
      </c>
      <c r="T199" s="65">
        <v>42356.26</v>
      </c>
      <c r="U199" s="225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3"/>
      <c r="B200" s="375"/>
      <c r="C200" s="375"/>
      <c r="D200" s="375"/>
      <c r="E200" s="375"/>
      <c r="F200" s="54"/>
      <c r="G200" s="55" t="s">
        <v>28</v>
      </c>
      <c r="H200" s="112">
        <v>6</v>
      </c>
      <c r="I200" s="130">
        <v>2</v>
      </c>
      <c r="J200" s="130">
        <v>2</v>
      </c>
      <c r="K200" s="114">
        <v>2401.25</v>
      </c>
      <c r="L200" s="316">
        <v>2</v>
      </c>
      <c r="M200" s="50">
        <f t="shared" si="12"/>
        <v>2401.25</v>
      </c>
      <c r="N200" s="43">
        <f>1056.55+1344.7</f>
        <v>2401.25</v>
      </c>
      <c r="O200" s="41"/>
      <c r="P200" s="113">
        <v>3</v>
      </c>
      <c r="Q200" s="114">
        <v>5551.69</v>
      </c>
      <c r="R200" s="270">
        <v>3</v>
      </c>
      <c r="S200" s="43">
        <f t="shared" si="14"/>
        <v>5551.69</v>
      </c>
      <c r="T200" s="43">
        <f>5551.69</f>
        <v>5551.69</v>
      </c>
      <c r="U200" s="4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2"/>
      <c r="B201" s="374" t="s">
        <v>161</v>
      </c>
      <c r="C201" s="377" t="s">
        <v>22</v>
      </c>
      <c r="D201" s="374"/>
      <c r="E201" s="374" t="s">
        <v>450</v>
      </c>
      <c r="F201" s="204" t="s">
        <v>451</v>
      </c>
      <c r="G201" s="23" t="s">
        <v>24</v>
      </c>
      <c r="H201" s="24">
        <v>10</v>
      </c>
      <c r="I201" s="62">
        <v>1</v>
      </c>
      <c r="J201" s="62">
        <v>2</v>
      </c>
      <c r="K201" s="30">
        <v>3016.65</v>
      </c>
      <c r="L201" s="205">
        <v>2</v>
      </c>
      <c r="M201" s="26">
        <f t="shared" si="12"/>
        <v>3016.65</v>
      </c>
      <c r="N201" s="30">
        <v>3016.65</v>
      </c>
      <c r="O201" s="31"/>
      <c r="P201" s="53">
        <v>11</v>
      </c>
      <c r="Q201" s="30">
        <v>35207.21</v>
      </c>
      <c r="R201" s="205">
        <v>11</v>
      </c>
      <c r="S201" s="26">
        <f t="shared" si="14"/>
        <v>35207.21</v>
      </c>
      <c r="T201" s="30">
        <v>35207.21</v>
      </c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3"/>
      <c r="B202" s="375"/>
      <c r="C202" s="375"/>
      <c r="D202" s="375"/>
      <c r="E202" s="392"/>
      <c r="F202" s="34"/>
      <c r="G202" s="35" t="s">
        <v>28</v>
      </c>
      <c r="H202" s="66">
        <v>4</v>
      </c>
      <c r="I202" s="38"/>
      <c r="J202" s="38"/>
      <c r="K202" s="39"/>
      <c r="L202" s="40"/>
      <c r="M202" s="39">
        <f t="shared" si="12"/>
        <v>0</v>
      </c>
      <c r="N202" s="39"/>
      <c r="O202" s="41"/>
      <c r="P202" s="59"/>
      <c r="Q202" s="39"/>
      <c r="R202" s="40"/>
      <c r="S202" s="39">
        <f t="shared" si="14"/>
        <v>0</v>
      </c>
      <c r="T202" s="39"/>
      <c r="U202" s="4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82"/>
      <c r="B203" s="381" t="s">
        <v>162</v>
      </c>
      <c r="C203" s="381" t="s">
        <v>39</v>
      </c>
      <c r="D203" s="381" t="s">
        <v>163</v>
      </c>
      <c r="E203" s="374" t="s">
        <v>27</v>
      </c>
      <c r="F203" s="135"/>
      <c r="G203" s="47" t="s">
        <v>24</v>
      </c>
      <c r="H203" s="98"/>
      <c r="I203" s="49"/>
      <c r="J203" s="49"/>
      <c r="K203" s="50"/>
      <c r="L203" s="51"/>
      <c r="M203" s="50">
        <f t="shared" si="12"/>
        <v>0</v>
      </c>
      <c r="N203" s="50"/>
      <c r="O203" s="31"/>
      <c r="P203" s="123"/>
      <c r="Q203" s="50"/>
      <c r="R203" s="51"/>
      <c r="S203" s="50">
        <f t="shared" si="14"/>
        <v>0</v>
      </c>
      <c r="T203" s="50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7"/>
      <c r="B204" s="386"/>
      <c r="C204" s="386"/>
      <c r="D204" s="386"/>
      <c r="E204" s="386"/>
      <c r="F204" s="54"/>
      <c r="G204" s="47" t="s">
        <v>25</v>
      </c>
      <c r="H204" s="98"/>
      <c r="I204" s="49"/>
      <c r="J204" s="49"/>
      <c r="K204" s="50"/>
      <c r="L204" s="51"/>
      <c r="M204" s="50">
        <f t="shared" si="12"/>
        <v>0</v>
      </c>
      <c r="N204" s="50"/>
      <c r="O204" s="45"/>
      <c r="P204" s="123"/>
      <c r="Q204" s="50"/>
      <c r="R204" s="51"/>
      <c r="S204" s="50">
        <f t="shared" si="14"/>
        <v>0</v>
      </c>
      <c r="T204" s="50"/>
      <c r="U204" s="4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9"/>
      <c r="B205" s="380"/>
      <c r="C205" s="380"/>
      <c r="D205" s="380"/>
      <c r="E205" s="380"/>
      <c r="F205" s="54"/>
      <c r="G205" s="55" t="s">
        <v>28</v>
      </c>
      <c r="H205" s="116"/>
      <c r="I205" s="57"/>
      <c r="J205" s="57"/>
      <c r="K205" s="43"/>
      <c r="L205" s="44"/>
      <c r="M205" s="43">
        <f t="shared" si="12"/>
        <v>0</v>
      </c>
      <c r="N205" s="43"/>
      <c r="O205" s="41"/>
      <c r="P205" s="113">
        <v>1</v>
      </c>
      <c r="Q205" s="114">
        <v>4602.5</v>
      </c>
      <c r="R205" s="270">
        <v>1</v>
      </c>
      <c r="S205" s="43">
        <f t="shared" si="14"/>
        <v>4602.5</v>
      </c>
      <c r="T205" s="114">
        <v>4602.5</v>
      </c>
      <c r="U205" s="23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164</v>
      </c>
      <c r="C206" s="374" t="s">
        <v>22</v>
      </c>
      <c r="D206" s="374"/>
      <c r="E206" s="374" t="s">
        <v>27</v>
      </c>
      <c r="F206" s="22"/>
      <c r="G206" s="23" t="s">
        <v>24</v>
      </c>
      <c r="H206" s="98"/>
      <c r="I206" s="25"/>
      <c r="J206" s="25"/>
      <c r="K206" s="26"/>
      <c r="L206" s="27"/>
      <c r="M206" s="26">
        <f t="shared" si="12"/>
        <v>0</v>
      </c>
      <c r="N206" s="26"/>
      <c r="O206" s="31"/>
      <c r="P206" s="99"/>
      <c r="Q206" s="26"/>
      <c r="R206" s="27"/>
      <c r="S206" s="26">
        <f t="shared" si="14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1" t="s">
        <v>335</v>
      </c>
      <c r="G207" s="55" t="s">
        <v>28</v>
      </c>
      <c r="H207" s="56">
        <v>4</v>
      </c>
      <c r="I207" s="57"/>
      <c r="J207" s="57"/>
      <c r="K207" s="43"/>
      <c r="L207" s="44"/>
      <c r="M207" s="43">
        <f t="shared" si="12"/>
        <v>0</v>
      </c>
      <c r="N207" s="43"/>
      <c r="O207" s="41"/>
      <c r="P207" s="113">
        <v>4</v>
      </c>
      <c r="Q207" s="114">
        <v>7395.85</v>
      </c>
      <c r="R207" s="270">
        <v>5</v>
      </c>
      <c r="S207" s="43">
        <f t="shared" si="14"/>
        <v>8452.4000000000015</v>
      </c>
      <c r="T207" s="114">
        <f>4034.1+1921+2497.3</f>
        <v>8452.4000000000015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165</v>
      </c>
      <c r="C208" s="374"/>
      <c r="D208" s="374"/>
      <c r="E208" s="374"/>
      <c r="F208" s="22"/>
      <c r="G208" s="23" t="s">
        <v>24</v>
      </c>
      <c r="H208" s="119"/>
      <c r="I208" s="25"/>
      <c r="J208" s="25"/>
      <c r="K208" s="26"/>
      <c r="L208" s="27"/>
      <c r="M208" s="26">
        <f t="shared" si="12"/>
        <v>0</v>
      </c>
      <c r="N208" s="26"/>
      <c r="O208" s="31"/>
      <c r="P208" s="99"/>
      <c r="Q208" s="26"/>
      <c r="R208" s="27"/>
      <c r="S208" s="26">
        <f t="shared" si="14"/>
        <v>0</v>
      </c>
      <c r="T208" s="26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34"/>
      <c r="G209" s="35" t="s">
        <v>25</v>
      </c>
      <c r="H209" s="66">
        <v>2</v>
      </c>
      <c r="I209" s="38"/>
      <c r="J209" s="38"/>
      <c r="K209" s="39"/>
      <c r="L209" s="40"/>
      <c r="M209" s="39">
        <f t="shared" si="12"/>
        <v>0</v>
      </c>
      <c r="N209" s="39"/>
      <c r="O209" s="41"/>
      <c r="P209" s="115">
        <v>2</v>
      </c>
      <c r="Q209" s="68">
        <v>288.14999999999998</v>
      </c>
      <c r="R209" s="285">
        <v>1</v>
      </c>
      <c r="S209" s="68">
        <v>288.14999999999998</v>
      </c>
      <c r="T209" s="68">
        <v>288.14999999999998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454</v>
      </c>
      <c r="C210" s="377" t="s">
        <v>39</v>
      </c>
      <c r="D210" s="405" t="s">
        <v>455</v>
      </c>
      <c r="E210" s="381" t="s">
        <v>27</v>
      </c>
      <c r="F210" s="204" t="s">
        <v>467</v>
      </c>
      <c r="G210" s="23" t="s">
        <v>24</v>
      </c>
      <c r="H210" s="328"/>
      <c r="I210" s="71"/>
      <c r="J210" s="71"/>
      <c r="K210" s="93"/>
      <c r="L210" s="92"/>
      <c r="M210" s="26">
        <f t="shared" si="12"/>
        <v>0</v>
      </c>
      <c r="N210" s="93"/>
      <c r="O210" s="94"/>
      <c r="P210" s="329"/>
      <c r="Q210" s="91"/>
      <c r="R210" s="330"/>
      <c r="S210" s="26">
        <f t="shared" ref="S210:S226" si="15">T210+U210</f>
        <v>0</v>
      </c>
      <c r="T210" s="79"/>
      <c r="U210" s="336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406"/>
      <c r="E211" s="375"/>
      <c r="F211" s="220"/>
      <c r="G211" s="345" t="s">
        <v>28</v>
      </c>
      <c r="H211" s="346">
        <v>3</v>
      </c>
      <c r="I211" s="38"/>
      <c r="J211" s="38"/>
      <c r="K211" s="39"/>
      <c r="L211" s="40"/>
      <c r="M211" s="87">
        <f t="shared" si="12"/>
        <v>0</v>
      </c>
      <c r="N211" s="39"/>
      <c r="O211" s="41"/>
      <c r="P211" s="217"/>
      <c r="Q211" s="68"/>
      <c r="R211" s="285"/>
      <c r="S211" s="87">
        <f t="shared" si="15"/>
        <v>0</v>
      </c>
      <c r="T211" s="339"/>
      <c r="U211" s="34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82"/>
      <c r="B212" s="381" t="s">
        <v>166</v>
      </c>
      <c r="C212" s="381" t="s">
        <v>22</v>
      </c>
      <c r="D212" s="377"/>
      <c r="E212" s="381" t="s">
        <v>27</v>
      </c>
      <c r="F212" s="232" t="s">
        <v>420</v>
      </c>
      <c r="G212" s="347" t="s">
        <v>24</v>
      </c>
      <c r="H212" s="348">
        <v>1</v>
      </c>
      <c r="I212" s="96"/>
      <c r="J212" s="96"/>
      <c r="K212" s="81"/>
      <c r="L212" s="80"/>
      <c r="M212" s="81">
        <f t="shared" si="12"/>
        <v>0</v>
      </c>
      <c r="N212" s="81"/>
      <c r="O212" s="82"/>
      <c r="P212" s="78">
        <v>4</v>
      </c>
      <c r="Q212" s="79">
        <v>17868.150000000001</v>
      </c>
      <c r="R212" s="268">
        <v>4</v>
      </c>
      <c r="S212" s="81">
        <f t="shared" si="15"/>
        <v>17868.150000000001</v>
      </c>
      <c r="T212" s="79">
        <v>17868.150000000001</v>
      </c>
      <c r="U212" s="26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6"/>
      <c r="G213" s="227" t="s">
        <v>28</v>
      </c>
      <c r="H213" s="334"/>
      <c r="I213" s="57"/>
      <c r="J213" s="57"/>
      <c r="K213" s="43"/>
      <c r="L213" s="44"/>
      <c r="M213" s="43">
        <f t="shared" si="12"/>
        <v>0</v>
      </c>
      <c r="N213" s="43"/>
      <c r="O213" s="45"/>
      <c r="P213" s="273"/>
      <c r="Q213" s="211"/>
      <c r="R213" s="210"/>
      <c r="S213" s="211">
        <f t="shared" si="15"/>
        <v>0</v>
      </c>
      <c r="T213" s="211"/>
      <c r="U213" s="21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167</v>
      </c>
      <c r="C214" s="374" t="s">
        <v>46</v>
      </c>
      <c r="D214" s="374" t="s">
        <v>168</v>
      </c>
      <c r="E214" s="374" t="s">
        <v>27</v>
      </c>
      <c r="F214" s="204" t="s">
        <v>421</v>
      </c>
      <c r="G214" s="176" t="s">
        <v>24</v>
      </c>
      <c r="H214" s="248">
        <v>4</v>
      </c>
      <c r="I214" s="62">
        <v>3</v>
      </c>
      <c r="J214" s="62">
        <v>3</v>
      </c>
      <c r="K214" s="30">
        <v>2022.81</v>
      </c>
      <c r="L214" s="205">
        <v>3</v>
      </c>
      <c r="M214" s="26">
        <f t="shared" si="12"/>
        <v>2022.81</v>
      </c>
      <c r="N214" s="30">
        <v>2022.81</v>
      </c>
      <c r="O214" s="308"/>
      <c r="P214" s="99"/>
      <c r="Q214" s="26"/>
      <c r="R214" s="27"/>
      <c r="S214" s="26">
        <f t="shared" si="15"/>
        <v>0</v>
      </c>
      <c r="T214" s="26"/>
      <c r="U214" s="28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247</v>
      </c>
      <c r="G215" s="229" t="s">
        <v>28</v>
      </c>
      <c r="H215" s="258">
        <v>6</v>
      </c>
      <c r="I215" s="37">
        <v>4</v>
      </c>
      <c r="J215" s="37">
        <v>4</v>
      </c>
      <c r="K215" s="68">
        <v>9389.9500000000007</v>
      </c>
      <c r="L215" s="285">
        <v>4</v>
      </c>
      <c r="M215" s="39">
        <f t="shared" si="12"/>
        <v>17899.98</v>
      </c>
      <c r="N215" s="39">
        <f>1985.09+7101.24+2689.4+4418.3+1705.95</f>
        <v>17899.98</v>
      </c>
      <c r="O215" s="309"/>
      <c r="P215" s="310">
        <v>6</v>
      </c>
      <c r="Q215" s="245">
        <v>28151.200000000001</v>
      </c>
      <c r="R215" s="285">
        <v>6</v>
      </c>
      <c r="S215" s="39">
        <f t="shared" si="15"/>
        <v>19124.87</v>
      </c>
      <c r="T215" s="68">
        <f>4034.1+1152.6+2881.5+2497.3+1921+6638.37</f>
        <v>19124.87</v>
      </c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6"/>
      <c r="B216" s="377" t="s">
        <v>169</v>
      </c>
      <c r="C216" s="377" t="s">
        <v>39</v>
      </c>
      <c r="D216" s="377"/>
      <c r="E216" s="377" t="s">
        <v>27</v>
      </c>
      <c r="F216" s="72"/>
      <c r="G216" s="291" t="s">
        <v>24</v>
      </c>
      <c r="H216" s="98"/>
      <c r="I216" s="49"/>
      <c r="J216" s="49"/>
      <c r="K216" s="50"/>
      <c r="L216" s="51"/>
      <c r="M216" s="50">
        <f t="shared" si="12"/>
        <v>0</v>
      </c>
      <c r="N216" s="50"/>
      <c r="O216" s="31"/>
      <c r="P216" s="277"/>
      <c r="Q216" s="81"/>
      <c r="R216" s="80"/>
      <c r="S216" s="81">
        <f t="shared" si="15"/>
        <v>0</v>
      </c>
      <c r="T216" s="81"/>
      <c r="U216" s="219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336</v>
      </c>
      <c r="G217" s="229" t="s">
        <v>28</v>
      </c>
      <c r="H217" s="153">
        <v>3</v>
      </c>
      <c r="I217" s="57"/>
      <c r="J217" s="57"/>
      <c r="K217" s="43"/>
      <c r="L217" s="44"/>
      <c r="M217" s="43">
        <f t="shared" si="12"/>
        <v>0</v>
      </c>
      <c r="N217" s="43"/>
      <c r="O217" s="41"/>
      <c r="P217" s="113">
        <v>1</v>
      </c>
      <c r="Q217" s="114">
        <v>3842</v>
      </c>
      <c r="R217" s="316">
        <v>1</v>
      </c>
      <c r="S217" s="50">
        <f t="shared" si="15"/>
        <v>3842</v>
      </c>
      <c r="T217" s="43">
        <f>3842</f>
        <v>3842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170</v>
      </c>
      <c r="C218" s="374" t="s">
        <v>22</v>
      </c>
      <c r="D218" s="374"/>
      <c r="E218" s="374" t="s">
        <v>160</v>
      </c>
      <c r="F218" s="232" t="s">
        <v>248</v>
      </c>
      <c r="G218" s="23" t="s">
        <v>24</v>
      </c>
      <c r="H218" s="48">
        <v>16</v>
      </c>
      <c r="I218" s="62">
        <v>14</v>
      </c>
      <c r="J218" s="62">
        <v>21</v>
      </c>
      <c r="K218" s="30">
        <v>48232.13</v>
      </c>
      <c r="L218" s="205">
        <v>21</v>
      </c>
      <c r="M218" s="26">
        <f t="shared" si="12"/>
        <v>48232.13</v>
      </c>
      <c r="N218" s="30">
        <v>48232.13</v>
      </c>
      <c r="O218" s="225"/>
      <c r="P218" s="53">
        <v>20</v>
      </c>
      <c r="Q218" s="30">
        <v>64727.57</v>
      </c>
      <c r="R218" s="205">
        <v>20</v>
      </c>
      <c r="S218" s="26">
        <f t="shared" si="15"/>
        <v>64727.57</v>
      </c>
      <c r="T218" s="30">
        <v>64727.57</v>
      </c>
      <c r="U218" s="225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105"/>
      <c r="G219" s="35" t="s">
        <v>28</v>
      </c>
      <c r="H219" s="116"/>
      <c r="I219" s="38"/>
      <c r="J219" s="38"/>
      <c r="K219" s="39"/>
      <c r="L219" s="40"/>
      <c r="M219" s="39">
        <f t="shared" si="12"/>
        <v>0</v>
      </c>
      <c r="N219" s="39"/>
      <c r="O219" s="41"/>
      <c r="P219" s="59"/>
      <c r="Q219" s="39"/>
      <c r="R219" s="40"/>
      <c r="S219" s="39">
        <f t="shared" si="15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171</v>
      </c>
      <c r="C220" s="374" t="s">
        <v>39</v>
      </c>
      <c r="D220" s="374" t="s">
        <v>374</v>
      </c>
      <c r="E220" s="374" t="s">
        <v>27</v>
      </c>
      <c r="F220" s="223" t="s">
        <v>375</v>
      </c>
      <c r="G220" s="176" t="s">
        <v>24</v>
      </c>
      <c r="H220" s="48">
        <v>4</v>
      </c>
      <c r="I220" s="203">
        <v>2</v>
      </c>
      <c r="J220" s="203">
        <v>2</v>
      </c>
      <c r="K220" s="65">
        <v>3169.65</v>
      </c>
      <c r="L220" s="224">
        <v>2</v>
      </c>
      <c r="M220" s="50">
        <f t="shared" si="12"/>
        <v>3169.65</v>
      </c>
      <c r="N220" s="65">
        <v>3169.65</v>
      </c>
      <c r="O220" s="31"/>
      <c r="P220" s="108">
        <v>6</v>
      </c>
      <c r="Q220" s="65">
        <v>16741.060000000001</v>
      </c>
      <c r="R220" s="224">
        <v>6</v>
      </c>
      <c r="S220" s="50">
        <f t="shared" si="15"/>
        <v>16741.060000000001</v>
      </c>
      <c r="T220" s="65">
        <v>16741.060000000001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337</v>
      </c>
      <c r="G221" s="229" t="s">
        <v>28</v>
      </c>
      <c r="H221" s="133">
        <v>3</v>
      </c>
      <c r="I221" s="130">
        <v>1</v>
      </c>
      <c r="J221" s="130">
        <v>1</v>
      </c>
      <c r="K221" s="114">
        <v>3457.8</v>
      </c>
      <c r="L221" s="316">
        <v>1</v>
      </c>
      <c r="M221" s="50">
        <f t="shared" si="12"/>
        <v>3457.8</v>
      </c>
      <c r="N221" s="43">
        <f>3457.8</f>
        <v>3457.8</v>
      </c>
      <c r="O221" s="41"/>
      <c r="P221" s="113">
        <v>2</v>
      </c>
      <c r="Q221" s="114">
        <v>7299.8</v>
      </c>
      <c r="R221" s="270">
        <v>2</v>
      </c>
      <c r="S221" s="43">
        <f t="shared" si="15"/>
        <v>7299.7999999999993</v>
      </c>
      <c r="T221" s="43">
        <f>3073.6+4226.2</f>
        <v>7299.7999999999993</v>
      </c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172</v>
      </c>
      <c r="C222" s="374" t="s">
        <v>39</v>
      </c>
      <c r="D222" s="374" t="s">
        <v>303</v>
      </c>
      <c r="E222" s="374" t="s">
        <v>121</v>
      </c>
      <c r="F222" s="204" t="s">
        <v>304</v>
      </c>
      <c r="G222" s="176" t="s">
        <v>24</v>
      </c>
      <c r="H222" s="48">
        <v>23</v>
      </c>
      <c r="I222" s="62">
        <v>10</v>
      </c>
      <c r="J222" s="62">
        <v>11</v>
      </c>
      <c r="K222" s="30">
        <v>9906.6299999999992</v>
      </c>
      <c r="L222" s="205">
        <v>10</v>
      </c>
      <c r="M222" s="26">
        <f t="shared" si="12"/>
        <v>7339.68</v>
      </c>
      <c r="N222" s="30">
        <v>7339.68</v>
      </c>
      <c r="O222" s="225"/>
      <c r="P222" s="53">
        <v>28</v>
      </c>
      <c r="Q222" s="30">
        <v>74352.649999999994</v>
      </c>
      <c r="R222" s="205">
        <v>26</v>
      </c>
      <c r="S222" s="26">
        <f t="shared" si="15"/>
        <v>73507.41</v>
      </c>
      <c r="T222" s="30">
        <v>73507.41</v>
      </c>
      <c r="U222" s="30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34"/>
      <c r="G223" s="229" t="s">
        <v>25</v>
      </c>
      <c r="H223" s="102"/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1</v>
      </c>
      <c r="Q223" s="114">
        <v>1728.9</v>
      </c>
      <c r="R223" s="270">
        <v>1</v>
      </c>
      <c r="S223" s="43">
        <f t="shared" si="15"/>
        <v>1728.9</v>
      </c>
      <c r="T223" s="114">
        <v>1728.9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173</v>
      </c>
      <c r="C224" s="374" t="s">
        <v>39</v>
      </c>
      <c r="D224" s="374" t="s">
        <v>338</v>
      </c>
      <c r="E224" s="374" t="s">
        <v>121</v>
      </c>
      <c r="F224" s="232" t="s">
        <v>376</v>
      </c>
      <c r="G224" s="23" t="s">
        <v>24</v>
      </c>
      <c r="H224" s="61">
        <v>35</v>
      </c>
      <c r="I224" s="25"/>
      <c r="J224" s="25"/>
      <c r="K224" s="26"/>
      <c r="L224" s="27"/>
      <c r="M224" s="26">
        <f t="shared" si="12"/>
        <v>0</v>
      </c>
      <c r="N224" s="26"/>
      <c r="O224" s="31"/>
      <c r="P224" s="53">
        <v>6</v>
      </c>
      <c r="Q224" s="30">
        <v>5292.88</v>
      </c>
      <c r="R224" s="205">
        <v>5</v>
      </c>
      <c r="S224" s="26">
        <f t="shared" si="15"/>
        <v>4887.8599999999997</v>
      </c>
      <c r="T224" s="30">
        <v>4887.8599999999997</v>
      </c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339</v>
      </c>
      <c r="G225" s="35" t="s">
        <v>25</v>
      </c>
      <c r="H225" s="117">
        <v>12</v>
      </c>
      <c r="I225" s="37">
        <v>1</v>
      </c>
      <c r="J225" s="37">
        <v>1</v>
      </c>
      <c r="K225" s="68">
        <v>1152.5999999999999</v>
      </c>
      <c r="L225" s="285">
        <v>1</v>
      </c>
      <c r="M225" s="39">
        <f t="shared" si="12"/>
        <v>1152.5999999999999</v>
      </c>
      <c r="N225" s="68">
        <v>1152.5999999999999</v>
      </c>
      <c r="O225" s="234"/>
      <c r="P225" s="115">
        <v>2</v>
      </c>
      <c r="Q225" s="68">
        <v>4942.5</v>
      </c>
      <c r="R225" s="285">
        <v>2</v>
      </c>
      <c r="S225" s="39">
        <f t="shared" si="15"/>
        <v>4942.5</v>
      </c>
      <c r="T225" s="68">
        <v>4942.5</v>
      </c>
      <c r="U225" s="23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174</v>
      </c>
      <c r="C226" s="374" t="s">
        <v>39</v>
      </c>
      <c r="D226" s="374" t="s">
        <v>175</v>
      </c>
      <c r="E226" s="374" t="s">
        <v>176</v>
      </c>
      <c r="F226" s="204" t="s">
        <v>377</v>
      </c>
      <c r="G226" s="176" t="s">
        <v>24</v>
      </c>
      <c r="H226" s="48">
        <v>15</v>
      </c>
      <c r="I226" s="203">
        <v>12</v>
      </c>
      <c r="J226" s="203">
        <v>13</v>
      </c>
      <c r="K226" s="65">
        <v>22834.31</v>
      </c>
      <c r="L226" s="224">
        <v>11</v>
      </c>
      <c r="M226" s="50">
        <f t="shared" si="12"/>
        <v>20832.330000000002</v>
      </c>
      <c r="N226" s="65">
        <v>20832.330000000002</v>
      </c>
      <c r="O226" s="225"/>
      <c r="P226" s="108">
        <v>18</v>
      </c>
      <c r="Q226" s="65">
        <v>56598.95</v>
      </c>
      <c r="R226" s="224">
        <v>18</v>
      </c>
      <c r="S226" s="50">
        <f t="shared" si="15"/>
        <v>56598.95</v>
      </c>
      <c r="T226" s="65">
        <v>56598.95</v>
      </c>
      <c r="U226" s="225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340</v>
      </c>
      <c r="G227" s="229" t="s">
        <v>25</v>
      </c>
      <c r="H227" s="153">
        <v>2</v>
      </c>
      <c r="I227" s="57"/>
      <c r="J227" s="57"/>
      <c r="K227" s="43"/>
      <c r="L227" s="44"/>
      <c r="M227" s="43">
        <f t="shared" si="12"/>
        <v>0</v>
      </c>
      <c r="N227" s="43"/>
      <c r="O227" s="41"/>
      <c r="P227" s="113">
        <v>9</v>
      </c>
      <c r="Q227" s="114">
        <v>44675.6</v>
      </c>
      <c r="R227" s="270">
        <v>9</v>
      </c>
      <c r="S227" s="114">
        <v>44675.6</v>
      </c>
      <c r="T227" s="114">
        <v>44675.6</v>
      </c>
      <c r="U227" s="23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177</v>
      </c>
      <c r="C228" s="377" t="s">
        <v>39</v>
      </c>
      <c r="D228" s="374" t="s">
        <v>226</v>
      </c>
      <c r="E228" s="374" t="s">
        <v>27</v>
      </c>
      <c r="F228" s="204" t="s">
        <v>227</v>
      </c>
      <c r="G228" s="23" t="s">
        <v>24</v>
      </c>
      <c r="H228" s="48">
        <v>5</v>
      </c>
      <c r="I228" s="62">
        <v>3</v>
      </c>
      <c r="J228" s="62">
        <v>3</v>
      </c>
      <c r="K228" s="30">
        <v>1969.94</v>
      </c>
      <c r="L228" s="205">
        <v>3</v>
      </c>
      <c r="M228" s="26">
        <f t="shared" si="12"/>
        <v>1969.94</v>
      </c>
      <c r="N228" s="30">
        <v>1969.94</v>
      </c>
      <c r="O228" s="225"/>
      <c r="P228" s="53">
        <v>16</v>
      </c>
      <c r="Q228" s="30">
        <v>53460.74</v>
      </c>
      <c r="R228" s="205">
        <v>16</v>
      </c>
      <c r="S228" s="26">
        <f t="shared" ref="S228:S231" si="16">T228+U228</f>
        <v>53460.74</v>
      </c>
      <c r="T228" s="30">
        <v>53460.74</v>
      </c>
      <c r="U228" s="225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80"/>
      <c r="D229" s="375"/>
      <c r="E229" s="375"/>
      <c r="F229" s="105"/>
      <c r="G229" s="55" t="s">
        <v>28</v>
      </c>
      <c r="H229" s="118"/>
      <c r="I229" s="57"/>
      <c r="J229" s="57"/>
      <c r="K229" s="43"/>
      <c r="L229" s="44"/>
      <c r="M229" s="43">
        <f t="shared" si="12"/>
        <v>0</v>
      </c>
      <c r="N229" s="43"/>
      <c r="O229" s="41"/>
      <c r="P229" s="103"/>
      <c r="Q229" s="43"/>
      <c r="R229" s="44"/>
      <c r="S229" s="43">
        <f t="shared" si="16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178</v>
      </c>
      <c r="C230" s="374" t="s">
        <v>22</v>
      </c>
      <c r="D230" s="374"/>
      <c r="E230" s="374" t="s">
        <v>27</v>
      </c>
      <c r="F230" s="232" t="s">
        <v>452</v>
      </c>
      <c r="G230" s="176" t="s">
        <v>24</v>
      </c>
      <c r="H230" s="61">
        <v>4</v>
      </c>
      <c r="I230" s="62">
        <v>3</v>
      </c>
      <c r="J230" s="62">
        <v>3</v>
      </c>
      <c r="K230" s="30">
        <v>3497.67</v>
      </c>
      <c r="L230" s="205">
        <v>2</v>
      </c>
      <c r="M230" s="26">
        <f t="shared" si="12"/>
        <v>2387.8000000000002</v>
      </c>
      <c r="N230" s="30">
        <v>2387.8000000000002</v>
      </c>
      <c r="O230" s="31"/>
      <c r="P230" s="29">
        <v>1</v>
      </c>
      <c r="Q230" s="30">
        <v>2466.56</v>
      </c>
      <c r="R230" s="205">
        <v>1</v>
      </c>
      <c r="S230" s="26">
        <f t="shared" si="16"/>
        <v>2466.56</v>
      </c>
      <c r="T230" s="30">
        <v>2466.56</v>
      </c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52" t="s">
        <v>28</v>
      </c>
      <c r="H231" s="106"/>
      <c r="I231" s="38"/>
      <c r="J231" s="38"/>
      <c r="K231" s="39"/>
      <c r="L231" s="40"/>
      <c r="M231" s="39">
        <f t="shared" si="12"/>
        <v>0</v>
      </c>
      <c r="N231" s="39"/>
      <c r="O231" s="41"/>
      <c r="P231" s="69"/>
      <c r="Q231" s="39"/>
      <c r="R231" s="40"/>
      <c r="S231" s="39">
        <f t="shared" si="16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445</v>
      </c>
      <c r="C232" s="374"/>
      <c r="D232" s="374"/>
      <c r="E232" s="374"/>
      <c r="F232" s="72"/>
      <c r="G232" s="176" t="s">
        <v>24</v>
      </c>
      <c r="H232" s="265"/>
      <c r="I232" s="266"/>
      <c r="J232" s="96"/>
      <c r="K232" s="81"/>
      <c r="L232" s="80"/>
      <c r="M232" s="81"/>
      <c r="N232" s="81"/>
      <c r="O232" s="82"/>
      <c r="P232" s="295"/>
      <c r="Q232" s="81"/>
      <c r="R232" s="80"/>
      <c r="S232" s="81"/>
      <c r="T232" s="81"/>
      <c r="U232" s="8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6"/>
      <c r="G233" s="252" t="s">
        <v>28</v>
      </c>
      <c r="H233" s="302">
        <v>1</v>
      </c>
      <c r="I233" s="261"/>
      <c r="J233" s="261"/>
      <c r="K233" s="211"/>
      <c r="L233" s="210"/>
      <c r="M233" s="211"/>
      <c r="N233" s="211"/>
      <c r="O233" s="212"/>
      <c r="P233" s="284"/>
      <c r="Q233" s="211"/>
      <c r="R233" s="210"/>
      <c r="S233" s="211"/>
      <c r="T233" s="211"/>
      <c r="U233" s="21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179</v>
      </c>
      <c r="C234" s="374"/>
      <c r="D234" s="374"/>
      <c r="E234" s="374" t="s">
        <v>27</v>
      </c>
      <c r="F234" s="22"/>
      <c r="G234" s="176" t="s">
        <v>24</v>
      </c>
      <c r="H234" s="61">
        <v>2</v>
      </c>
      <c r="I234" s="25"/>
      <c r="J234" s="25"/>
      <c r="K234" s="26"/>
      <c r="L234" s="27"/>
      <c r="M234" s="26">
        <f t="shared" ref="M234:M252" si="17">N234+O234</f>
        <v>0</v>
      </c>
      <c r="N234" s="26"/>
      <c r="O234" s="28"/>
      <c r="P234" s="120"/>
      <c r="Q234" s="26"/>
      <c r="R234" s="27"/>
      <c r="S234" s="26">
        <f t="shared" ref="S234:S252" si="18">T234+U234</f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105"/>
      <c r="G235" s="229" t="s">
        <v>28</v>
      </c>
      <c r="H235" s="298"/>
      <c r="I235" s="261"/>
      <c r="J235" s="261"/>
      <c r="K235" s="211"/>
      <c r="L235" s="210"/>
      <c r="M235" s="211">
        <f t="shared" si="17"/>
        <v>0</v>
      </c>
      <c r="N235" s="211"/>
      <c r="O235" s="212"/>
      <c r="P235" s="284"/>
      <c r="Q235" s="211"/>
      <c r="R235" s="210"/>
      <c r="S235" s="211">
        <f t="shared" si="18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378</v>
      </c>
      <c r="C236" s="374" t="s">
        <v>46</v>
      </c>
      <c r="D236" s="374" t="s">
        <v>422</v>
      </c>
      <c r="E236" s="374" t="s">
        <v>27</v>
      </c>
      <c r="F236" s="232" t="s">
        <v>423</v>
      </c>
      <c r="G236" s="213" t="s">
        <v>24</v>
      </c>
      <c r="H236" s="61">
        <v>12</v>
      </c>
      <c r="I236" s="62">
        <v>7</v>
      </c>
      <c r="J236" s="62">
        <v>8</v>
      </c>
      <c r="K236" s="30">
        <v>8606.68</v>
      </c>
      <c r="L236" s="205">
        <v>8</v>
      </c>
      <c r="M236" s="26">
        <f t="shared" si="17"/>
        <v>8606.68</v>
      </c>
      <c r="N236" s="30">
        <v>8606.68</v>
      </c>
      <c r="O236" s="28"/>
      <c r="P236" s="214"/>
      <c r="Q236" s="30"/>
      <c r="R236" s="205"/>
      <c r="S236" s="26">
        <f t="shared" si="18"/>
        <v>0</v>
      </c>
      <c r="T236" s="30"/>
      <c r="U236" s="2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/>
      <c r="G237" s="215" t="s">
        <v>28</v>
      </c>
      <c r="H237" s="117">
        <v>5</v>
      </c>
      <c r="I237" s="37">
        <v>1</v>
      </c>
      <c r="J237" s="37">
        <v>1</v>
      </c>
      <c r="K237" s="68">
        <v>1152.5999999999999</v>
      </c>
      <c r="L237" s="285">
        <v>1</v>
      </c>
      <c r="M237" s="39">
        <f t="shared" si="17"/>
        <v>1152.5999999999999</v>
      </c>
      <c r="N237" s="39">
        <f>1152.6</f>
        <v>1152.5999999999999</v>
      </c>
      <c r="O237" s="41"/>
      <c r="P237" s="217"/>
      <c r="Q237" s="68"/>
      <c r="R237" s="285"/>
      <c r="S237" s="39">
        <f t="shared" si="18"/>
        <v>0</v>
      </c>
      <c r="T237" s="68"/>
      <c r="U237" s="23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6"/>
      <c r="B238" s="377" t="s">
        <v>180</v>
      </c>
      <c r="C238" s="377" t="s">
        <v>46</v>
      </c>
      <c r="D238" s="377" t="s">
        <v>181</v>
      </c>
      <c r="E238" s="377" t="s">
        <v>27</v>
      </c>
      <c r="F238" s="232" t="s">
        <v>228</v>
      </c>
      <c r="G238" s="95" t="s">
        <v>24</v>
      </c>
      <c r="H238" s="265">
        <v>12</v>
      </c>
      <c r="I238" s="266">
        <v>7</v>
      </c>
      <c r="J238" s="266">
        <v>8</v>
      </c>
      <c r="K238" s="79">
        <v>5763.01</v>
      </c>
      <c r="L238" s="268">
        <v>8</v>
      </c>
      <c r="M238" s="81">
        <f t="shared" si="17"/>
        <v>5763.01</v>
      </c>
      <c r="N238" s="79">
        <v>5763.01</v>
      </c>
      <c r="O238" s="219"/>
      <c r="P238" s="267">
        <v>14</v>
      </c>
      <c r="Q238" s="79">
        <v>65943.149999999994</v>
      </c>
      <c r="R238" s="268">
        <v>14</v>
      </c>
      <c r="S238" s="26">
        <f t="shared" si="18"/>
        <v>65943.149999999994</v>
      </c>
      <c r="T238" s="79">
        <v>65943.149999999994</v>
      </c>
      <c r="U238" s="26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9"/>
      <c r="B239" s="380"/>
      <c r="C239" s="380"/>
      <c r="D239" s="380"/>
      <c r="E239" s="380"/>
      <c r="F239" s="54"/>
      <c r="G239" s="55" t="s">
        <v>28</v>
      </c>
      <c r="H239" s="116"/>
      <c r="I239" s="57"/>
      <c r="J239" s="57"/>
      <c r="K239" s="43"/>
      <c r="L239" s="128"/>
      <c r="M239" s="50">
        <f t="shared" si="17"/>
        <v>0</v>
      </c>
      <c r="N239" s="43"/>
      <c r="O239" s="41"/>
      <c r="P239" s="113">
        <v>3</v>
      </c>
      <c r="Q239" s="114">
        <v>15175.95</v>
      </c>
      <c r="R239" s="270">
        <v>3</v>
      </c>
      <c r="S239" s="43">
        <f t="shared" si="18"/>
        <v>2881.5499999999997</v>
      </c>
      <c r="T239" s="114">
        <f>2209.2+672.35</f>
        <v>2881.5499999999997</v>
      </c>
      <c r="U239" s="45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182</v>
      </c>
      <c r="C240" s="374" t="s">
        <v>46</v>
      </c>
      <c r="D240" s="374" t="s">
        <v>181</v>
      </c>
      <c r="E240" s="374" t="s">
        <v>27</v>
      </c>
      <c r="F240" s="204" t="s">
        <v>379</v>
      </c>
      <c r="G240" s="23" t="s">
        <v>24</v>
      </c>
      <c r="H240" s="48">
        <v>16</v>
      </c>
      <c r="I240" s="62">
        <v>16</v>
      </c>
      <c r="J240" s="62">
        <v>18</v>
      </c>
      <c r="K240" s="30">
        <v>24999.53</v>
      </c>
      <c r="L240" s="205">
        <v>18</v>
      </c>
      <c r="M240" s="26">
        <f t="shared" si="17"/>
        <v>24999.53</v>
      </c>
      <c r="N240" s="30">
        <v>24999.53</v>
      </c>
      <c r="O240" s="31"/>
      <c r="P240" s="53">
        <v>11</v>
      </c>
      <c r="Q240" s="30">
        <v>66117.05</v>
      </c>
      <c r="R240" s="205">
        <v>10</v>
      </c>
      <c r="S240" s="26">
        <f t="shared" si="18"/>
        <v>58580.480000000003</v>
      </c>
      <c r="T240" s="30">
        <v>58580.480000000003</v>
      </c>
      <c r="U240" s="100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35" t="s">
        <v>28</v>
      </c>
      <c r="H241" s="116"/>
      <c r="I241" s="38"/>
      <c r="J241" s="38"/>
      <c r="K241" s="39"/>
      <c r="L241" s="40"/>
      <c r="M241" s="39">
        <f t="shared" si="17"/>
        <v>0</v>
      </c>
      <c r="N241" s="39"/>
      <c r="O241" s="41"/>
      <c r="P241" s="115">
        <v>2</v>
      </c>
      <c r="Q241" s="68">
        <v>4418.3</v>
      </c>
      <c r="R241" s="285">
        <v>1</v>
      </c>
      <c r="S241" s="39">
        <f t="shared" si="18"/>
        <v>3073.6</v>
      </c>
      <c r="T241" s="39">
        <f>3073.6</f>
        <v>3073.6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82"/>
      <c r="B242" s="381" t="s">
        <v>183</v>
      </c>
      <c r="C242" s="381" t="s">
        <v>22</v>
      </c>
      <c r="D242" s="381"/>
      <c r="E242" s="381" t="s">
        <v>99</v>
      </c>
      <c r="F242" s="223" t="s">
        <v>380</v>
      </c>
      <c r="G242" s="23" t="s">
        <v>24</v>
      </c>
      <c r="H242" s="48">
        <v>8</v>
      </c>
      <c r="I242" s="203">
        <v>2</v>
      </c>
      <c r="J242" s="203">
        <v>3</v>
      </c>
      <c r="K242" s="65">
        <v>4337.22</v>
      </c>
      <c r="L242" s="224">
        <v>2</v>
      </c>
      <c r="M242" s="50">
        <f t="shared" si="17"/>
        <v>2320.1799999999998</v>
      </c>
      <c r="N242" s="65">
        <v>2320.1799999999998</v>
      </c>
      <c r="O242" s="31"/>
      <c r="P242" s="108">
        <v>11</v>
      </c>
      <c r="Q242" s="65">
        <v>20748.419999999998</v>
      </c>
      <c r="R242" s="224">
        <v>11</v>
      </c>
      <c r="S242" s="50">
        <f t="shared" si="18"/>
        <v>20748.419999999998</v>
      </c>
      <c r="T242" s="65">
        <v>20748.419999999998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252</v>
      </c>
      <c r="G243" s="227" t="s">
        <v>28</v>
      </c>
      <c r="H243" s="292">
        <v>6</v>
      </c>
      <c r="I243" s="208">
        <v>1</v>
      </c>
      <c r="J243" s="208">
        <v>1</v>
      </c>
      <c r="K243" s="209">
        <v>3073.6</v>
      </c>
      <c r="L243" s="290">
        <v>2</v>
      </c>
      <c r="M243" s="211">
        <f t="shared" si="17"/>
        <v>4879.8999999999996</v>
      </c>
      <c r="N243" s="211">
        <f>1806.3+3073.6</f>
        <v>4879.8999999999996</v>
      </c>
      <c r="O243" s="212"/>
      <c r="P243" s="262">
        <v>3</v>
      </c>
      <c r="Q243" s="209">
        <v>7185.1</v>
      </c>
      <c r="R243" s="290">
        <v>2</v>
      </c>
      <c r="S243" s="211">
        <f t="shared" si="18"/>
        <v>5378.8</v>
      </c>
      <c r="T243" s="211">
        <f>4034.1+1344.7</f>
        <v>5378.8</v>
      </c>
      <c r="U243" s="21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425</v>
      </c>
      <c r="C244" s="374" t="s">
        <v>22</v>
      </c>
      <c r="D244" s="374"/>
      <c r="E244" s="374" t="s">
        <v>131</v>
      </c>
      <c r="F244" s="204" t="s">
        <v>426</v>
      </c>
      <c r="G244" s="176" t="s">
        <v>24</v>
      </c>
      <c r="H244" s="61">
        <v>6</v>
      </c>
      <c r="I244" s="62">
        <v>5</v>
      </c>
      <c r="J244" s="62">
        <v>5</v>
      </c>
      <c r="K244" s="30">
        <v>8440.4</v>
      </c>
      <c r="L244" s="205">
        <v>2</v>
      </c>
      <c r="M244" s="26">
        <f t="shared" si="17"/>
        <v>3486.32</v>
      </c>
      <c r="N244" s="30">
        <v>3486.32</v>
      </c>
      <c r="O244" s="28"/>
      <c r="P244" s="275"/>
      <c r="Q244" s="26"/>
      <c r="R244" s="27"/>
      <c r="S244" s="26">
        <f t="shared" si="18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3"/>
      <c r="B245" s="375"/>
      <c r="C245" s="375"/>
      <c r="D245" s="375"/>
      <c r="E245" s="375"/>
      <c r="F245" s="34"/>
      <c r="G245" s="229" t="s">
        <v>25</v>
      </c>
      <c r="H245" s="106"/>
      <c r="I245" s="38"/>
      <c r="J245" s="38"/>
      <c r="K245" s="39"/>
      <c r="L245" s="40"/>
      <c r="M245" s="39">
        <f t="shared" si="17"/>
        <v>0</v>
      </c>
      <c r="N245" s="39"/>
      <c r="O245" s="41"/>
      <c r="P245" s="276"/>
      <c r="Q245" s="39"/>
      <c r="R245" s="40"/>
      <c r="S245" s="39">
        <f t="shared" si="18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6"/>
      <c r="B246" s="377" t="s">
        <v>184</v>
      </c>
      <c r="C246" s="377" t="s">
        <v>22</v>
      </c>
      <c r="D246" s="377"/>
      <c r="E246" s="377" t="s">
        <v>27</v>
      </c>
      <c r="F246" s="223" t="s">
        <v>453</v>
      </c>
      <c r="G246" s="95" t="s">
        <v>24</v>
      </c>
      <c r="H246" s="265">
        <v>2</v>
      </c>
      <c r="I246" s="266">
        <v>2</v>
      </c>
      <c r="J246" s="266">
        <v>2</v>
      </c>
      <c r="K246" s="79">
        <v>3158.6</v>
      </c>
      <c r="L246" s="268">
        <v>2</v>
      </c>
      <c r="M246" s="81">
        <f t="shared" si="17"/>
        <v>3158.6</v>
      </c>
      <c r="N246" s="79">
        <v>3158.6</v>
      </c>
      <c r="O246" s="219"/>
      <c r="P246" s="277"/>
      <c r="Q246" s="81"/>
      <c r="R246" s="80"/>
      <c r="S246" s="81">
        <f t="shared" si="18"/>
        <v>0</v>
      </c>
      <c r="T246" s="81"/>
      <c r="U246" s="219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9"/>
      <c r="B247" s="380"/>
      <c r="C247" s="380"/>
      <c r="D247" s="380"/>
      <c r="E247" s="380"/>
      <c r="F247" s="233" t="s">
        <v>253</v>
      </c>
      <c r="G247" s="227" t="s">
        <v>28</v>
      </c>
      <c r="H247" s="153">
        <v>4</v>
      </c>
      <c r="I247" s="130">
        <v>3</v>
      </c>
      <c r="J247" s="130">
        <v>3</v>
      </c>
      <c r="K247" s="114">
        <v>8675.82</v>
      </c>
      <c r="L247" s="270">
        <v>2</v>
      </c>
      <c r="M247" s="43">
        <f t="shared" si="17"/>
        <v>5301.96</v>
      </c>
      <c r="N247" s="43">
        <f>1921+3380.96</f>
        <v>5301.96</v>
      </c>
      <c r="O247" s="41"/>
      <c r="P247" s="113">
        <v>5</v>
      </c>
      <c r="Q247" s="114">
        <v>10565.5</v>
      </c>
      <c r="R247" s="270">
        <v>4</v>
      </c>
      <c r="S247" s="43">
        <f t="shared" si="18"/>
        <v>9989.2000000000007</v>
      </c>
      <c r="T247" s="114">
        <f>2958.34+3457.8+1267.86+2305.2</f>
        <v>9989.2000000000007</v>
      </c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2"/>
      <c r="B248" s="374" t="s">
        <v>185</v>
      </c>
      <c r="C248" s="374" t="s">
        <v>22</v>
      </c>
      <c r="D248" s="374"/>
      <c r="E248" s="374" t="s">
        <v>27</v>
      </c>
      <c r="F248" s="204" t="s">
        <v>341</v>
      </c>
      <c r="G248" s="176" t="s">
        <v>24</v>
      </c>
      <c r="H248" s="98"/>
      <c r="I248" s="25"/>
      <c r="J248" s="25"/>
      <c r="K248" s="26"/>
      <c r="L248" s="27"/>
      <c r="M248" s="26">
        <f t="shared" si="17"/>
        <v>0</v>
      </c>
      <c r="N248" s="26"/>
      <c r="O248" s="31"/>
      <c r="P248" s="53">
        <v>2</v>
      </c>
      <c r="Q248" s="30">
        <v>2633.4</v>
      </c>
      <c r="R248" s="205">
        <v>2</v>
      </c>
      <c r="S248" s="26">
        <f t="shared" si="18"/>
        <v>2633.4</v>
      </c>
      <c r="T248" s="30">
        <v>2633.4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342</v>
      </c>
      <c r="G249" s="229" t="s">
        <v>28</v>
      </c>
      <c r="H249" s="133">
        <v>3</v>
      </c>
      <c r="I249" s="57"/>
      <c r="J249" s="57"/>
      <c r="K249" s="43"/>
      <c r="L249" s="44"/>
      <c r="M249" s="43">
        <f t="shared" si="17"/>
        <v>0</v>
      </c>
      <c r="N249" s="43"/>
      <c r="O249" s="41"/>
      <c r="P249" s="113">
        <v>3</v>
      </c>
      <c r="Q249" s="114">
        <v>15773.67</v>
      </c>
      <c r="R249" s="270">
        <v>1</v>
      </c>
      <c r="S249" s="43">
        <f t="shared" si="18"/>
        <v>2994.47</v>
      </c>
      <c r="T249" s="43">
        <f>2994.47</f>
        <v>2994.47</v>
      </c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186</v>
      </c>
      <c r="C250" s="374" t="s">
        <v>22</v>
      </c>
      <c r="D250" s="374"/>
      <c r="E250" s="374" t="s">
        <v>99</v>
      </c>
      <c r="F250" s="232" t="s">
        <v>315</v>
      </c>
      <c r="G250" s="23" t="s">
        <v>24</v>
      </c>
      <c r="H250" s="48">
        <v>8</v>
      </c>
      <c r="I250" s="62">
        <v>5</v>
      </c>
      <c r="J250" s="62">
        <v>7</v>
      </c>
      <c r="K250" s="30">
        <v>17012.53</v>
      </c>
      <c r="L250" s="205">
        <v>7</v>
      </c>
      <c r="M250" s="26">
        <f t="shared" si="17"/>
        <v>17012.53</v>
      </c>
      <c r="N250" s="30">
        <v>17012.53</v>
      </c>
      <c r="O250" s="31"/>
      <c r="P250" s="53">
        <v>12</v>
      </c>
      <c r="Q250" s="30">
        <v>25258.31</v>
      </c>
      <c r="R250" s="205">
        <v>12</v>
      </c>
      <c r="S250" s="26">
        <f t="shared" si="18"/>
        <v>25258.31</v>
      </c>
      <c r="T250" s="30">
        <v>25258.31</v>
      </c>
      <c r="U250" s="225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254</v>
      </c>
      <c r="G251" s="35" t="s">
        <v>28</v>
      </c>
      <c r="H251" s="153">
        <v>8</v>
      </c>
      <c r="I251" s="38"/>
      <c r="J251" s="38"/>
      <c r="K251" s="39"/>
      <c r="L251" s="40"/>
      <c r="M251" s="39">
        <f t="shared" si="17"/>
        <v>0</v>
      </c>
      <c r="N251" s="39"/>
      <c r="O251" s="41"/>
      <c r="P251" s="59"/>
      <c r="Q251" s="39"/>
      <c r="R251" s="40"/>
      <c r="S251" s="39">
        <f t="shared" si="18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187</v>
      </c>
      <c r="C252" s="381" t="s">
        <v>22</v>
      </c>
      <c r="D252" s="381"/>
      <c r="E252" s="381" t="s">
        <v>131</v>
      </c>
      <c r="F252" s="223" t="s">
        <v>343</v>
      </c>
      <c r="G252" s="23" t="s">
        <v>24</v>
      </c>
      <c r="H252" s="48">
        <v>13</v>
      </c>
      <c r="I252" s="203">
        <v>12</v>
      </c>
      <c r="J252" s="203">
        <v>17</v>
      </c>
      <c r="K252" s="65">
        <v>33407.07</v>
      </c>
      <c r="L252" s="224">
        <v>17</v>
      </c>
      <c r="M252" s="50">
        <f t="shared" si="17"/>
        <v>33407.07</v>
      </c>
      <c r="N252" s="65">
        <v>33407.07</v>
      </c>
      <c r="O252" s="225"/>
      <c r="P252" s="108">
        <v>18</v>
      </c>
      <c r="Q252" s="65">
        <v>50634.13</v>
      </c>
      <c r="R252" s="224">
        <v>18</v>
      </c>
      <c r="S252" s="50">
        <f t="shared" si="18"/>
        <v>50634.13</v>
      </c>
      <c r="T252" s="65">
        <v>50634.13</v>
      </c>
      <c r="U252" s="225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9"/>
      <c r="B253" s="380"/>
      <c r="C253" s="380"/>
      <c r="D253" s="380"/>
      <c r="E253" s="380"/>
      <c r="F253" s="247"/>
      <c r="G253" s="227" t="s">
        <v>25</v>
      </c>
      <c r="H253" s="153">
        <v>2</v>
      </c>
      <c r="I253" s="130">
        <v>1</v>
      </c>
      <c r="J253" s="130">
        <v>1</v>
      </c>
      <c r="K253" s="114">
        <v>1728.9</v>
      </c>
      <c r="L253" s="270">
        <v>1</v>
      </c>
      <c r="M253" s="114">
        <v>1728.9</v>
      </c>
      <c r="N253" s="114">
        <v>1728.9</v>
      </c>
      <c r="O253" s="41"/>
      <c r="P253" s="113">
        <v>4</v>
      </c>
      <c r="Q253" s="114">
        <v>30582.32</v>
      </c>
      <c r="R253" s="270">
        <v>3</v>
      </c>
      <c r="S253" s="114">
        <v>23282.52</v>
      </c>
      <c r="T253" s="114">
        <v>23282.52</v>
      </c>
      <c r="U253" s="2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429</v>
      </c>
      <c r="C254" s="374" t="s">
        <v>22</v>
      </c>
      <c r="D254" s="374"/>
      <c r="E254" s="374" t="s">
        <v>27</v>
      </c>
      <c r="F254" s="204" t="s">
        <v>446</v>
      </c>
      <c r="G254" s="176" t="s">
        <v>24</v>
      </c>
      <c r="H254" s="151"/>
      <c r="I254" s="25"/>
      <c r="J254" s="25"/>
      <c r="K254" s="26"/>
      <c r="L254" s="27"/>
      <c r="M254" s="26">
        <f t="shared" ref="M254:M287" si="19">N254+O254</f>
        <v>0</v>
      </c>
      <c r="N254" s="30"/>
      <c r="O254" s="31"/>
      <c r="P254" s="53">
        <v>1</v>
      </c>
      <c r="Q254" s="30">
        <v>36784.050000000003</v>
      </c>
      <c r="R254" s="205">
        <v>1</v>
      </c>
      <c r="S254" s="26">
        <f t="shared" ref="S254:S280" si="20">T254+U254</f>
        <v>36784.050000000003</v>
      </c>
      <c r="T254" s="30">
        <v>36784.050000000003</v>
      </c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/>
      <c r="G255" s="229" t="s">
        <v>28</v>
      </c>
      <c r="H255" s="133"/>
      <c r="I255" s="57"/>
      <c r="J255" s="57"/>
      <c r="K255" s="43"/>
      <c r="L255" s="44"/>
      <c r="M255" s="43">
        <f t="shared" si="19"/>
        <v>0</v>
      </c>
      <c r="N255" s="43"/>
      <c r="O255" s="41"/>
      <c r="P255" s="113"/>
      <c r="Q255" s="114"/>
      <c r="R255" s="44"/>
      <c r="S255" s="43">
        <f t="shared" si="20"/>
        <v>0</v>
      </c>
      <c r="T255" s="114"/>
      <c r="U255" s="2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188</v>
      </c>
      <c r="C256" s="374" t="s">
        <v>39</v>
      </c>
      <c r="D256" s="374"/>
      <c r="E256" s="374" t="s">
        <v>27</v>
      </c>
      <c r="F256" s="22"/>
      <c r="G256" s="176" t="s">
        <v>24</v>
      </c>
      <c r="H256" s="281">
        <v>2</v>
      </c>
      <c r="I256" s="25"/>
      <c r="J256" s="25"/>
      <c r="K256" s="26"/>
      <c r="L256" s="27"/>
      <c r="M256" s="26">
        <f t="shared" si="19"/>
        <v>0</v>
      </c>
      <c r="N256" s="26"/>
      <c r="O256" s="219"/>
      <c r="P256" s="53">
        <v>1</v>
      </c>
      <c r="Q256" s="30">
        <v>2000</v>
      </c>
      <c r="R256" s="27"/>
      <c r="S256" s="26">
        <f t="shared" si="20"/>
        <v>0</v>
      </c>
      <c r="T256" s="26"/>
      <c r="U256" s="219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20.25" customHeight="1">
      <c r="A257" s="373"/>
      <c r="B257" s="375"/>
      <c r="C257" s="375"/>
      <c r="D257" s="375"/>
      <c r="E257" s="375"/>
      <c r="F257" s="220" t="s">
        <v>344</v>
      </c>
      <c r="G257" s="229" t="s">
        <v>28</v>
      </c>
      <c r="H257" s="56">
        <v>3</v>
      </c>
      <c r="I257" s="130">
        <v>1</v>
      </c>
      <c r="J257" s="130">
        <v>1</v>
      </c>
      <c r="K257" s="114">
        <v>1052.5999999999999</v>
      </c>
      <c r="L257" s="44"/>
      <c r="M257" s="43">
        <f t="shared" si="19"/>
        <v>0</v>
      </c>
      <c r="N257" s="43"/>
      <c r="O257" s="222">
        <v>0</v>
      </c>
      <c r="P257" s="113">
        <v>13</v>
      </c>
      <c r="Q257" s="114">
        <v>15160.1</v>
      </c>
      <c r="R257" s="44"/>
      <c r="S257" s="43">
        <f t="shared" si="20"/>
        <v>4050.2</v>
      </c>
      <c r="T257" s="114">
        <v>4050.2</v>
      </c>
      <c r="U257" s="222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189</v>
      </c>
      <c r="C258" s="374" t="s">
        <v>39</v>
      </c>
      <c r="D258" s="374" t="s">
        <v>427</v>
      </c>
      <c r="E258" s="374" t="s">
        <v>27</v>
      </c>
      <c r="F258" s="232" t="s">
        <v>428</v>
      </c>
      <c r="G258" s="23" t="s">
        <v>24</v>
      </c>
      <c r="H258" s="24">
        <v>16</v>
      </c>
      <c r="I258" s="62">
        <v>12</v>
      </c>
      <c r="J258" s="62">
        <v>16</v>
      </c>
      <c r="K258" s="30">
        <v>30275.46</v>
      </c>
      <c r="L258" s="205">
        <v>16</v>
      </c>
      <c r="M258" s="26">
        <f t="shared" si="19"/>
        <v>30275.46</v>
      </c>
      <c r="N258" s="30">
        <v>30275.46</v>
      </c>
      <c r="O258" s="241"/>
      <c r="P258" s="29">
        <v>2</v>
      </c>
      <c r="Q258" s="30">
        <v>1870.81</v>
      </c>
      <c r="R258" s="205">
        <v>2</v>
      </c>
      <c r="S258" s="26">
        <f t="shared" si="20"/>
        <v>1870.81</v>
      </c>
      <c r="T258" s="30">
        <v>1870.81</v>
      </c>
      <c r="U258" s="2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256</v>
      </c>
      <c r="G259" s="35" t="s">
        <v>28</v>
      </c>
      <c r="H259" s="66">
        <v>4</v>
      </c>
      <c r="I259" s="37">
        <v>1</v>
      </c>
      <c r="J259" s="37">
        <v>1</v>
      </c>
      <c r="K259" s="68">
        <v>1921</v>
      </c>
      <c r="L259" s="285">
        <v>1</v>
      </c>
      <c r="M259" s="39">
        <f t="shared" si="19"/>
        <v>1921</v>
      </c>
      <c r="N259" s="39">
        <f>1921</f>
        <v>1921</v>
      </c>
      <c r="O259" s="41"/>
      <c r="P259" s="69"/>
      <c r="Q259" s="39"/>
      <c r="R259" s="40"/>
      <c r="S259" s="39">
        <f t="shared" si="20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190</v>
      </c>
      <c r="C260" s="381" t="s">
        <v>39</v>
      </c>
      <c r="D260" s="381" t="s">
        <v>191</v>
      </c>
      <c r="E260" s="381" t="s">
        <v>27</v>
      </c>
      <c r="F260" s="46"/>
      <c r="G260" s="47" t="s">
        <v>24</v>
      </c>
      <c r="H260" s="98"/>
      <c r="I260" s="49"/>
      <c r="J260" s="49"/>
      <c r="K260" s="50"/>
      <c r="L260" s="51"/>
      <c r="M260" s="50">
        <f t="shared" si="19"/>
        <v>0</v>
      </c>
      <c r="N260" s="50"/>
      <c r="O260" s="31"/>
      <c r="P260" s="123"/>
      <c r="Q260" s="50"/>
      <c r="R260" s="51"/>
      <c r="S260" s="50">
        <f t="shared" si="20"/>
        <v>0</v>
      </c>
      <c r="T260" s="50"/>
      <c r="U260" s="3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345</v>
      </c>
      <c r="G261" s="35" t="s">
        <v>28</v>
      </c>
      <c r="H261" s="112">
        <v>2</v>
      </c>
      <c r="I261" s="57"/>
      <c r="J261" s="57"/>
      <c r="K261" s="43"/>
      <c r="L261" s="44"/>
      <c r="M261" s="43">
        <f t="shared" si="19"/>
        <v>0</v>
      </c>
      <c r="N261" s="43"/>
      <c r="O261" s="45"/>
      <c r="P261" s="115">
        <v>4</v>
      </c>
      <c r="Q261" s="68">
        <v>5106.7</v>
      </c>
      <c r="R261" s="285">
        <v>5</v>
      </c>
      <c r="S261" s="39">
        <f t="shared" si="20"/>
        <v>6739.58</v>
      </c>
      <c r="T261" s="68">
        <f>3818+2921.58</f>
        <v>6739.58</v>
      </c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192</v>
      </c>
      <c r="C262" s="374" t="s">
        <v>22</v>
      </c>
      <c r="D262" s="374"/>
      <c r="E262" s="374" t="s">
        <v>193</v>
      </c>
      <c r="F262" s="204" t="s">
        <v>318</v>
      </c>
      <c r="G262" s="176" t="s">
        <v>24</v>
      </c>
      <c r="H262" s="61">
        <v>16</v>
      </c>
      <c r="I262" s="62">
        <v>16</v>
      </c>
      <c r="J262" s="62">
        <v>17</v>
      </c>
      <c r="K262" s="30">
        <v>18277.259999999998</v>
      </c>
      <c r="L262" s="205">
        <v>10</v>
      </c>
      <c r="M262" s="26">
        <f t="shared" si="19"/>
        <v>12465.79</v>
      </c>
      <c r="N262" s="30">
        <v>12465.79</v>
      </c>
      <c r="O262" s="100"/>
      <c r="P262" s="64">
        <v>21</v>
      </c>
      <c r="Q262" s="65">
        <v>54554.61</v>
      </c>
      <c r="R262" s="224">
        <v>20</v>
      </c>
      <c r="S262" s="50">
        <f t="shared" si="20"/>
        <v>52584.43</v>
      </c>
      <c r="T262" s="65">
        <v>52584.43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346</v>
      </c>
      <c r="G263" s="229" t="s">
        <v>28</v>
      </c>
      <c r="H263" s="133">
        <v>1</v>
      </c>
      <c r="I263" s="37">
        <v>1</v>
      </c>
      <c r="J263" s="37">
        <v>1</v>
      </c>
      <c r="K263" s="68">
        <v>1728.9</v>
      </c>
      <c r="L263" s="285">
        <v>1</v>
      </c>
      <c r="M263" s="39">
        <f t="shared" si="19"/>
        <v>1728.9</v>
      </c>
      <c r="N263" s="39">
        <f>1728.9</f>
        <v>1728.9</v>
      </c>
      <c r="O263" s="41"/>
      <c r="P263" s="42"/>
      <c r="Q263" s="43"/>
      <c r="R263" s="44"/>
      <c r="S263" s="43">
        <f t="shared" si="20"/>
        <v>0</v>
      </c>
      <c r="T263" s="43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194</v>
      </c>
      <c r="C264" s="377" t="s">
        <v>39</v>
      </c>
      <c r="D264" s="377" t="s">
        <v>319</v>
      </c>
      <c r="E264" s="374" t="s">
        <v>160</v>
      </c>
      <c r="F264" s="232" t="s">
        <v>320</v>
      </c>
      <c r="G264" s="23" t="s">
        <v>24</v>
      </c>
      <c r="H264" s="48">
        <v>5</v>
      </c>
      <c r="I264" s="203">
        <v>4</v>
      </c>
      <c r="J264" s="203">
        <v>4</v>
      </c>
      <c r="K264" s="65">
        <v>2968.33</v>
      </c>
      <c r="L264" s="316">
        <v>4</v>
      </c>
      <c r="M264" s="129">
        <f t="shared" si="19"/>
        <v>2968.33</v>
      </c>
      <c r="N264" s="65">
        <v>2968.33</v>
      </c>
      <c r="O264" s="225"/>
      <c r="P264" s="29">
        <v>3</v>
      </c>
      <c r="Q264" s="30">
        <v>6107.21</v>
      </c>
      <c r="R264" s="205">
        <v>3</v>
      </c>
      <c r="S264" s="26">
        <f t="shared" si="20"/>
        <v>6107.21</v>
      </c>
      <c r="T264" s="30">
        <v>6107.21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347</v>
      </c>
      <c r="G265" s="35" t="s">
        <v>28</v>
      </c>
      <c r="H265" s="117">
        <v>4</v>
      </c>
      <c r="I265" s="37"/>
      <c r="J265" s="37"/>
      <c r="K265" s="39"/>
      <c r="L265" s="44"/>
      <c r="M265" s="43">
        <f t="shared" si="19"/>
        <v>0</v>
      </c>
      <c r="N265" s="39"/>
      <c r="O265" s="41"/>
      <c r="P265" s="37">
        <v>6</v>
      </c>
      <c r="Q265" s="37">
        <v>16253.33</v>
      </c>
      <c r="R265" s="285">
        <v>4</v>
      </c>
      <c r="S265" s="39">
        <f t="shared" si="20"/>
        <v>8529.17</v>
      </c>
      <c r="T265" s="68">
        <f>576.3+4045.34+3273.6+633.93</f>
        <v>8529.17</v>
      </c>
      <c r="U265" s="2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195</v>
      </c>
      <c r="C266" s="377" t="s">
        <v>39</v>
      </c>
      <c r="D266" s="377" t="s">
        <v>231</v>
      </c>
      <c r="E266" s="381" t="s">
        <v>27</v>
      </c>
      <c r="F266" s="204" t="s">
        <v>232</v>
      </c>
      <c r="G266" s="47" t="s">
        <v>24</v>
      </c>
      <c r="H266" s="61">
        <v>2</v>
      </c>
      <c r="I266" s="25"/>
      <c r="J266" s="25"/>
      <c r="K266" s="26"/>
      <c r="L266" s="205"/>
      <c r="M266" s="26">
        <f t="shared" si="19"/>
        <v>0</v>
      </c>
      <c r="N266" s="26"/>
      <c r="O266" s="31"/>
      <c r="P266" s="64">
        <v>7</v>
      </c>
      <c r="Q266" s="65">
        <v>46859.35</v>
      </c>
      <c r="R266" s="224">
        <v>7</v>
      </c>
      <c r="S266" s="50">
        <f t="shared" si="20"/>
        <v>46859.35</v>
      </c>
      <c r="T266" s="65">
        <v>46859.35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1" t="s">
        <v>260</v>
      </c>
      <c r="G267" s="55" t="s">
        <v>28</v>
      </c>
      <c r="H267" s="178">
        <v>5</v>
      </c>
      <c r="I267" s="130">
        <v>2</v>
      </c>
      <c r="J267" s="130">
        <v>2</v>
      </c>
      <c r="K267" s="114">
        <v>1997.84</v>
      </c>
      <c r="L267" s="270">
        <v>2</v>
      </c>
      <c r="M267" s="43">
        <f t="shared" si="19"/>
        <v>1997.84</v>
      </c>
      <c r="N267" s="43">
        <f>1152.6+845.24</f>
        <v>1997.84</v>
      </c>
      <c r="O267" s="222"/>
      <c r="P267" s="130">
        <v>7</v>
      </c>
      <c r="Q267" s="130">
        <v>24706.45</v>
      </c>
      <c r="R267" s="270">
        <v>10</v>
      </c>
      <c r="S267" s="43">
        <f t="shared" si="20"/>
        <v>34770.1</v>
      </c>
      <c r="T267" s="114">
        <f>4994.6+12678.6+576.3+6915.6+6915.6+576.3+2113.1</f>
        <v>34770.1</v>
      </c>
      <c r="U267" s="222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196</v>
      </c>
      <c r="C268" s="381" t="s">
        <v>22</v>
      </c>
      <c r="D268" s="374"/>
      <c r="E268" s="381" t="s">
        <v>27</v>
      </c>
      <c r="F268" s="22"/>
      <c r="G268" s="23" t="s">
        <v>24</v>
      </c>
      <c r="H268" s="119"/>
      <c r="I268" s="25"/>
      <c r="J268" s="25"/>
      <c r="K268" s="26"/>
      <c r="L268" s="27"/>
      <c r="M268" s="26">
        <f t="shared" si="19"/>
        <v>0</v>
      </c>
      <c r="N268" s="26"/>
      <c r="O268" s="28"/>
      <c r="P268" s="120"/>
      <c r="Q268" s="26"/>
      <c r="R268" s="27"/>
      <c r="S268" s="26">
        <f t="shared" si="20"/>
        <v>0</v>
      </c>
      <c r="T268" s="26"/>
      <c r="U268" s="28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348</v>
      </c>
      <c r="G269" s="35" t="s">
        <v>28</v>
      </c>
      <c r="H269" s="66">
        <v>5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67">
        <v>4</v>
      </c>
      <c r="Q269" s="68">
        <v>11282.42</v>
      </c>
      <c r="R269" s="285">
        <v>4</v>
      </c>
      <c r="S269" s="39">
        <f t="shared" si="20"/>
        <v>11576</v>
      </c>
      <c r="T269" s="39">
        <f>2547.3+4226.2+2881.5+1921</f>
        <v>11576</v>
      </c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197</v>
      </c>
      <c r="C270" s="381" t="s">
        <v>39</v>
      </c>
      <c r="D270" s="381" t="s">
        <v>381</v>
      </c>
      <c r="E270" s="381" t="s">
        <v>27</v>
      </c>
      <c r="F270" s="204" t="s">
        <v>382</v>
      </c>
      <c r="G270" s="47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08">
        <v>1</v>
      </c>
      <c r="Q270" s="65">
        <v>748.24</v>
      </c>
      <c r="R270" s="224">
        <v>1</v>
      </c>
      <c r="S270" s="50">
        <f t="shared" si="20"/>
        <v>748.24</v>
      </c>
      <c r="T270" s="65">
        <v>748.24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221" t="s">
        <v>349</v>
      </c>
      <c r="G271" s="55" t="s">
        <v>28</v>
      </c>
      <c r="H271" s="153">
        <v>4</v>
      </c>
      <c r="I271" s="130">
        <v>2</v>
      </c>
      <c r="J271" s="130">
        <v>2</v>
      </c>
      <c r="K271" s="114">
        <v>3265.7</v>
      </c>
      <c r="L271" s="270">
        <v>2</v>
      </c>
      <c r="M271" s="43">
        <f t="shared" si="19"/>
        <v>2977.55</v>
      </c>
      <c r="N271" s="43">
        <f>1056.55+1921</f>
        <v>2977.55</v>
      </c>
      <c r="O271" s="41"/>
      <c r="P271" s="103"/>
      <c r="Q271" s="43"/>
      <c r="R271" s="270">
        <v>2</v>
      </c>
      <c r="S271" s="43">
        <f t="shared" si="20"/>
        <v>3765.16</v>
      </c>
      <c r="T271" s="114">
        <f>1440.75+2324.41</f>
        <v>3765.16</v>
      </c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198</v>
      </c>
      <c r="C272" s="374" t="s">
        <v>22</v>
      </c>
      <c r="D272" s="374"/>
      <c r="E272" s="374" t="s">
        <v>112</v>
      </c>
      <c r="F272" s="204" t="s">
        <v>383</v>
      </c>
      <c r="G272" s="23" t="s">
        <v>24</v>
      </c>
      <c r="H272" s="48">
        <v>10</v>
      </c>
      <c r="I272" s="62">
        <v>5</v>
      </c>
      <c r="J272" s="62">
        <v>5</v>
      </c>
      <c r="K272" s="30">
        <v>5867.69</v>
      </c>
      <c r="L272" s="205">
        <v>4</v>
      </c>
      <c r="M272" s="26">
        <f t="shared" si="19"/>
        <v>2486.73</v>
      </c>
      <c r="N272" s="30">
        <v>2486.73</v>
      </c>
      <c r="O272" s="31"/>
      <c r="P272" s="53">
        <v>12</v>
      </c>
      <c r="Q272" s="30">
        <v>46848.4</v>
      </c>
      <c r="R272" s="205">
        <v>11</v>
      </c>
      <c r="S272" s="26">
        <f t="shared" si="20"/>
        <v>44151.34</v>
      </c>
      <c r="T272" s="30">
        <v>44151.34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 t="s">
        <v>350</v>
      </c>
      <c r="G273" s="35" t="s">
        <v>28</v>
      </c>
      <c r="H273" s="153">
        <v>2</v>
      </c>
      <c r="I273" s="38"/>
      <c r="J273" s="38"/>
      <c r="K273" s="39"/>
      <c r="L273" s="40"/>
      <c r="M273" s="39">
        <f t="shared" si="19"/>
        <v>0</v>
      </c>
      <c r="N273" s="39"/>
      <c r="O273" s="41"/>
      <c r="P273" s="59"/>
      <c r="Q273" s="39"/>
      <c r="R273" s="40"/>
      <c r="S273" s="39">
        <f t="shared" si="20"/>
        <v>0</v>
      </c>
      <c r="T273" s="39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199</v>
      </c>
      <c r="C274" s="381" t="s">
        <v>22</v>
      </c>
      <c r="D274" s="381"/>
      <c r="E274" s="381" t="s">
        <v>131</v>
      </c>
      <c r="F274" s="46"/>
      <c r="G274" s="23" t="s">
        <v>24</v>
      </c>
      <c r="H274" s="98"/>
      <c r="I274" s="49"/>
      <c r="J274" s="49"/>
      <c r="K274" s="50"/>
      <c r="L274" s="51"/>
      <c r="M274" s="50">
        <f t="shared" si="19"/>
        <v>0</v>
      </c>
      <c r="N274" s="50"/>
      <c r="O274" s="31"/>
      <c r="P274" s="123"/>
      <c r="Q274" s="50"/>
      <c r="R274" s="51"/>
      <c r="S274" s="50">
        <f t="shared" si="20"/>
        <v>0</v>
      </c>
      <c r="T274" s="50"/>
      <c r="U274" s="3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9"/>
      <c r="B275" s="380"/>
      <c r="C275" s="380"/>
      <c r="D275" s="380"/>
      <c r="E275" s="380"/>
      <c r="F275" s="126"/>
      <c r="G275" s="55" t="s">
        <v>25</v>
      </c>
      <c r="H275" s="118"/>
      <c r="I275" s="57"/>
      <c r="J275" s="57"/>
      <c r="K275" s="43"/>
      <c r="L275" s="44"/>
      <c r="M275" s="43">
        <f t="shared" si="19"/>
        <v>0</v>
      </c>
      <c r="N275" s="43"/>
      <c r="O275" s="41"/>
      <c r="P275" s="103"/>
      <c r="Q275" s="43"/>
      <c r="R275" s="44"/>
      <c r="S275" s="43">
        <f t="shared" si="20"/>
        <v>0</v>
      </c>
      <c r="T275" s="43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200</v>
      </c>
      <c r="C276" s="374" t="s">
        <v>39</v>
      </c>
      <c r="D276" s="374" t="s">
        <v>456</v>
      </c>
      <c r="E276" s="374" t="s">
        <v>27</v>
      </c>
      <c r="F276" s="204" t="s">
        <v>457</v>
      </c>
      <c r="G276" s="23" t="s">
        <v>24</v>
      </c>
      <c r="H276" s="61">
        <v>4</v>
      </c>
      <c r="I276" s="62">
        <v>4</v>
      </c>
      <c r="J276" s="62">
        <v>5</v>
      </c>
      <c r="K276" s="30">
        <v>6859.34</v>
      </c>
      <c r="L276" s="205">
        <v>5</v>
      </c>
      <c r="M276" s="26">
        <f t="shared" si="19"/>
        <v>6859.34</v>
      </c>
      <c r="N276" s="30">
        <v>6859.34</v>
      </c>
      <c r="O276" s="31"/>
      <c r="P276" s="29">
        <v>6</v>
      </c>
      <c r="Q276" s="30">
        <v>21652.240000000002</v>
      </c>
      <c r="R276" s="205">
        <v>6</v>
      </c>
      <c r="S276" s="26">
        <f t="shared" si="20"/>
        <v>21652.240000000002</v>
      </c>
      <c r="T276" s="30">
        <v>21652.240000000002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33" t="s">
        <v>466</v>
      </c>
      <c r="G277" s="227" t="s">
        <v>28</v>
      </c>
      <c r="H277" s="207">
        <v>3</v>
      </c>
      <c r="I277" s="208">
        <v>2</v>
      </c>
      <c r="J277" s="208">
        <v>2</v>
      </c>
      <c r="K277" s="209">
        <v>3364.6</v>
      </c>
      <c r="L277" s="290">
        <v>1</v>
      </c>
      <c r="M277" s="211">
        <f t="shared" si="19"/>
        <v>1056.55</v>
      </c>
      <c r="N277" s="211">
        <f>1056.55</f>
        <v>1056.55</v>
      </c>
      <c r="O277" s="212"/>
      <c r="P277" s="284"/>
      <c r="Q277" s="211"/>
      <c r="R277" s="290">
        <v>1</v>
      </c>
      <c r="S277" s="211">
        <f t="shared" si="20"/>
        <v>1921</v>
      </c>
      <c r="T277" s="209">
        <v>1921</v>
      </c>
      <c r="U277" s="212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430</v>
      </c>
      <c r="C278" s="374" t="s">
        <v>39</v>
      </c>
      <c r="D278" s="374" t="s">
        <v>439</v>
      </c>
      <c r="E278" s="374" t="s">
        <v>27</v>
      </c>
      <c r="F278" s="204" t="s">
        <v>440</v>
      </c>
      <c r="G278" s="213" t="s">
        <v>24</v>
      </c>
      <c r="H278" s="61"/>
      <c r="I278" s="62"/>
      <c r="J278" s="62"/>
      <c r="K278" s="30"/>
      <c r="L278" s="27"/>
      <c r="M278" s="26">
        <f t="shared" si="19"/>
        <v>0</v>
      </c>
      <c r="N278" s="26"/>
      <c r="O278" s="241"/>
      <c r="P278" s="214"/>
      <c r="Q278" s="30"/>
      <c r="R278" s="205"/>
      <c r="S278" s="26">
        <f t="shared" si="20"/>
        <v>0</v>
      </c>
      <c r="T278" s="30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0"/>
      <c r="G279" s="215" t="s">
        <v>28</v>
      </c>
      <c r="H279" s="117"/>
      <c r="I279" s="37"/>
      <c r="J279" s="37"/>
      <c r="K279" s="68"/>
      <c r="L279" s="40"/>
      <c r="M279" s="39">
        <f t="shared" si="19"/>
        <v>0</v>
      </c>
      <c r="N279" s="39"/>
      <c r="O279" s="234"/>
      <c r="P279" s="217"/>
      <c r="Q279" s="68"/>
      <c r="R279" s="285"/>
      <c r="S279" s="39">
        <f t="shared" si="20"/>
        <v>0</v>
      </c>
      <c r="T279" s="68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6"/>
      <c r="B280" s="377" t="s">
        <v>201</v>
      </c>
      <c r="C280" s="377" t="s">
        <v>39</v>
      </c>
      <c r="D280" s="377" t="s">
        <v>385</v>
      </c>
      <c r="E280" s="377" t="s">
        <v>386</v>
      </c>
      <c r="F280" s="232" t="s">
        <v>387</v>
      </c>
      <c r="G280" s="95" t="s">
        <v>24</v>
      </c>
      <c r="H280" s="265">
        <v>16</v>
      </c>
      <c r="I280" s="266">
        <v>12</v>
      </c>
      <c r="J280" s="266">
        <v>19</v>
      </c>
      <c r="K280" s="79">
        <v>27305.66</v>
      </c>
      <c r="L280" s="268">
        <v>19</v>
      </c>
      <c r="M280" s="81">
        <f t="shared" si="19"/>
        <v>27305.66</v>
      </c>
      <c r="N280" s="79">
        <v>27305.66</v>
      </c>
      <c r="O280" s="313"/>
      <c r="P280" s="267">
        <v>2</v>
      </c>
      <c r="Q280" s="79">
        <v>4356.83</v>
      </c>
      <c r="R280" s="268">
        <v>2</v>
      </c>
      <c r="S280" s="81">
        <f t="shared" si="20"/>
        <v>4356.83</v>
      </c>
      <c r="T280" s="79">
        <v>4356.83</v>
      </c>
      <c r="U280" s="82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105"/>
      <c r="G281" s="35" t="s">
        <v>25</v>
      </c>
      <c r="H281" s="117">
        <v>1</v>
      </c>
      <c r="I281" s="38"/>
      <c r="J281" s="38"/>
      <c r="K281" s="39"/>
      <c r="L281" s="40"/>
      <c r="M281" s="39">
        <f t="shared" si="19"/>
        <v>0</v>
      </c>
      <c r="N281" s="39"/>
      <c r="O281" s="58"/>
      <c r="P281" s="115">
        <v>2</v>
      </c>
      <c r="Q281" s="68">
        <v>4418.3</v>
      </c>
      <c r="R281" s="285">
        <v>2</v>
      </c>
      <c r="S281" s="68">
        <v>4418.3</v>
      </c>
      <c r="T281" s="68">
        <v>4418.3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202</v>
      </c>
      <c r="C282" s="381" t="s">
        <v>39</v>
      </c>
      <c r="D282" s="377" t="s">
        <v>441</v>
      </c>
      <c r="E282" s="381" t="s">
        <v>27</v>
      </c>
      <c r="F282" s="204" t="s">
        <v>442</v>
      </c>
      <c r="G282" s="47" t="s">
        <v>24</v>
      </c>
      <c r="H282" s="48">
        <v>2</v>
      </c>
      <c r="I282" s="203">
        <v>2</v>
      </c>
      <c r="J282" s="203">
        <v>2</v>
      </c>
      <c r="K282" s="65">
        <v>2382.04</v>
      </c>
      <c r="L282" s="224">
        <v>2</v>
      </c>
      <c r="M282" s="50">
        <f t="shared" si="19"/>
        <v>2382.04</v>
      </c>
      <c r="N282" s="65">
        <v>2382.04</v>
      </c>
      <c r="O282" s="31"/>
      <c r="P282" s="108">
        <v>2</v>
      </c>
      <c r="Q282" s="65">
        <v>4082.51</v>
      </c>
      <c r="R282" s="224">
        <v>2</v>
      </c>
      <c r="S282" s="50">
        <f t="shared" ref="S282:S286" si="21">T282+U282</f>
        <v>4082.51</v>
      </c>
      <c r="T282" s="65">
        <v>4082.51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221" t="s">
        <v>262</v>
      </c>
      <c r="G283" s="55" t="s">
        <v>28</v>
      </c>
      <c r="H283" s="112">
        <v>2</v>
      </c>
      <c r="I283" s="130">
        <v>1</v>
      </c>
      <c r="J283" s="130">
        <v>1</v>
      </c>
      <c r="K283" s="114">
        <v>1479.17</v>
      </c>
      <c r="L283" s="316">
        <v>1</v>
      </c>
      <c r="M283" s="129">
        <f t="shared" si="19"/>
        <v>1479.17</v>
      </c>
      <c r="N283" s="43">
        <f>1479.17</f>
        <v>1479.17</v>
      </c>
      <c r="O283" s="45"/>
      <c r="P283" s="113">
        <v>4</v>
      </c>
      <c r="Q283" s="114">
        <v>17905.400000000001</v>
      </c>
      <c r="R283" s="316">
        <v>4</v>
      </c>
      <c r="S283" s="129">
        <f t="shared" si="21"/>
        <v>16136.4</v>
      </c>
      <c r="T283" s="114">
        <f>3649.9+1344.7+7107.7+4034.1</f>
        <v>16136.4</v>
      </c>
      <c r="U283" s="4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2"/>
      <c r="B284" s="374" t="s">
        <v>203</v>
      </c>
      <c r="C284" s="377" t="s">
        <v>46</v>
      </c>
      <c r="D284" s="377" t="s">
        <v>459</v>
      </c>
      <c r="E284" s="374" t="s">
        <v>27</v>
      </c>
      <c r="F284" s="60"/>
      <c r="G284" s="23" t="s">
        <v>24</v>
      </c>
      <c r="H284" s="61">
        <v>2</v>
      </c>
      <c r="I284" s="25"/>
      <c r="J284" s="25"/>
      <c r="K284" s="26"/>
      <c r="L284" s="27"/>
      <c r="M284" s="26">
        <f t="shared" si="19"/>
        <v>0</v>
      </c>
      <c r="N284" s="26"/>
      <c r="O284" s="28"/>
      <c r="P284" s="120"/>
      <c r="Q284" s="26"/>
      <c r="R284" s="27"/>
      <c r="S284" s="26">
        <f t="shared" si="21"/>
        <v>0</v>
      </c>
      <c r="T284" s="26"/>
      <c r="U284" s="28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3"/>
      <c r="B285" s="375"/>
      <c r="C285" s="375"/>
      <c r="D285" s="375"/>
      <c r="E285" s="375"/>
      <c r="F285" s="34"/>
      <c r="G285" s="35" t="s">
        <v>28</v>
      </c>
      <c r="H285" s="117"/>
      <c r="I285" s="38"/>
      <c r="J285" s="38"/>
      <c r="K285" s="39"/>
      <c r="L285" s="40"/>
      <c r="M285" s="39">
        <f t="shared" si="19"/>
        <v>0</v>
      </c>
      <c r="N285" s="39"/>
      <c r="O285" s="41"/>
      <c r="P285" s="69"/>
      <c r="Q285" s="39"/>
      <c r="R285" s="40"/>
      <c r="S285" s="39">
        <f t="shared" si="21"/>
        <v>0</v>
      </c>
      <c r="T285" s="39"/>
      <c r="U285" s="4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82"/>
      <c r="B286" s="381" t="s">
        <v>204</v>
      </c>
      <c r="C286" s="377" t="s">
        <v>22</v>
      </c>
      <c r="D286" s="377"/>
      <c r="E286" s="381" t="s">
        <v>23</v>
      </c>
      <c r="F286" s="204" t="s">
        <v>431</v>
      </c>
      <c r="G286" s="47" t="s">
        <v>24</v>
      </c>
      <c r="H286" s="48">
        <v>10</v>
      </c>
      <c r="I286" s="203">
        <v>5</v>
      </c>
      <c r="J286" s="203">
        <v>6</v>
      </c>
      <c r="K286" s="65">
        <v>8254.93</v>
      </c>
      <c r="L286" s="224">
        <v>6</v>
      </c>
      <c r="M286" s="50">
        <f t="shared" si="19"/>
        <v>8254.93</v>
      </c>
      <c r="N286" s="65">
        <v>8254.93</v>
      </c>
      <c r="O286" s="225"/>
      <c r="P286" s="108">
        <v>4</v>
      </c>
      <c r="Q286" s="65">
        <v>3363.11</v>
      </c>
      <c r="R286" s="224">
        <v>4</v>
      </c>
      <c r="S286" s="50">
        <f t="shared" si="21"/>
        <v>3363.11</v>
      </c>
      <c r="T286" s="65">
        <v>3363.11</v>
      </c>
      <c r="U286" s="225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3"/>
      <c r="B287" s="375"/>
      <c r="C287" s="375"/>
      <c r="D287" s="375"/>
      <c r="E287" s="375"/>
      <c r="F287" s="34"/>
      <c r="G287" s="35" t="s">
        <v>25</v>
      </c>
      <c r="H287" s="111"/>
      <c r="I287" s="38"/>
      <c r="J287" s="38"/>
      <c r="K287" s="39"/>
      <c r="L287" s="40"/>
      <c r="M287" s="39">
        <f t="shared" si="19"/>
        <v>0</v>
      </c>
      <c r="N287" s="39"/>
      <c r="O287" s="41"/>
      <c r="P287" s="115">
        <v>1</v>
      </c>
      <c r="Q287" s="68">
        <v>2305.1999999999998</v>
      </c>
      <c r="R287" s="285">
        <v>1</v>
      </c>
      <c r="S287" s="68">
        <v>2305.1999999999998</v>
      </c>
      <c r="T287" s="68">
        <v>2305.1999999999998</v>
      </c>
      <c r="U287" s="41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179"/>
      <c r="B288" s="180" t="s">
        <v>205</v>
      </c>
      <c r="C288" s="180"/>
      <c r="D288" s="180"/>
      <c r="E288" s="180"/>
      <c r="F288" s="180"/>
      <c r="G288" s="181"/>
      <c r="H288" s="182">
        <f t="shared" ref="H288:U288" si="22">SUM(H9:H287)</f>
        <v>1380</v>
      </c>
      <c r="I288" s="183">
        <f t="shared" si="22"/>
        <v>803</v>
      </c>
      <c r="J288" s="183">
        <f t="shared" si="22"/>
        <v>974</v>
      </c>
      <c r="K288" s="184">
        <f t="shared" si="22"/>
        <v>1723471.65</v>
      </c>
      <c r="L288" s="185">
        <f t="shared" si="22"/>
        <v>883</v>
      </c>
      <c r="M288" s="184">
        <f t="shared" si="22"/>
        <v>1571942.75</v>
      </c>
      <c r="N288" s="184">
        <f t="shared" si="22"/>
        <v>1571942.75</v>
      </c>
      <c r="O288" s="186">
        <f t="shared" si="22"/>
        <v>0</v>
      </c>
      <c r="P288" s="187">
        <f t="shared" si="22"/>
        <v>1238</v>
      </c>
      <c r="Q288" s="188">
        <f t="shared" si="22"/>
        <v>4214588.3199999994</v>
      </c>
      <c r="R288" s="185">
        <f t="shared" si="22"/>
        <v>1174</v>
      </c>
      <c r="S288" s="188">
        <f t="shared" si="22"/>
        <v>4037188.509999997</v>
      </c>
      <c r="T288" s="188">
        <f t="shared" si="22"/>
        <v>4037188.509999997</v>
      </c>
      <c r="U288" s="189">
        <f t="shared" si="22"/>
        <v>0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I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 t="s">
        <v>206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27.75" customHeight="1">
      <c r="A292" s="4"/>
      <c r="B292" s="4"/>
      <c r="C292" s="4"/>
      <c r="D292" s="4"/>
      <c r="E292" s="4"/>
      <c r="F292" s="394"/>
      <c r="G292" s="395" t="s">
        <v>5</v>
      </c>
      <c r="H292" s="396"/>
      <c r="I292" s="396"/>
      <c r="J292" s="396"/>
      <c r="K292" s="396"/>
      <c r="L292" s="396"/>
      <c r="M292" s="396"/>
      <c r="N292" s="397"/>
      <c r="O292" s="395" t="s">
        <v>6</v>
      </c>
      <c r="P292" s="396"/>
      <c r="Q292" s="396"/>
      <c r="R292" s="396"/>
      <c r="S292" s="396"/>
      <c r="T292" s="397"/>
      <c r="U292" s="393" t="s">
        <v>207</v>
      </c>
      <c r="V292" s="393" t="s">
        <v>208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386"/>
      <c r="G293" s="190" t="s">
        <v>13</v>
      </c>
      <c r="H293" s="190" t="s">
        <v>14</v>
      </c>
      <c r="I293" s="190" t="s">
        <v>15</v>
      </c>
      <c r="J293" s="190" t="s">
        <v>16</v>
      </c>
      <c r="K293" s="191" t="s">
        <v>17</v>
      </c>
      <c r="L293" s="190" t="s">
        <v>18</v>
      </c>
      <c r="M293" s="190" t="s">
        <v>19</v>
      </c>
      <c r="N293" s="190" t="s">
        <v>20</v>
      </c>
      <c r="O293" s="190" t="s">
        <v>15</v>
      </c>
      <c r="P293" s="190" t="s">
        <v>16</v>
      </c>
      <c r="Q293" s="191" t="s">
        <v>17</v>
      </c>
      <c r="R293" s="190" t="s">
        <v>18</v>
      </c>
      <c r="S293" s="190" t="s">
        <v>19</v>
      </c>
      <c r="T293" s="190" t="s">
        <v>20</v>
      </c>
      <c r="U293" s="392"/>
      <c r="V293" s="392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192" t="s">
        <v>24</v>
      </c>
      <c r="G294" s="193">
        <f t="shared" ref="G294:I294" si="23">SUMIF($G$9:$G$287,$F$294,H9:H287)</f>
        <v>998</v>
      </c>
      <c r="H294" s="193">
        <f t="shared" si="23"/>
        <v>665</v>
      </c>
      <c r="I294" s="193">
        <f t="shared" si="23"/>
        <v>835</v>
      </c>
      <c r="J294" s="194">
        <f t="shared" ref="J294:J296" si="24">SUMIF($G$9:$G$287,F294,$K$9:$K$287)</f>
        <v>1480113.64</v>
      </c>
      <c r="K294" s="195">
        <f t="shared" ref="K294:K296" si="25">SUMIF($G$9:$G$287,F294,$L$9:$L$287)</f>
        <v>770</v>
      </c>
      <c r="L294" s="194">
        <f t="shared" ref="L294:L296" si="26">SUMIF($G$9:$G$287,F294,$M$9:$M$287)</f>
        <v>1374318.53</v>
      </c>
      <c r="M294" s="194">
        <f t="shared" ref="M294:O294" si="27">SUMIF($G$9:$G$287,$F$294,N9:N287)</f>
        <v>1374318.53</v>
      </c>
      <c r="N294" s="194">
        <f t="shared" si="27"/>
        <v>0</v>
      </c>
      <c r="O294" s="193">
        <f t="shared" si="27"/>
        <v>1009</v>
      </c>
      <c r="P294" s="194">
        <f t="shared" ref="P294:P296" si="28">SUMIF($G$9:$G$287,F294,$Q$9:$Q$287)</f>
        <v>3498295.8399999985</v>
      </c>
      <c r="Q294" s="195">
        <f t="shared" ref="Q294:Q296" si="29">SUMIF($G$9:$G$287,F294,$R$9:$R$287)</f>
        <v>954</v>
      </c>
      <c r="R294" s="194">
        <f t="shared" ref="R294:R296" si="30">SUMIF($G$9:$G$287,F294,$S$9:$S$287)</f>
        <v>3342086.7599999984</v>
      </c>
      <c r="S294" s="194">
        <f t="shared" ref="S294:T294" si="31">SUMIF($G$9:$G$287,$F$294,T9:T287)</f>
        <v>3342086.7599999984</v>
      </c>
      <c r="T294" s="194">
        <f t="shared" si="31"/>
        <v>0</v>
      </c>
      <c r="U294" s="194">
        <f t="shared" ref="U294:U296" si="32">S294+M294</f>
        <v>4716405.2899999982</v>
      </c>
      <c r="V294" s="196">
        <f t="shared" ref="V294:V296" si="33">J294-M294+P294-S294</f>
        <v>262004.18999999994</v>
      </c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192" t="s">
        <v>28</v>
      </c>
      <c r="G295" s="236">
        <f t="shared" ref="G295:I295" si="34">SUMIF($G$9:$G$287,$F$295,H9:H287)</f>
        <v>316</v>
      </c>
      <c r="H295" s="193">
        <f t="shared" si="34"/>
        <v>107</v>
      </c>
      <c r="I295" s="193">
        <f t="shared" si="34"/>
        <v>108</v>
      </c>
      <c r="J295" s="194">
        <f t="shared" si="24"/>
        <v>195263.27000000005</v>
      </c>
      <c r="K295" s="195">
        <f t="shared" si="25"/>
        <v>87</v>
      </c>
      <c r="L295" s="194">
        <f t="shared" si="26"/>
        <v>156064.21999999994</v>
      </c>
      <c r="M295" s="194">
        <f t="shared" ref="M295:O295" si="35">SUMIF($G$9:$G$287,$F$295,N9:N287)</f>
        <v>156064.21999999994</v>
      </c>
      <c r="N295" s="194">
        <f t="shared" si="35"/>
        <v>0</v>
      </c>
      <c r="O295" s="193">
        <f t="shared" si="35"/>
        <v>175</v>
      </c>
      <c r="P295" s="194">
        <f t="shared" si="28"/>
        <v>516527.38</v>
      </c>
      <c r="Q295" s="195">
        <f t="shared" si="29"/>
        <v>168</v>
      </c>
      <c r="R295" s="194">
        <f t="shared" si="30"/>
        <v>502636.4499999999</v>
      </c>
      <c r="S295" s="194">
        <f t="shared" ref="S295:T295" si="36">SUMIF($G$9:$G$287,$F$295,T9:T287)</f>
        <v>502636.4499999999</v>
      </c>
      <c r="T295" s="194">
        <f t="shared" si="36"/>
        <v>0</v>
      </c>
      <c r="U295" s="194">
        <f t="shared" si="32"/>
        <v>658700.66999999981</v>
      </c>
      <c r="V295" s="196">
        <f t="shared" si="33"/>
        <v>53089.980000000272</v>
      </c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192" t="s">
        <v>25</v>
      </c>
      <c r="G296" s="193">
        <f t="shared" ref="G296:I296" si="37">SUMIF($G$9:$G$287,$F$296,H9:H287)</f>
        <v>66</v>
      </c>
      <c r="H296" s="193">
        <f t="shared" si="37"/>
        <v>31</v>
      </c>
      <c r="I296" s="193">
        <f t="shared" si="37"/>
        <v>31</v>
      </c>
      <c r="J296" s="194">
        <f t="shared" si="24"/>
        <v>48094.740000000005</v>
      </c>
      <c r="K296" s="195">
        <f t="shared" si="25"/>
        <v>26</v>
      </c>
      <c r="L296" s="194">
        <f t="shared" si="26"/>
        <v>41560.000000000007</v>
      </c>
      <c r="M296" s="194">
        <f t="shared" ref="M296:O296" si="38">SUMIF($G$9:$G$287,$F$296,N9:N287)</f>
        <v>41560.000000000007</v>
      </c>
      <c r="N296" s="194">
        <f t="shared" si="38"/>
        <v>0</v>
      </c>
      <c r="O296" s="193">
        <f t="shared" si="38"/>
        <v>54</v>
      </c>
      <c r="P296" s="194">
        <f t="shared" si="28"/>
        <v>199765.1</v>
      </c>
      <c r="Q296" s="195">
        <f t="shared" si="29"/>
        <v>52</v>
      </c>
      <c r="R296" s="194">
        <f t="shared" si="30"/>
        <v>192465.3</v>
      </c>
      <c r="S296" s="194">
        <f t="shared" ref="S296:T296" si="39">SUMIF($G$9:$G$287,$F$296,T9:T287)</f>
        <v>192465.3</v>
      </c>
      <c r="T296" s="194">
        <f t="shared" si="39"/>
        <v>0</v>
      </c>
      <c r="U296" s="194">
        <f t="shared" si="32"/>
        <v>234025.3</v>
      </c>
      <c r="V296" s="196">
        <f t="shared" si="33"/>
        <v>13834.540000000008</v>
      </c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197">
        <f t="shared" ref="G297:V297" si="40">G296+G295+G294</f>
        <v>1380</v>
      </c>
      <c r="H297" s="197">
        <f t="shared" si="40"/>
        <v>803</v>
      </c>
      <c r="I297" s="197">
        <f t="shared" si="40"/>
        <v>974</v>
      </c>
      <c r="J297" s="198">
        <f t="shared" si="40"/>
        <v>1723471.65</v>
      </c>
      <c r="K297" s="199">
        <f t="shared" si="40"/>
        <v>883</v>
      </c>
      <c r="L297" s="198">
        <f t="shared" si="40"/>
        <v>1571942.75</v>
      </c>
      <c r="M297" s="198">
        <f t="shared" si="40"/>
        <v>1571942.75</v>
      </c>
      <c r="N297" s="198">
        <f t="shared" si="40"/>
        <v>0</v>
      </c>
      <c r="O297" s="197">
        <f t="shared" si="40"/>
        <v>1238</v>
      </c>
      <c r="P297" s="198">
        <f t="shared" si="40"/>
        <v>4214588.3199999984</v>
      </c>
      <c r="Q297" s="200">
        <f t="shared" si="40"/>
        <v>1174</v>
      </c>
      <c r="R297" s="198">
        <f t="shared" si="40"/>
        <v>4037188.5099999984</v>
      </c>
      <c r="S297" s="198">
        <f t="shared" si="40"/>
        <v>4037188.5099999984</v>
      </c>
      <c r="T297" s="198">
        <f t="shared" si="40"/>
        <v>0</v>
      </c>
      <c r="U297" s="198">
        <f t="shared" si="40"/>
        <v>5609131.2599999979</v>
      </c>
      <c r="V297" s="198">
        <f t="shared" si="40"/>
        <v>328928.7100000002</v>
      </c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L450" s="2"/>
      <c r="R450" s="2"/>
    </row>
    <row r="451" spans="11:18" ht="15.75" customHeight="1">
      <c r="L451" s="2"/>
      <c r="R451" s="2"/>
    </row>
    <row r="452" spans="11:18" ht="15.75" customHeight="1">
      <c r="L452" s="2"/>
      <c r="R452" s="2"/>
    </row>
    <row r="453" spans="11:18" ht="15.75" customHeight="1">
      <c r="L453" s="2"/>
      <c r="R453" s="2"/>
    </row>
    <row r="454" spans="11:18" ht="15.75" customHeight="1">
      <c r="L454" s="2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</sheetData>
  <mergeCells count="696">
    <mergeCell ref="A203:A205"/>
    <mergeCell ref="A206:A207"/>
    <mergeCell ref="B206:B207"/>
    <mergeCell ref="C206:C207"/>
    <mergeCell ref="A208:A209"/>
    <mergeCell ref="B208:B209"/>
    <mergeCell ref="C208:C209"/>
    <mergeCell ref="D224:D225"/>
    <mergeCell ref="E224:E225"/>
    <mergeCell ref="B224:B225"/>
    <mergeCell ref="C224:C225"/>
    <mergeCell ref="B203:B205"/>
    <mergeCell ref="C203:C205"/>
    <mergeCell ref="D206:D207"/>
    <mergeCell ref="D208:D209"/>
    <mergeCell ref="D199:D200"/>
    <mergeCell ref="E199:E200"/>
    <mergeCell ref="D201:D202"/>
    <mergeCell ref="E201:E202"/>
    <mergeCell ref="D203:D205"/>
    <mergeCell ref="E203:E205"/>
    <mergeCell ref="E206:E207"/>
    <mergeCell ref="E208:E209"/>
    <mergeCell ref="A197:A198"/>
    <mergeCell ref="B197:B198"/>
    <mergeCell ref="C197:C198"/>
    <mergeCell ref="D197:D198"/>
    <mergeCell ref="E197:E198"/>
    <mergeCell ref="A199:A200"/>
    <mergeCell ref="B199:B200"/>
    <mergeCell ref="C199:C200"/>
    <mergeCell ref="A201:A202"/>
    <mergeCell ref="B201:B202"/>
    <mergeCell ref="C201:C202"/>
    <mergeCell ref="C195:C196"/>
    <mergeCell ref="D195:D196"/>
    <mergeCell ref="A193:A194"/>
    <mergeCell ref="B193:B194"/>
    <mergeCell ref="C193:C194"/>
    <mergeCell ref="D193:D194"/>
    <mergeCell ref="E193:E194"/>
    <mergeCell ref="B195:B196"/>
    <mergeCell ref="E195:E196"/>
    <mergeCell ref="A195:A196"/>
    <mergeCell ref="D179:D180"/>
    <mergeCell ref="E179:E180"/>
    <mergeCell ref="A181:A182"/>
    <mergeCell ref="B189:B190"/>
    <mergeCell ref="C189:C190"/>
    <mergeCell ref="A191:A192"/>
    <mergeCell ref="B191:B192"/>
    <mergeCell ref="C191:C192"/>
    <mergeCell ref="D191:D192"/>
    <mergeCell ref="E191:E192"/>
    <mergeCell ref="A175:A176"/>
    <mergeCell ref="B175:B176"/>
    <mergeCell ref="C175:C176"/>
    <mergeCell ref="B177:B178"/>
    <mergeCell ref="C177:C178"/>
    <mergeCell ref="A177:A178"/>
    <mergeCell ref="A179:A180"/>
    <mergeCell ref="B179:B180"/>
    <mergeCell ref="C179:C180"/>
    <mergeCell ref="A169:A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89:D190"/>
    <mergeCell ref="E189:E190"/>
    <mergeCell ref="A185:A186"/>
    <mergeCell ref="A187:A188"/>
    <mergeCell ref="B187:B188"/>
    <mergeCell ref="C187:C188"/>
    <mergeCell ref="D187:D188"/>
    <mergeCell ref="E187:E188"/>
    <mergeCell ref="A189:A190"/>
    <mergeCell ref="D185:D186"/>
    <mergeCell ref="E185:E186"/>
    <mergeCell ref="B181:B182"/>
    <mergeCell ref="C181:C182"/>
    <mergeCell ref="A183:A184"/>
    <mergeCell ref="B183:B184"/>
    <mergeCell ref="C183:C184"/>
    <mergeCell ref="B185:B186"/>
    <mergeCell ref="C185:C186"/>
    <mergeCell ref="A165:A166"/>
    <mergeCell ref="B165:B166"/>
    <mergeCell ref="C165:C166"/>
    <mergeCell ref="D165:D166"/>
    <mergeCell ref="E165:E166"/>
    <mergeCell ref="D181:D182"/>
    <mergeCell ref="E181:E182"/>
    <mergeCell ref="D183:D184"/>
    <mergeCell ref="E183:E184"/>
    <mergeCell ref="C169:C170"/>
    <mergeCell ref="D169:D170"/>
    <mergeCell ref="A167:A168"/>
    <mergeCell ref="B167:B168"/>
    <mergeCell ref="C167:C168"/>
    <mergeCell ref="D167:D168"/>
    <mergeCell ref="E167:E168"/>
    <mergeCell ref="B169:B170"/>
    <mergeCell ref="E169:E170"/>
    <mergeCell ref="D173:D174"/>
    <mergeCell ref="E173:E174"/>
    <mergeCell ref="D175:D176"/>
    <mergeCell ref="E175:E176"/>
    <mergeCell ref="D177:D178"/>
    <mergeCell ref="E177:E178"/>
    <mergeCell ref="A153:A154"/>
    <mergeCell ref="B153:B154"/>
    <mergeCell ref="C153:C154"/>
    <mergeCell ref="D153:D154"/>
    <mergeCell ref="E153:E154"/>
    <mergeCell ref="B147:B148"/>
    <mergeCell ref="C147:C148"/>
    <mergeCell ref="A149:A150"/>
    <mergeCell ref="B149:B150"/>
    <mergeCell ref="C149:C150"/>
    <mergeCell ref="B151:B152"/>
    <mergeCell ref="C151:C152"/>
    <mergeCell ref="D147:D148"/>
    <mergeCell ref="E147:E148"/>
    <mergeCell ref="D149:D150"/>
    <mergeCell ref="E149:E150"/>
    <mergeCell ref="D151:D152"/>
    <mergeCell ref="E151:E152"/>
    <mergeCell ref="A142:A143"/>
    <mergeCell ref="A144:A146"/>
    <mergeCell ref="B144:B146"/>
    <mergeCell ref="C144:C146"/>
    <mergeCell ref="D144:D146"/>
    <mergeCell ref="E144:E146"/>
    <mergeCell ref="A147:A148"/>
    <mergeCell ref="A151:A152"/>
    <mergeCell ref="C142:C143"/>
    <mergeCell ref="D142:D143"/>
    <mergeCell ref="A140:A141"/>
    <mergeCell ref="B140:B141"/>
    <mergeCell ref="C140:C141"/>
    <mergeCell ref="D140:D141"/>
    <mergeCell ref="E140:E141"/>
    <mergeCell ref="B142:B143"/>
    <mergeCell ref="E142:E143"/>
    <mergeCell ref="D163:D164"/>
    <mergeCell ref="E163:E164"/>
    <mergeCell ref="A158:A159"/>
    <mergeCell ref="A160:A162"/>
    <mergeCell ref="B160:B162"/>
    <mergeCell ref="C160:C162"/>
    <mergeCell ref="D160:D162"/>
    <mergeCell ref="E160:E162"/>
    <mergeCell ref="A163:A164"/>
    <mergeCell ref="B163:B164"/>
    <mergeCell ref="C163:C164"/>
    <mergeCell ref="A274:A275"/>
    <mergeCell ref="B274:B275"/>
    <mergeCell ref="C274:C275"/>
    <mergeCell ref="D274:D275"/>
    <mergeCell ref="E274:E275"/>
    <mergeCell ref="A276:A277"/>
    <mergeCell ref="B284:B285"/>
    <mergeCell ref="C284:C285"/>
    <mergeCell ref="A286:A287"/>
    <mergeCell ref="B286:B287"/>
    <mergeCell ref="C286:C287"/>
    <mergeCell ref="D286:D287"/>
    <mergeCell ref="E286:E287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D284:D285"/>
    <mergeCell ref="E284:E285"/>
    <mergeCell ref="F292:F293"/>
    <mergeCell ref="G292:N292"/>
    <mergeCell ref="O292:T292"/>
    <mergeCell ref="U292:U293"/>
    <mergeCell ref="V292:V293"/>
    <mergeCell ref="A280:A281"/>
    <mergeCell ref="A282:A283"/>
    <mergeCell ref="B282:B283"/>
    <mergeCell ref="C282:C283"/>
    <mergeCell ref="D282:D283"/>
    <mergeCell ref="E282:E283"/>
    <mergeCell ref="A284:A285"/>
    <mergeCell ref="D276:D277"/>
    <mergeCell ref="E276:E277"/>
    <mergeCell ref="D278:D279"/>
    <mergeCell ref="E278:E279"/>
    <mergeCell ref="D280:D281"/>
    <mergeCell ref="E280:E281"/>
    <mergeCell ref="B276:B277"/>
    <mergeCell ref="C276:C277"/>
    <mergeCell ref="A278:A279"/>
    <mergeCell ref="B278:B279"/>
    <mergeCell ref="C278:C279"/>
    <mergeCell ref="B280:B281"/>
    <mergeCell ref="C280:C281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6:D227"/>
    <mergeCell ref="E226:E227"/>
    <mergeCell ref="D228:D229"/>
    <mergeCell ref="E228:E229"/>
    <mergeCell ref="A226:A227"/>
    <mergeCell ref="B226:B227"/>
    <mergeCell ref="C226:C227"/>
    <mergeCell ref="B228:B229"/>
    <mergeCell ref="C228:C229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E212:E213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158:C159"/>
    <mergeCell ref="D158:D159"/>
    <mergeCell ref="A155:A157"/>
    <mergeCell ref="B155:B157"/>
    <mergeCell ref="C155:C157"/>
    <mergeCell ref="D155:D157"/>
    <mergeCell ref="E155:E157"/>
    <mergeCell ref="B158:B159"/>
    <mergeCell ref="E158:E159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19:D121"/>
    <mergeCell ref="E119:E121"/>
    <mergeCell ref="D122:D123"/>
    <mergeCell ref="E122:E123"/>
    <mergeCell ref="D124:D125"/>
    <mergeCell ref="E124:E125"/>
    <mergeCell ref="A115:A116"/>
    <mergeCell ref="A117:A118"/>
    <mergeCell ref="B117:B118"/>
    <mergeCell ref="C117:C118"/>
    <mergeCell ref="D117:D118"/>
    <mergeCell ref="E117:E118"/>
    <mergeCell ref="A119:A121"/>
    <mergeCell ref="B119:B121"/>
    <mergeCell ref="C119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6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14</v>
      </c>
      <c r="K13" s="79">
        <v>28664.04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20</v>
      </c>
      <c r="I15" s="62">
        <v>17</v>
      </c>
      <c r="J15" s="62">
        <v>24</v>
      </c>
      <c r="K15" s="30">
        <v>63004.34</v>
      </c>
      <c r="L15" s="205">
        <v>21</v>
      </c>
      <c r="M15" s="26">
        <f t="shared" si="0"/>
        <v>55399.29</v>
      </c>
      <c r="N15" s="30">
        <v>55399.29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4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1</v>
      </c>
      <c r="M18" s="211">
        <f t="shared" si="0"/>
        <v>576.29999999999995</v>
      </c>
      <c r="N18" s="211">
        <f>576.3</f>
        <v>576.29999999999995</v>
      </c>
      <c r="O18" s="212"/>
      <c r="P18" s="262">
        <v>7</v>
      </c>
      <c r="Q18" s="209">
        <v>24148.51</v>
      </c>
      <c r="R18" s="290">
        <v>3</v>
      </c>
      <c r="S18" s="211">
        <f t="shared" si="1"/>
        <v>11446</v>
      </c>
      <c r="T18" s="209">
        <f>7027.7+4418.3</f>
        <v>11446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12</v>
      </c>
      <c r="I19" s="62">
        <v>6</v>
      </c>
      <c r="J19" s="62">
        <v>6</v>
      </c>
      <c r="K19" s="30">
        <v>11306.13</v>
      </c>
      <c r="L19" s="205">
        <v>4</v>
      </c>
      <c r="M19" s="26">
        <f t="shared" si="0"/>
        <v>4141.68</v>
      </c>
      <c r="N19" s="30">
        <v>4141.68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5</v>
      </c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8</v>
      </c>
      <c r="I21" s="266">
        <v>8</v>
      </c>
      <c r="J21" s="266">
        <v>11</v>
      </c>
      <c r="K21" s="79">
        <v>18693.64</v>
      </c>
      <c r="L21" s="268">
        <v>9</v>
      </c>
      <c r="M21" s="81">
        <f t="shared" si="0"/>
        <v>16872.189999999999</v>
      </c>
      <c r="N21" s="79">
        <v>16872.189999999999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14</v>
      </c>
      <c r="I23" s="203">
        <v>13</v>
      </c>
      <c r="J23" s="203">
        <v>20</v>
      </c>
      <c r="K23" s="65">
        <v>27065.53</v>
      </c>
      <c r="L23" s="224">
        <v>18</v>
      </c>
      <c r="M23" s="50">
        <f t="shared" si="0"/>
        <v>25744.23</v>
      </c>
      <c r="N23" s="65">
        <v>25744.23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11</v>
      </c>
      <c r="I25" s="62">
        <v>7</v>
      </c>
      <c r="J25" s="62">
        <v>7</v>
      </c>
      <c r="K25" s="62">
        <v>5386.43</v>
      </c>
      <c r="L25" s="205">
        <v>6</v>
      </c>
      <c r="M25" s="26">
        <f t="shared" si="0"/>
        <v>4262.51</v>
      </c>
      <c r="N25" s="30">
        <v>4262.51</v>
      </c>
      <c r="O25" s="225"/>
      <c r="P25" s="53">
        <v>8</v>
      </c>
      <c r="Q25" s="30">
        <v>10662.31</v>
      </c>
      <c r="R25" s="205">
        <v>5</v>
      </c>
      <c r="S25" s="26">
        <f t="shared" si="1"/>
        <v>8390.39</v>
      </c>
      <c r="T25" s="30">
        <v>8390.39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12</v>
      </c>
      <c r="J27" s="203">
        <v>19</v>
      </c>
      <c r="K27" s="65">
        <v>36183.18</v>
      </c>
      <c r="L27" s="224">
        <v>18</v>
      </c>
      <c r="M27" s="50">
        <f t="shared" si="0"/>
        <v>32058.39</v>
      </c>
      <c r="N27" s="65">
        <v>32058.39</v>
      </c>
      <c r="O27" s="225"/>
      <c r="P27" s="53">
        <v>14</v>
      </c>
      <c r="Q27" s="30">
        <v>23941.11</v>
      </c>
      <c r="R27" s="205">
        <v>13</v>
      </c>
      <c r="S27" s="26">
        <f t="shared" si="1"/>
        <v>23258.73</v>
      </c>
      <c r="T27" s="30">
        <v>23258.73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4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6</v>
      </c>
      <c r="Q28" s="68">
        <v>22416.7</v>
      </c>
      <c r="R28" s="285">
        <v>5</v>
      </c>
      <c r="S28" s="39">
        <f t="shared" si="1"/>
        <v>18263.100000000002</v>
      </c>
      <c r="T28" s="68">
        <f>4302+3533.6+960.5+5240.8+4226.2</f>
        <v>18263.100000000002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4</v>
      </c>
      <c r="S30" s="43">
        <f t="shared" si="1"/>
        <v>20471.98</v>
      </c>
      <c r="T30" s="114">
        <f>14247.38+1921+2497.3+1806.3</f>
        <v>20471.98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8</v>
      </c>
      <c r="I33" s="203">
        <v>4</v>
      </c>
      <c r="J33" s="203">
        <v>5</v>
      </c>
      <c r="K33" s="65">
        <v>8549.15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7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95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6</v>
      </c>
      <c r="I37" s="203">
        <v>6</v>
      </c>
      <c r="J37" s="203">
        <v>6</v>
      </c>
      <c r="K37" s="65">
        <v>7209.83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5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1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2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3</v>
      </c>
      <c r="Q43" s="30">
        <v>4264.95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13</v>
      </c>
      <c r="I45" s="266">
        <v>12</v>
      </c>
      <c r="J45" s="266">
        <v>14</v>
      </c>
      <c r="K45" s="79">
        <v>18895.68</v>
      </c>
      <c r="L45" s="268">
        <v>12</v>
      </c>
      <c r="M45" s="81">
        <f t="shared" si="2"/>
        <v>16687.98</v>
      </c>
      <c r="N45" s="79">
        <v>16687.98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18</v>
      </c>
      <c r="I47" s="62">
        <v>8</v>
      </c>
      <c r="J47" s="62">
        <v>10</v>
      </c>
      <c r="K47" s="30">
        <v>11646.23</v>
      </c>
      <c r="L47" s="205">
        <v>8</v>
      </c>
      <c r="M47" s="26">
        <f t="shared" si="2"/>
        <v>8567.49</v>
      </c>
      <c r="N47" s="30">
        <v>8567.49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80"/>
      <c r="F48" s="233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390</v>
      </c>
      <c r="C49" s="374" t="s">
        <v>22</v>
      </c>
      <c r="D49" s="374"/>
      <c r="E49" s="374" t="s">
        <v>391</v>
      </c>
      <c r="F49" s="204" t="s">
        <v>392</v>
      </c>
      <c r="G49" s="213" t="s">
        <v>24</v>
      </c>
      <c r="H49" s="61">
        <v>6</v>
      </c>
      <c r="I49" s="62">
        <v>2</v>
      </c>
      <c r="J49" s="62">
        <v>2</v>
      </c>
      <c r="K49" s="30">
        <v>3766.34</v>
      </c>
      <c r="L49" s="205">
        <v>1</v>
      </c>
      <c r="M49" s="26">
        <f t="shared" si="2"/>
        <v>1324.62</v>
      </c>
      <c r="N49" s="30">
        <v>1324.62</v>
      </c>
      <c r="O49" s="28"/>
      <c r="P49" s="275"/>
      <c r="Q49" s="26"/>
      <c r="R49" s="27"/>
      <c r="S49" s="26">
        <f t="shared" si="3"/>
        <v>0</v>
      </c>
      <c r="T49" s="26"/>
      <c r="U49" s="2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06"/>
      <c r="I50" s="38"/>
      <c r="J50" s="38"/>
      <c r="K50" s="39"/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6"/>
      <c r="B51" s="377" t="s">
        <v>358</v>
      </c>
      <c r="C51" s="377"/>
      <c r="D51" s="377"/>
      <c r="E51" s="377"/>
      <c r="F51" s="76"/>
      <c r="G51" s="73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82"/>
      <c r="P51" s="303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34"/>
      <c r="G52" s="215" t="s">
        <v>28</v>
      </c>
      <c r="H52" s="117">
        <v>1</v>
      </c>
      <c r="I52" s="37">
        <v>1</v>
      </c>
      <c r="J52" s="37">
        <v>1</v>
      </c>
      <c r="K52" s="68">
        <v>576.29999999999995</v>
      </c>
      <c r="L52" s="40"/>
      <c r="M52" s="39">
        <f t="shared" si="2"/>
        <v>0</v>
      </c>
      <c r="N52" s="39"/>
      <c r="O52" s="41"/>
      <c r="P52" s="276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60</v>
      </c>
      <c r="C53" s="374" t="s">
        <v>39</v>
      </c>
      <c r="D53" s="374" t="s">
        <v>61</v>
      </c>
      <c r="E53" s="383" t="s">
        <v>27</v>
      </c>
      <c r="F53" s="204" t="s">
        <v>463</v>
      </c>
      <c r="G53" s="176" t="s">
        <v>24</v>
      </c>
      <c r="H53" s="74"/>
      <c r="I53" s="96"/>
      <c r="J53" s="96"/>
      <c r="K53" s="81"/>
      <c r="L53" s="80"/>
      <c r="M53" s="81">
        <f t="shared" si="2"/>
        <v>0</v>
      </c>
      <c r="N53" s="81"/>
      <c r="O53" s="97"/>
      <c r="P53" s="277"/>
      <c r="Q53" s="81"/>
      <c r="R53" s="80"/>
      <c r="S53" s="81">
        <f t="shared" si="3"/>
        <v>0</v>
      </c>
      <c r="T53" s="81"/>
      <c r="U53" s="8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401"/>
      <c r="F54" s="34"/>
      <c r="G54" s="229" t="s">
        <v>28</v>
      </c>
      <c r="H54" s="112">
        <v>5</v>
      </c>
      <c r="I54" s="130">
        <v>2</v>
      </c>
      <c r="J54" s="130">
        <v>2</v>
      </c>
      <c r="K54" s="114">
        <v>3411.9</v>
      </c>
      <c r="L54" s="270">
        <v>2</v>
      </c>
      <c r="M54" s="43">
        <f t="shared" si="2"/>
        <v>3411.8999999999996</v>
      </c>
      <c r="N54" s="43">
        <f>1605.6+1806.3</f>
        <v>3411.8999999999996</v>
      </c>
      <c r="O54" s="58"/>
      <c r="P54" s="59"/>
      <c r="Q54" s="39"/>
      <c r="R54" s="40"/>
      <c r="S54" s="39">
        <f t="shared" si="3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62</v>
      </c>
      <c r="C55" s="374" t="s">
        <v>39</v>
      </c>
      <c r="D55" s="374" t="s">
        <v>63</v>
      </c>
      <c r="E55" s="374" t="s">
        <v>27</v>
      </c>
      <c r="F55" s="232" t="s">
        <v>359</v>
      </c>
      <c r="G55" s="23" t="s">
        <v>24</v>
      </c>
      <c r="H55" s="24">
        <v>4</v>
      </c>
      <c r="I55" s="62">
        <v>2</v>
      </c>
      <c r="J55" s="62">
        <v>2</v>
      </c>
      <c r="K55" s="30">
        <v>1754.47</v>
      </c>
      <c r="L55" s="205">
        <v>2</v>
      </c>
      <c r="M55" s="26">
        <f t="shared" si="2"/>
        <v>1754.47</v>
      </c>
      <c r="N55" s="30">
        <v>1754.47</v>
      </c>
      <c r="O55" s="31"/>
      <c r="P55" s="108">
        <v>7</v>
      </c>
      <c r="Q55" s="65">
        <v>15242.58</v>
      </c>
      <c r="R55" s="224">
        <v>7</v>
      </c>
      <c r="S55" s="50">
        <f t="shared" si="3"/>
        <v>15242.58</v>
      </c>
      <c r="T55" s="65">
        <v>15242.58</v>
      </c>
      <c r="U55" s="3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34"/>
      <c r="G56" s="35" t="s">
        <v>28</v>
      </c>
      <c r="H56" s="66">
        <v>4</v>
      </c>
      <c r="I56" s="37">
        <v>1</v>
      </c>
      <c r="J56" s="37">
        <v>1</v>
      </c>
      <c r="K56" s="68">
        <v>2007</v>
      </c>
      <c r="L56" s="285">
        <v>1</v>
      </c>
      <c r="M56" s="39">
        <f t="shared" si="2"/>
        <v>2007</v>
      </c>
      <c r="N56" s="39">
        <f>2007</f>
        <v>2007</v>
      </c>
      <c r="O56" s="41"/>
      <c r="P56" s="115">
        <v>7</v>
      </c>
      <c r="Q56" s="68">
        <v>14652.43</v>
      </c>
      <c r="R56" s="285">
        <v>12</v>
      </c>
      <c r="S56" s="39">
        <f t="shared" si="3"/>
        <v>26971.13</v>
      </c>
      <c r="T56" s="68">
        <f>2209.2+576.3+13639.1+1921+1921+3438.83+3265.7</f>
        <v>26971.13</v>
      </c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66</v>
      </c>
      <c r="C57" s="374" t="s">
        <v>22</v>
      </c>
      <c r="D57" s="374"/>
      <c r="E57" s="374" t="s">
        <v>67</v>
      </c>
      <c r="F57" s="223" t="s">
        <v>360</v>
      </c>
      <c r="G57" s="176" t="s">
        <v>24</v>
      </c>
      <c r="H57" s="278">
        <v>4</v>
      </c>
      <c r="I57" s="203">
        <v>4</v>
      </c>
      <c r="J57" s="203">
        <v>6</v>
      </c>
      <c r="K57" s="65">
        <v>9306.16</v>
      </c>
      <c r="L57" s="224">
        <v>5</v>
      </c>
      <c r="M57" s="50">
        <f t="shared" si="2"/>
        <v>6927.86</v>
      </c>
      <c r="N57" s="65">
        <v>6927.86</v>
      </c>
      <c r="O57" s="31"/>
      <c r="P57" s="53">
        <v>4</v>
      </c>
      <c r="Q57" s="30">
        <v>12223.84</v>
      </c>
      <c r="R57" s="205">
        <v>4</v>
      </c>
      <c r="S57" s="26">
        <f t="shared" si="3"/>
        <v>12223.84</v>
      </c>
      <c r="T57" s="30">
        <v>12223.84</v>
      </c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105"/>
      <c r="G58" s="229" t="s">
        <v>28</v>
      </c>
      <c r="H58" s="230"/>
      <c r="I58" s="57"/>
      <c r="J58" s="57"/>
      <c r="K58" s="43"/>
      <c r="L58" s="44"/>
      <c r="M58" s="43">
        <f t="shared" si="2"/>
        <v>0</v>
      </c>
      <c r="N58" s="43"/>
      <c r="O58" s="41"/>
      <c r="P58" s="59"/>
      <c r="Q58" s="39"/>
      <c r="R58" s="40"/>
      <c r="S58" s="39">
        <f t="shared" si="3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6"/>
      <c r="B59" s="377" t="s">
        <v>68</v>
      </c>
      <c r="C59" s="377" t="s">
        <v>39</v>
      </c>
      <c r="D59" s="377" t="s">
        <v>69</v>
      </c>
      <c r="E59" s="377" t="s">
        <v>65</v>
      </c>
      <c r="F59" s="223" t="s">
        <v>263</v>
      </c>
      <c r="G59" s="95" t="s">
        <v>24</v>
      </c>
      <c r="H59" s="61">
        <v>13</v>
      </c>
      <c r="I59" s="62">
        <v>12</v>
      </c>
      <c r="J59" s="62">
        <v>13</v>
      </c>
      <c r="K59" s="30">
        <v>23872.07</v>
      </c>
      <c r="L59" s="205">
        <v>13</v>
      </c>
      <c r="M59" s="26">
        <f t="shared" si="2"/>
        <v>23872.07</v>
      </c>
      <c r="N59" s="30">
        <v>23872.07</v>
      </c>
      <c r="O59" s="225"/>
      <c r="P59" s="53">
        <v>6</v>
      </c>
      <c r="Q59" s="30">
        <v>45189.01</v>
      </c>
      <c r="R59" s="205">
        <v>6</v>
      </c>
      <c r="S59" s="26">
        <f t="shared" si="3"/>
        <v>45189.01</v>
      </c>
      <c r="T59" s="30">
        <v>45189.01</v>
      </c>
      <c r="U59" s="225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05" t="s">
        <v>222</v>
      </c>
      <c r="G60" s="35" t="s">
        <v>28</v>
      </c>
      <c r="H60" s="117">
        <v>4</v>
      </c>
      <c r="I60" s="37">
        <v>3</v>
      </c>
      <c r="J60" s="37">
        <v>3</v>
      </c>
      <c r="K60" s="68">
        <v>3099.46</v>
      </c>
      <c r="L60" s="285">
        <v>3</v>
      </c>
      <c r="M60" s="39">
        <f t="shared" si="2"/>
        <v>3099.4</v>
      </c>
      <c r="N60" s="39">
        <f>1921+576.3+602.1</f>
        <v>3099.4</v>
      </c>
      <c r="O60" s="41"/>
      <c r="P60" s="115">
        <v>1</v>
      </c>
      <c r="Q60" s="68">
        <v>576.29999999999995</v>
      </c>
      <c r="R60" s="285">
        <v>1</v>
      </c>
      <c r="S60" s="39">
        <f t="shared" si="3"/>
        <v>144.08000000000001</v>
      </c>
      <c r="T60" s="39">
        <f>144.08</f>
        <v>144.08000000000001</v>
      </c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70</v>
      </c>
      <c r="C61" s="374" t="s">
        <v>39</v>
      </c>
      <c r="D61" s="374" t="s">
        <v>284</v>
      </c>
      <c r="E61" s="374" t="s">
        <v>55</v>
      </c>
      <c r="F61" s="204" t="s">
        <v>285</v>
      </c>
      <c r="G61" s="176" t="s">
        <v>24</v>
      </c>
      <c r="H61" s="48">
        <v>21</v>
      </c>
      <c r="I61" s="203">
        <v>12</v>
      </c>
      <c r="J61" s="203">
        <v>18</v>
      </c>
      <c r="K61" s="65">
        <v>40586.410000000003</v>
      </c>
      <c r="L61" s="224">
        <v>17</v>
      </c>
      <c r="M61" s="50">
        <f t="shared" si="2"/>
        <v>39743.47</v>
      </c>
      <c r="N61" s="65">
        <v>39743.47</v>
      </c>
      <c r="O61" s="225"/>
      <c r="P61" s="53">
        <v>35</v>
      </c>
      <c r="Q61" s="30">
        <v>84174.76</v>
      </c>
      <c r="R61" s="205">
        <v>34</v>
      </c>
      <c r="S61" s="26">
        <f t="shared" si="3"/>
        <v>83293.759999999995</v>
      </c>
      <c r="T61" s="30">
        <v>83293.759999999995</v>
      </c>
      <c r="U61" s="243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229" t="s">
        <v>25</v>
      </c>
      <c r="H62" s="272"/>
      <c r="I62" s="261"/>
      <c r="J62" s="261"/>
      <c r="K62" s="211"/>
      <c r="L62" s="210"/>
      <c r="M62" s="211">
        <f t="shared" si="2"/>
        <v>0</v>
      </c>
      <c r="N62" s="211"/>
      <c r="O62" s="212"/>
      <c r="P62" s="273"/>
      <c r="Q62" s="211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361</v>
      </c>
      <c r="C63" s="374" t="s">
        <v>39</v>
      </c>
      <c r="D63" s="374" t="s">
        <v>393</v>
      </c>
      <c r="E63" s="377" t="s">
        <v>27</v>
      </c>
      <c r="F63" s="204" t="s">
        <v>394</v>
      </c>
      <c r="G63" s="213" t="s">
        <v>24</v>
      </c>
      <c r="H63" s="24">
        <v>11</v>
      </c>
      <c r="I63" s="62">
        <v>8</v>
      </c>
      <c r="J63" s="62">
        <v>8</v>
      </c>
      <c r="K63" s="30">
        <v>9776.9500000000007</v>
      </c>
      <c r="L63" s="205">
        <v>3</v>
      </c>
      <c r="M63" s="26">
        <f t="shared" si="2"/>
        <v>5443.83</v>
      </c>
      <c r="N63" s="30">
        <v>5443.83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247"/>
      <c r="G64" s="279" t="s">
        <v>28</v>
      </c>
      <c r="H64" s="207">
        <v>5</v>
      </c>
      <c r="I64" s="208"/>
      <c r="J64" s="208"/>
      <c r="K64" s="209"/>
      <c r="L64" s="210"/>
      <c r="M64" s="211">
        <f t="shared" si="2"/>
        <v>0</v>
      </c>
      <c r="N64" s="211"/>
      <c r="O64" s="212"/>
      <c r="P64" s="280"/>
      <c r="Q64" s="209"/>
      <c r="R64" s="210"/>
      <c r="S64" s="211">
        <f t="shared" si="3"/>
        <v>0</v>
      </c>
      <c r="T64" s="211"/>
      <c r="U64" s="212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362</v>
      </c>
      <c r="C65" s="374" t="s">
        <v>39</v>
      </c>
      <c r="D65" s="374" t="s">
        <v>395</v>
      </c>
      <c r="E65" s="374" t="s">
        <v>27</v>
      </c>
      <c r="F65" s="204" t="s">
        <v>396</v>
      </c>
      <c r="G65" s="176" t="s">
        <v>24</v>
      </c>
      <c r="H65" s="248">
        <v>6</v>
      </c>
      <c r="I65" s="62">
        <v>3</v>
      </c>
      <c r="J65" s="62">
        <v>4</v>
      </c>
      <c r="K65" s="30">
        <v>8451.36</v>
      </c>
      <c r="L65" s="205">
        <v>3</v>
      </c>
      <c r="M65" s="26">
        <f t="shared" si="2"/>
        <v>6733.37</v>
      </c>
      <c r="N65" s="30">
        <v>6733.37</v>
      </c>
      <c r="O65" s="28"/>
      <c r="P65" s="214"/>
      <c r="Q65" s="30"/>
      <c r="R65" s="27"/>
      <c r="S65" s="26">
        <f t="shared" si="3"/>
        <v>0</v>
      </c>
      <c r="T65" s="26"/>
      <c r="U65" s="2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34"/>
      <c r="G66" s="229" t="s">
        <v>28</v>
      </c>
      <c r="H66" s="258">
        <v>6</v>
      </c>
      <c r="I66" s="37"/>
      <c r="J66" s="37"/>
      <c r="K66" s="68"/>
      <c r="L66" s="40"/>
      <c r="M66" s="39">
        <f t="shared" si="2"/>
        <v>0</v>
      </c>
      <c r="N66" s="39"/>
      <c r="O66" s="41"/>
      <c r="P66" s="217"/>
      <c r="Q66" s="68"/>
      <c r="R66" s="40"/>
      <c r="S66" s="39">
        <f t="shared" si="3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6"/>
      <c r="B67" s="377" t="s">
        <v>72</v>
      </c>
      <c r="C67" s="377" t="s">
        <v>39</v>
      </c>
      <c r="D67" s="377" t="s">
        <v>363</v>
      </c>
      <c r="E67" s="377" t="s">
        <v>27</v>
      </c>
      <c r="F67" s="232" t="s">
        <v>364</v>
      </c>
      <c r="G67" s="95" t="s">
        <v>24</v>
      </c>
      <c r="H67" s="281">
        <v>7</v>
      </c>
      <c r="I67" s="266">
        <v>4</v>
      </c>
      <c r="J67" s="266">
        <v>4</v>
      </c>
      <c r="K67" s="79">
        <v>11251.64</v>
      </c>
      <c r="L67" s="268">
        <v>3</v>
      </c>
      <c r="M67" s="81">
        <f t="shared" si="2"/>
        <v>10543.17</v>
      </c>
      <c r="N67" s="79">
        <v>10543.17</v>
      </c>
      <c r="O67" s="219"/>
      <c r="P67" s="267">
        <v>3</v>
      </c>
      <c r="Q67" s="79">
        <v>4835.93</v>
      </c>
      <c r="R67" s="268">
        <v>3</v>
      </c>
      <c r="S67" s="81">
        <f t="shared" si="3"/>
        <v>4835.93</v>
      </c>
      <c r="T67" s="79">
        <v>4835.93</v>
      </c>
      <c r="U67" s="269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9"/>
      <c r="B68" s="380"/>
      <c r="C68" s="380"/>
      <c r="D68" s="380"/>
      <c r="E68" s="380"/>
      <c r="F68" s="233" t="s">
        <v>223</v>
      </c>
      <c r="G68" s="227" t="s">
        <v>28</v>
      </c>
      <c r="H68" s="112">
        <v>6</v>
      </c>
      <c r="I68" s="130">
        <v>4</v>
      </c>
      <c r="J68" s="130">
        <v>4</v>
      </c>
      <c r="K68" s="114">
        <v>6601.18</v>
      </c>
      <c r="L68" s="316">
        <v>4</v>
      </c>
      <c r="M68" s="129">
        <f t="shared" si="2"/>
        <v>6601.18</v>
      </c>
      <c r="N68" s="43">
        <f>1344.7+1738.48+2113.1+1404.9</f>
        <v>6601.18</v>
      </c>
      <c r="O68" s="45"/>
      <c r="P68" s="103"/>
      <c r="Q68" s="43"/>
      <c r="R68" s="128"/>
      <c r="S68" s="129">
        <f t="shared" si="3"/>
        <v>0</v>
      </c>
      <c r="T68" s="43"/>
      <c r="U68" s="45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73</v>
      </c>
      <c r="C69" s="374" t="s">
        <v>22</v>
      </c>
      <c r="D69" s="374"/>
      <c r="E69" s="374" t="s">
        <v>27</v>
      </c>
      <c r="F69" s="204" t="s">
        <v>209</v>
      </c>
      <c r="G69" s="176" t="s">
        <v>24</v>
      </c>
      <c r="H69" s="61">
        <v>5</v>
      </c>
      <c r="I69" s="62">
        <v>4</v>
      </c>
      <c r="J69" s="62">
        <v>4</v>
      </c>
      <c r="K69" s="30">
        <v>5904.82</v>
      </c>
      <c r="L69" s="205">
        <v>4</v>
      </c>
      <c r="M69" s="26">
        <f t="shared" si="2"/>
        <v>5904.82</v>
      </c>
      <c r="N69" s="30">
        <v>5904.82</v>
      </c>
      <c r="O69" s="28"/>
      <c r="P69" s="29">
        <v>9</v>
      </c>
      <c r="Q69" s="30">
        <v>16995.990000000002</v>
      </c>
      <c r="R69" s="205">
        <v>9</v>
      </c>
      <c r="S69" s="26">
        <f t="shared" si="3"/>
        <v>16995.990000000002</v>
      </c>
      <c r="T69" s="30">
        <v>16995.990000000002</v>
      </c>
      <c r="U69" s="2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05"/>
      <c r="G70" s="229" t="s">
        <v>28</v>
      </c>
      <c r="H70" s="106"/>
      <c r="I70" s="38"/>
      <c r="J70" s="38"/>
      <c r="K70" s="39"/>
      <c r="L70" s="40"/>
      <c r="M70" s="39">
        <f t="shared" si="2"/>
        <v>0</v>
      </c>
      <c r="N70" s="39"/>
      <c r="O70" s="41"/>
      <c r="P70" s="69"/>
      <c r="Q70" s="39"/>
      <c r="R70" s="40"/>
      <c r="S70" s="39">
        <f t="shared" si="3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74</v>
      </c>
      <c r="C71" s="374" t="s">
        <v>39</v>
      </c>
      <c r="D71" s="374" t="s">
        <v>264</v>
      </c>
      <c r="E71" s="374" t="s">
        <v>27</v>
      </c>
      <c r="F71" s="204" t="s">
        <v>265</v>
      </c>
      <c r="G71" s="176" t="s">
        <v>24</v>
      </c>
      <c r="H71" s="48">
        <v>2</v>
      </c>
      <c r="I71" s="49"/>
      <c r="J71" s="49"/>
      <c r="K71" s="50"/>
      <c r="L71" s="51"/>
      <c r="M71" s="50">
        <f t="shared" si="2"/>
        <v>0</v>
      </c>
      <c r="N71" s="50"/>
      <c r="O71" s="31"/>
      <c r="P71" s="108">
        <v>20</v>
      </c>
      <c r="Q71" s="65">
        <v>107069.27</v>
      </c>
      <c r="R71" s="224">
        <v>15</v>
      </c>
      <c r="S71" s="50">
        <f t="shared" si="3"/>
        <v>73353.95</v>
      </c>
      <c r="T71" s="65">
        <v>73353.95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286</v>
      </c>
      <c r="G72" s="229" t="s">
        <v>28</v>
      </c>
      <c r="H72" s="56">
        <v>5</v>
      </c>
      <c r="I72" s="130">
        <v>1</v>
      </c>
      <c r="J72" s="130">
        <v>1</v>
      </c>
      <c r="K72" s="114">
        <v>1056.5999999999999</v>
      </c>
      <c r="L72" s="270">
        <v>1</v>
      </c>
      <c r="M72" s="43">
        <f t="shared" si="2"/>
        <v>1152.5999999999999</v>
      </c>
      <c r="N72" s="43">
        <f>1152.6</f>
        <v>1152.5999999999999</v>
      </c>
      <c r="O72" s="41"/>
      <c r="P72" s="113">
        <v>1</v>
      </c>
      <c r="Q72" s="114">
        <v>2881.5</v>
      </c>
      <c r="R72" s="270">
        <v>1</v>
      </c>
      <c r="S72" s="43">
        <f t="shared" si="3"/>
        <v>2881.5</v>
      </c>
      <c r="T72" s="114">
        <v>2881.5</v>
      </c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76</v>
      </c>
      <c r="C73" s="374" t="s">
        <v>39</v>
      </c>
      <c r="D73" s="374" t="s">
        <v>397</v>
      </c>
      <c r="E73" s="374" t="s">
        <v>77</v>
      </c>
      <c r="F73" s="232" t="s">
        <v>398</v>
      </c>
      <c r="G73" s="23" t="s">
        <v>24</v>
      </c>
      <c r="H73" s="61">
        <v>10</v>
      </c>
      <c r="I73" s="62">
        <v>9</v>
      </c>
      <c r="J73" s="62">
        <v>11</v>
      </c>
      <c r="K73" s="30">
        <v>23718.52</v>
      </c>
      <c r="L73" s="205">
        <v>10</v>
      </c>
      <c r="M73" s="26">
        <f t="shared" si="2"/>
        <v>22978.94</v>
      </c>
      <c r="N73" s="30">
        <v>22978.94</v>
      </c>
      <c r="O73" s="225"/>
      <c r="P73" s="29">
        <v>5</v>
      </c>
      <c r="Q73" s="30">
        <v>10539.19</v>
      </c>
      <c r="R73" s="205">
        <v>5</v>
      </c>
      <c r="S73" s="26">
        <f t="shared" si="3"/>
        <v>10539.19</v>
      </c>
      <c r="T73" s="30">
        <v>10539.19</v>
      </c>
      <c r="U73" s="225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220" t="s">
        <v>287</v>
      </c>
      <c r="G74" s="35" t="s">
        <v>28</v>
      </c>
      <c r="H74" s="117">
        <v>4</v>
      </c>
      <c r="I74" s="38"/>
      <c r="J74" s="38"/>
      <c r="K74" s="39"/>
      <c r="L74" s="40"/>
      <c r="M74" s="39">
        <f t="shared" si="2"/>
        <v>0</v>
      </c>
      <c r="N74" s="39"/>
      <c r="O74" s="41"/>
      <c r="P74" s="69"/>
      <c r="Q74" s="39"/>
      <c r="R74" s="40"/>
      <c r="S74" s="39">
        <f t="shared" si="3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78</v>
      </c>
      <c r="C75" s="381" t="s">
        <v>22</v>
      </c>
      <c r="D75" s="381"/>
      <c r="E75" s="374" t="s">
        <v>77</v>
      </c>
      <c r="F75" s="204" t="s">
        <v>408</v>
      </c>
      <c r="G75" s="47" t="s">
        <v>24</v>
      </c>
      <c r="H75" s="48">
        <v>2</v>
      </c>
      <c r="I75" s="203">
        <v>2</v>
      </c>
      <c r="J75" s="203">
        <v>3</v>
      </c>
      <c r="K75" s="65">
        <v>1661.67</v>
      </c>
      <c r="L75" s="224">
        <v>1</v>
      </c>
      <c r="M75" s="50">
        <f t="shared" si="2"/>
        <v>633.92999999999995</v>
      </c>
      <c r="N75" s="65">
        <v>633.92999999999995</v>
      </c>
      <c r="O75" s="225"/>
      <c r="P75" s="123"/>
      <c r="Q75" s="50"/>
      <c r="R75" s="51"/>
      <c r="S75" s="50">
        <f t="shared" si="3"/>
        <v>0</v>
      </c>
      <c r="T75" s="50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26"/>
      <c r="G76" s="55" t="s">
        <v>28</v>
      </c>
      <c r="H76" s="131"/>
      <c r="I76" s="57"/>
      <c r="J76" s="57"/>
      <c r="K76" s="43"/>
      <c r="L76" s="44"/>
      <c r="M76" s="43">
        <f t="shared" si="2"/>
        <v>0</v>
      </c>
      <c r="N76" s="43"/>
      <c r="O76" s="41"/>
      <c r="P76" s="103"/>
      <c r="Q76" s="43"/>
      <c r="R76" s="44"/>
      <c r="S76" s="43">
        <f t="shared" si="3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79</v>
      </c>
      <c r="C77" s="374" t="s">
        <v>22</v>
      </c>
      <c r="D77" s="374"/>
      <c r="E77" s="374" t="s">
        <v>50</v>
      </c>
      <c r="F77" s="204" t="s">
        <v>444</v>
      </c>
      <c r="G77" s="23" t="s">
        <v>24</v>
      </c>
      <c r="H77" s="61">
        <v>8</v>
      </c>
      <c r="I77" s="62">
        <v>6</v>
      </c>
      <c r="J77" s="62">
        <v>9</v>
      </c>
      <c r="K77" s="30">
        <v>14971.8</v>
      </c>
      <c r="L77" s="205">
        <v>9</v>
      </c>
      <c r="M77" s="26">
        <f t="shared" si="2"/>
        <v>14971.8</v>
      </c>
      <c r="N77" s="30">
        <v>14971.8</v>
      </c>
      <c r="O77" s="31"/>
      <c r="P77" s="53">
        <v>3</v>
      </c>
      <c r="Q77" s="30">
        <v>6335.58</v>
      </c>
      <c r="R77" s="205">
        <v>2</v>
      </c>
      <c r="S77" s="26">
        <f t="shared" si="3"/>
        <v>4729.9799999999996</v>
      </c>
      <c r="T77" s="30">
        <v>4729.9799999999996</v>
      </c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35" t="s">
        <v>25</v>
      </c>
      <c r="H78" s="117">
        <v>3</v>
      </c>
      <c r="I78" s="37">
        <v>2</v>
      </c>
      <c r="J78" s="37">
        <v>2</v>
      </c>
      <c r="K78" s="68">
        <v>1479.45</v>
      </c>
      <c r="L78" s="285">
        <v>2</v>
      </c>
      <c r="M78" s="68">
        <v>1479.45</v>
      </c>
      <c r="N78" s="68">
        <v>1479.45</v>
      </c>
      <c r="O78" s="41"/>
      <c r="P78" s="59"/>
      <c r="Q78" s="39"/>
      <c r="R78" s="40"/>
      <c r="S78" s="39">
        <f t="shared" si="3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82"/>
      <c r="B79" s="381" t="s">
        <v>80</v>
      </c>
      <c r="C79" s="381" t="s">
        <v>22</v>
      </c>
      <c r="D79" s="381"/>
      <c r="E79" s="381" t="s">
        <v>67</v>
      </c>
      <c r="F79" s="223" t="s">
        <v>399</v>
      </c>
      <c r="G79" s="47" t="s">
        <v>24</v>
      </c>
      <c r="H79" s="48">
        <v>11</v>
      </c>
      <c r="I79" s="203">
        <v>6</v>
      </c>
      <c r="J79" s="203">
        <v>9</v>
      </c>
      <c r="K79" s="158">
        <v>12064.84</v>
      </c>
      <c r="L79" s="224">
        <v>9</v>
      </c>
      <c r="M79" s="50">
        <f t="shared" ref="M79:M95" si="4">N79+O79</f>
        <v>12064.84</v>
      </c>
      <c r="N79" s="65">
        <v>12064.84</v>
      </c>
      <c r="O79" s="225"/>
      <c r="P79" s="108">
        <v>10</v>
      </c>
      <c r="Q79" s="65">
        <v>40632.5</v>
      </c>
      <c r="R79" s="224">
        <v>10</v>
      </c>
      <c r="S79" s="50">
        <f t="shared" si="3"/>
        <v>40632.5</v>
      </c>
      <c r="T79" s="65">
        <v>40632.5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9"/>
      <c r="B80" s="380"/>
      <c r="C80" s="380"/>
      <c r="D80" s="380"/>
      <c r="E80" s="380"/>
      <c r="F80" s="226"/>
      <c r="G80" s="227" t="s">
        <v>28</v>
      </c>
      <c r="H80" s="118"/>
      <c r="I80" s="57"/>
      <c r="J80" s="57"/>
      <c r="L80" s="44"/>
      <c r="M80" s="43">
        <f t="shared" si="4"/>
        <v>0</v>
      </c>
      <c r="N80" s="43"/>
      <c r="O80" s="41"/>
      <c r="P80" s="103"/>
      <c r="Q80" s="43"/>
      <c r="R80" s="44"/>
      <c r="S80" s="43">
        <f t="shared" si="3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81</v>
      </c>
      <c r="C81" s="374" t="s">
        <v>39</v>
      </c>
      <c r="D81" s="374" t="s">
        <v>224</v>
      </c>
      <c r="E81" s="374" t="s">
        <v>65</v>
      </c>
      <c r="F81" s="204" t="s">
        <v>225</v>
      </c>
      <c r="G81" s="176" t="s">
        <v>24</v>
      </c>
      <c r="H81" s="248">
        <v>36</v>
      </c>
      <c r="I81" s="62">
        <v>31</v>
      </c>
      <c r="J81" s="62">
        <v>46</v>
      </c>
      <c r="K81" s="30">
        <v>87983.76</v>
      </c>
      <c r="L81" s="205">
        <v>38</v>
      </c>
      <c r="M81" s="26">
        <f t="shared" si="4"/>
        <v>75742.87</v>
      </c>
      <c r="N81" s="30">
        <v>75742.87</v>
      </c>
      <c r="O81" s="225"/>
      <c r="P81" s="29">
        <v>24</v>
      </c>
      <c r="Q81" s="30">
        <v>80699.88</v>
      </c>
      <c r="R81" s="205">
        <v>23</v>
      </c>
      <c r="S81" s="26">
        <f t="shared" si="3"/>
        <v>68475.47</v>
      </c>
      <c r="T81" s="30">
        <v>68475.47</v>
      </c>
      <c r="U81" s="225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282" t="s">
        <v>28</v>
      </c>
      <c r="H82" s="283"/>
      <c r="I82" s="261"/>
      <c r="J82" s="261"/>
      <c r="K82" s="211"/>
      <c r="L82" s="210"/>
      <c r="M82" s="211">
        <f t="shared" si="4"/>
        <v>0</v>
      </c>
      <c r="N82" s="211"/>
      <c r="O82" s="212"/>
      <c r="P82" s="284"/>
      <c r="Q82" s="211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365</v>
      </c>
      <c r="C83" s="374" t="s">
        <v>39</v>
      </c>
      <c r="D83" s="378" t="s">
        <v>409</v>
      </c>
      <c r="E83" s="374" t="s">
        <v>65</v>
      </c>
      <c r="F83" s="232" t="s">
        <v>410</v>
      </c>
      <c r="G83" s="213" t="s">
        <v>24</v>
      </c>
      <c r="H83" s="24">
        <v>6</v>
      </c>
      <c r="I83" s="62">
        <v>3</v>
      </c>
      <c r="J83" s="62">
        <v>3</v>
      </c>
      <c r="K83" s="30">
        <v>4115.55</v>
      </c>
      <c r="L83" s="205">
        <v>3</v>
      </c>
      <c r="M83" s="26">
        <f t="shared" si="4"/>
        <v>4115.55</v>
      </c>
      <c r="N83" s="30">
        <v>4115.55</v>
      </c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47"/>
      <c r="G84" s="279" t="s">
        <v>28</v>
      </c>
      <c r="H84" s="207">
        <v>4</v>
      </c>
      <c r="I84" s="208">
        <v>1</v>
      </c>
      <c r="J84" s="208">
        <v>1</v>
      </c>
      <c r="K84" s="209">
        <v>2305.1999999999998</v>
      </c>
      <c r="L84" s="290">
        <v>1</v>
      </c>
      <c r="M84" s="211">
        <f t="shared" si="4"/>
        <v>2305.1999999999998</v>
      </c>
      <c r="N84" s="211">
        <f>2305.2</f>
        <v>2305.1999999999998</v>
      </c>
      <c r="O84" s="212"/>
      <c r="P84" s="280"/>
      <c r="Q84" s="209"/>
      <c r="R84" s="210"/>
      <c r="S84" s="211">
        <f t="shared" si="3"/>
        <v>0</v>
      </c>
      <c r="T84" s="211"/>
      <c r="U84" s="212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400</v>
      </c>
      <c r="C85" s="374" t="s">
        <v>22</v>
      </c>
      <c r="D85" s="378"/>
      <c r="E85" s="374" t="s">
        <v>401</v>
      </c>
      <c r="F85" s="204" t="s">
        <v>402</v>
      </c>
      <c r="G85" s="213" t="s">
        <v>24</v>
      </c>
      <c r="H85" s="24"/>
      <c r="I85" s="62"/>
      <c r="J85" s="62"/>
      <c r="K85" s="30"/>
      <c r="L85" s="27"/>
      <c r="M85" s="26">
        <f t="shared" si="4"/>
        <v>0</v>
      </c>
      <c r="N85" s="26"/>
      <c r="O85" s="28"/>
      <c r="P85" s="214"/>
      <c r="Q85" s="30"/>
      <c r="R85" s="27"/>
      <c r="S85" s="26">
        <f t="shared" si="3"/>
        <v>0</v>
      </c>
      <c r="T85" s="26"/>
      <c r="U85" s="2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34"/>
      <c r="G86" s="215" t="s">
        <v>28</v>
      </c>
      <c r="H86" s="66"/>
      <c r="I86" s="37"/>
      <c r="J86" s="37"/>
      <c r="K86" s="68"/>
      <c r="L86" s="40"/>
      <c r="M86" s="39">
        <f t="shared" si="4"/>
        <v>0</v>
      </c>
      <c r="N86" s="39"/>
      <c r="O86" s="41"/>
      <c r="P86" s="217"/>
      <c r="Q86" s="68"/>
      <c r="R86" s="40"/>
      <c r="S86" s="39">
        <f t="shared" si="3"/>
        <v>0</v>
      </c>
      <c r="T86" s="39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6"/>
      <c r="B87" s="377" t="s">
        <v>82</v>
      </c>
      <c r="C87" s="377" t="s">
        <v>22</v>
      </c>
      <c r="D87" s="400"/>
      <c r="E87" s="377" t="s">
        <v>83</v>
      </c>
      <c r="F87" s="223" t="s">
        <v>404</v>
      </c>
      <c r="G87" s="95" t="s">
        <v>24</v>
      </c>
      <c r="H87" s="281">
        <v>10</v>
      </c>
      <c r="I87" s="266">
        <v>8</v>
      </c>
      <c r="J87" s="266">
        <v>13</v>
      </c>
      <c r="K87" s="79">
        <v>22197.56</v>
      </c>
      <c r="L87" s="268">
        <v>13</v>
      </c>
      <c r="M87" s="81">
        <f t="shared" si="4"/>
        <v>22197.56</v>
      </c>
      <c r="N87" s="79">
        <v>22197.56</v>
      </c>
      <c r="O87" s="269"/>
      <c r="P87" s="267">
        <v>10</v>
      </c>
      <c r="Q87" s="79">
        <v>23116.35</v>
      </c>
      <c r="R87" s="268">
        <v>9</v>
      </c>
      <c r="S87" s="81">
        <f t="shared" si="3"/>
        <v>22011.75</v>
      </c>
      <c r="T87" s="79">
        <v>22011.75</v>
      </c>
      <c r="U87" s="269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54"/>
      <c r="G88" s="55" t="s">
        <v>25</v>
      </c>
      <c r="H88" s="121">
        <v>2</v>
      </c>
      <c r="I88" s="130">
        <v>1</v>
      </c>
      <c r="J88" s="130">
        <v>1</v>
      </c>
      <c r="K88" s="114">
        <v>1344.7</v>
      </c>
      <c r="L88" s="270">
        <v>1</v>
      </c>
      <c r="M88" s="43">
        <f t="shared" si="4"/>
        <v>1344.7</v>
      </c>
      <c r="N88" s="114">
        <v>1344.7</v>
      </c>
      <c r="O88" s="234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84</v>
      </c>
      <c r="C89" s="374"/>
      <c r="D89" s="378"/>
      <c r="E89" s="374"/>
      <c r="F89" s="60"/>
      <c r="G89" s="23" t="s">
        <v>24</v>
      </c>
      <c r="H89" s="119"/>
      <c r="I89" s="25"/>
      <c r="J89" s="25"/>
      <c r="K89" s="26"/>
      <c r="L89" s="27"/>
      <c r="M89" s="26">
        <f t="shared" si="4"/>
        <v>0</v>
      </c>
      <c r="N89" s="26"/>
      <c r="O89" s="31"/>
      <c r="P89" s="120"/>
      <c r="Q89" s="26"/>
      <c r="R89" s="27"/>
      <c r="S89" s="26">
        <f t="shared" si="3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132"/>
      <c r="G90" s="35" t="s">
        <v>28</v>
      </c>
      <c r="H90" s="36"/>
      <c r="I90" s="38"/>
      <c r="J90" s="38"/>
      <c r="K90" s="39"/>
      <c r="L90" s="40"/>
      <c r="M90" s="39">
        <f t="shared" si="4"/>
        <v>0</v>
      </c>
      <c r="N90" s="39"/>
      <c r="O90" s="41"/>
      <c r="P90" s="69"/>
      <c r="Q90" s="39"/>
      <c r="R90" s="40"/>
      <c r="S90" s="39">
        <f t="shared" si="3"/>
        <v>0</v>
      </c>
      <c r="T90" s="39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82"/>
      <c r="B91" s="381" t="s">
        <v>85</v>
      </c>
      <c r="C91" s="381" t="s">
        <v>22</v>
      </c>
      <c r="D91" s="385"/>
      <c r="E91" s="381" t="s">
        <v>27</v>
      </c>
      <c r="F91" s="127"/>
      <c r="G91" s="47" t="s">
        <v>24</v>
      </c>
      <c r="H91" s="98"/>
      <c r="I91" s="49"/>
      <c r="J91" s="49"/>
      <c r="K91" s="50"/>
      <c r="L91" s="51"/>
      <c r="M91" s="50">
        <f t="shared" si="4"/>
        <v>0</v>
      </c>
      <c r="N91" s="50"/>
      <c r="O91" s="31"/>
      <c r="P91" s="108">
        <v>1</v>
      </c>
      <c r="Q91" s="65">
        <v>405.02</v>
      </c>
      <c r="R91" s="51"/>
      <c r="S91" s="50">
        <f t="shared" si="3"/>
        <v>0</v>
      </c>
      <c r="T91" s="50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26"/>
      <c r="G92" s="227" t="s">
        <v>28</v>
      </c>
      <c r="H92" s="116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86</v>
      </c>
      <c r="C93" s="374" t="s">
        <v>39</v>
      </c>
      <c r="D93" s="374" t="s">
        <v>266</v>
      </c>
      <c r="E93" s="374" t="s">
        <v>23</v>
      </c>
      <c r="F93" s="204" t="s">
        <v>267</v>
      </c>
      <c r="G93" s="176" t="s">
        <v>24</v>
      </c>
      <c r="H93" s="151">
        <v>2</v>
      </c>
      <c r="I93" s="25"/>
      <c r="J93" s="25"/>
      <c r="K93" s="26"/>
      <c r="L93" s="27"/>
      <c r="M93" s="26">
        <f t="shared" si="4"/>
        <v>0</v>
      </c>
      <c r="N93" s="26"/>
      <c r="O93" s="31"/>
      <c r="P93" s="53">
        <v>8</v>
      </c>
      <c r="Q93" s="30">
        <v>23413.73</v>
      </c>
      <c r="R93" s="205">
        <v>8</v>
      </c>
      <c r="S93" s="26">
        <f t="shared" si="3"/>
        <v>23413.73</v>
      </c>
      <c r="T93" s="30">
        <v>23413.73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25</v>
      </c>
      <c r="H94" s="118"/>
      <c r="I94" s="57"/>
      <c r="J94" s="57"/>
      <c r="K94" s="43"/>
      <c r="L94" s="44"/>
      <c r="M94" s="43">
        <f t="shared" si="4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87</v>
      </c>
      <c r="C95" s="374" t="s">
        <v>39</v>
      </c>
      <c r="D95" s="374" t="s">
        <v>88</v>
      </c>
      <c r="E95" s="374" t="s">
        <v>89</v>
      </c>
      <c r="F95" s="232" t="s">
        <v>268</v>
      </c>
      <c r="G95" s="23" t="s">
        <v>24</v>
      </c>
      <c r="H95" s="61">
        <v>15</v>
      </c>
      <c r="I95" s="62">
        <v>12</v>
      </c>
      <c r="J95" s="62">
        <v>17</v>
      </c>
      <c r="K95" s="30">
        <v>29987.31</v>
      </c>
      <c r="L95" s="205">
        <v>17</v>
      </c>
      <c r="M95" s="26">
        <f t="shared" si="4"/>
        <v>29987.31</v>
      </c>
      <c r="N95" s="30">
        <v>29987.31</v>
      </c>
      <c r="O95" s="31"/>
      <c r="P95" s="53">
        <v>10</v>
      </c>
      <c r="Q95" s="30">
        <v>37666.67</v>
      </c>
      <c r="R95" s="205">
        <v>9</v>
      </c>
      <c r="S95" s="26">
        <f t="shared" si="3"/>
        <v>32936.699999999997</v>
      </c>
      <c r="T95" s="30">
        <v>32936.699999999997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290</v>
      </c>
      <c r="G96" s="35" t="s">
        <v>25</v>
      </c>
      <c r="H96" s="117">
        <v>7</v>
      </c>
      <c r="I96" s="37">
        <v>5</v>
      </c>
      <c r="J96" s="37">
        <v>5</v>
      </c>
      <c r="K96" s="68">
        <v>8538.9599999999991</v>
      </c>
      <c r="L96" s="285">
        <v>5</v>
      </c>
      <c r="M96" s="68">
        <v>8538.9599999999991</v>
      </c>
      <c r="N96" s="68">
        <v>8538.9599999999991</v>
      </c>
      <c r="O96" s="234"/>
      <c r="P96" s="115">
        <v>8</v>
      </c>
      <c r="Q96" s="68">
        <v>19939.98</v>
      </c>
      <c r="R96" s="285">
        <v>7</v>
      </c>
      <c r="S96" s="68">
        <v>19517.36</v>
      </c>
      <c r="T96" s="68">
        <v>19517.36</v>
      </c>
      <c r="U96" s="23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90</v>
      </c>
      <c r="C97" s="374" t="s">
        <v>39</v>
      </c>
      <c r="D97" s="374" t="s">
        <v>91</v>
      </c>
      <c r="E97" s="374" t="s">
        <v>27</v>
      </c>
      <c r="F97" s="204" t="s">
        <v>291</v>
      </c>
      <c r="G97" s="176" t="s">
        <v>24</v>
      </c>
      <c r="H97" s="48">
        <v>5</v>
      </c>
      <c r="I97" s="203">
        <v>2</v>
      </c>
      <c r="J97" s="203">
        <v>2</v>
      </c>
      <c r="K97" s="65">
        <v>2539.56</v>
      </c>
      <c r="L97" s="224">
        <v>2</v>
      </c>
      <c r="M97" s="50">
        <f>N97+O97</f>
        <v>2539.56</v>
      </c>
      <c r="N97" s="65">
        <v>2539.56</v>
      </c>
      <c r="O97" s="31"/>
      <c r="P97" s="108">
        <v>8</v>
      </c>
      <c r="Q97" s="65">
        <v>93924.24</v>
      </c>
      <c r="R97" s="224">
        <v>8</v>
      </c>
      <c r="S97" s="50">
        <f t="shared" ref="S97:S103" si="5">T97+U97</f>
        <v>93924.24</v>
      </c>
      <c r="T97" s="65">
        <v>93924.24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229</v>
      </c>
      <c r="G98" s="229" t="s">
        <v>28</v>
      </c>
      <c r="H98" s="133">
        <v>3</v>
      </c>
      <c r="I98" s="130">
        <v>1</v>
      </c>
      <c r="J98" s="130">
        <v>1</v>
      </c>
      <c r="K98" s="114">
        <v>1344.7</v>
      </c>
      <c r="L98" s="270">
        <v>1</v>
      </c>
      <c r="M98" s="114">
        <v>1344.7</v>
      </c>
      <c r="N98" s="114">
        <v>1344.7</v>
      </c>
      <c r="O98" s="41"/>
      <c r="P98" s="113">
        <v>1</v>
      </c>
      <c r="Q98" s="114">
        <v>1404.9</v>
      </c>
      <c r="R98" s="44"/>
      <c r="S98" s="43">
        <f t="shared" si="5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92</v>
      </c>
      <c r="C99" s="374" t="s">
        <v>22</v>
      </c>
      <c r="D99" s="374"/>
      <c r="E99" s="374" t="s">
        <v>27</v>
      </c>
      <c r="F99" s="232" t="s">
        <v>269</v>
      </c>
      <c r="G99" s="23" t="s">
        <v>24</v>
      </c>
      <c r="H99" s="151">
        <v>3</v>
      </c>
      <c r="I99" s="62">
        <v>2</v>
      </c>
      <c r="J99" s="62">
        <v>2</v>
      </c>
      <c r="K99" s="30">
        <v>6064.6</v>
      </c>
      <c r="L99" s="205">
        <v>2</v>
      </c>
      <c r="M99" s="26">
        <f t="shared" ref="M99:M103" si="6">N99+O99</f>
        <v>6064.6</v>
      </c>
      <c r="N99" s="30">
        <v>6064.6</v>
      </c>
      <c r="O99" s="31"/>
      <c r="P99" s="53">
        <v>8</v>
      </c>
      <c r="Q99" s="30">
        <v>39013.760000000002</v>
      </c>
      <c r="R99" s="205">
        <v>7</v>
      </c>
      <c r="S99" s="26">
        <f t="shared" si="5"/>
        <v>37669.07</v>
      </c>
      <c r="T99" s="30">
        <v>37669.07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9"/>
      <c r="B100" s="380"/>
      <c r="C100" s="380"/>
      <c r="D100" s="380"/>
      <c r="E100" s="380"/>
      <c r="F100" s="233" t="s">
        <v>230</v>
      </c>
      <c r="G100" s="227" t="s">
        <v>28</v>
      </c>
      <c r="H100" s="133">
        <v>2</v>
      </c>
      <c r="I100" s="130">
        <v>2</v>
      </c>
      <c r="J100" s="130">
        <v>2</v>
      </c>
      <c r="K100" s="114">
        <v>1756.5</v>
      </c>
      <c r="L100" s="270">
        <v>2</v>
      </c>
      <c r="M100" s="43">
        <f t="shared" si="6"/>
        <v>1780.5</v>
      </c>
      <c r="N100" s="43">
        <f>576.3+1204.2</f>
        <v>1780.5</v>
      </c>
      <c r="O100" s="41"/>
      <c r="P100" s="103"/>
      <c r="Q100" s="43"/>
      <c r="R100" s="44"/>
      <c r="S100" s="43">
        <f t="shared" si="5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93</v>
      </c>
      <c r="C101" s="374" t="s">
        <v>22</v>
      </c>
      <c r="D101" s="374"/>
      <c r="E101" s="374" t="s">
        <v>27</v>
      </c>
      <c r="F101" s="204" t="s">
        <v>412</v>
      </c>
      <c r="G101" s="176" t="s">
        <v>24</v>
      </c>
      <c r="H101" s="151">
        <v>3</v>
      </c>
      <c r="I101" s="62">
        <v>2</v>
      </c>
      <c r="J101" s="62">
        <v>3</v>
      </c>
      <c r="K101" s="30">
        <v>4738.63</v>
      </c>
      <c r="L101" s="205">
        <v>3</v>
      </c>
      <c r="M101" s="26">
        <f t="shared" si="6"/>
        <v>4738.63</v>
      </c>
      <c r="N101" s="30">
        <v>4738.63</v>
      </c>
      <c r="O101" s="225"/>
      <c r="P101" s="53">
        <v>3</v>
      </c>
      <c r="Q101" s="30">
        <v>15479.57</v>
      </c>
      <c r="R101" s="205">
        <v>3</v>
      </c>
      <c r="S101" s="26">
        <f t="shared" si="5"/>
        <v>15479.57</v>
      </c>
      <c r="T101" s="30">
        <v>15479.57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105"/>
      <c r="G102" s="229" t="s">
        <v>28</v>
      </c>
      <c r="H102" s="116"/>
      <c r="I102" s="57"/>
      <c r="J102" s="57"/>
      <c r="K102" s="43"/>
      <c r="L102" s="44"/>
      <c r="M102" s="43">
        <f t="shared" si="6"/>
        <v>0</v>
      </c>
      <c r="N102" s="43"/>
      <c r="O102" s="41"/>
      <c r="P102" s="103"/>
      <c r="Q102" s="43"/>
      <c r="R102" s="44"/>
      <c r="S102" s="43">
        <f t="shared" si="5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94</v>
      </c>
      <c r="C103" s="374" t="s">
        <v>39</v>
      </c>
      <c r="D103" s="374" t="s">
        <v>95</v>
      </c>
      <c r="E103" s="374" t="s">
        <v>96</v>
      </c>
      <c r="F103" s="204" t="s">
        <v>292</v>
      </c>
      <c r="G103" s="176" t="s">
        <v>24</v>
      </c>
      <c r="H103" s="48">
        <v>6</v>
      </c>
      <c r="I103" s="62">
        <v>4</v>
      </c>
      <c r="J103" s="62">
        <v>5</v>
      </c>
      <c r="K103" s="30">
        <v>15598.88</v>
      </c>
      <c r="L103" s="205">
        <v>4</v>
      </c>
      <c r="M103" s="26">
        <f t="shared" si="6"/>
        <v>11188.97</v>
      </c>
      <c r="N103" s="30">
        <v>11188.97</v>
      </c>
      <c r="O103" s="31"/>
      <c r="P103" s="53">
        <v>23</v>
      </c>
      <c r="Q103" s="30">
        <v>58950.239999999998</v>
      </c>
      <c r="R103" s="205">
        <v>21</v>
      </c>
      <c r="S103" s="26">
        <f t="shared" si="5"/>
        <v>53290.5</v>
      </c>
      <c r="T103" s="30">
        <v>53290.5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293</v>
      </c>
      <c r="G104" s="307" t="s">
        <v>25</v>
      </c>
      <c r="H104" s="112">
        <v>7</v>
      </c>
      <c r="I104" s="130">
        <v>7</v>
      </c>
      <c r="J104" s="130">
        <v>7</v>
      </c>
      <c r="K104" s="114">
        <v>9494.5</v>
      </c>
      <c r="L104" s="270">
        <v>7</v>
      </c>
      <c r="M104" s="114">
        <v>9494.5</v>
      </c>
      <c r="N104" s="114">
        <v>9494.5</v>
      </c>
      <c r="O104" s="234"/>
      <c r="P104" s="113">
        <v>8</v>
      </c>
      <c r="Q104" s="114">
        <v>20762.439999999999</v>
      </c>
      <c r="R104" s="270">
        <v>8</v>
      </c>
      <c r="S104" s="114">
        <v>20762.439999999999</v>
      </c>
      <c r="T104" s="114">
        <v>20762.439999999999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97</v>
      </c>
      <c r="C105" s="374" t="s">
        <v>22</v>
      </c>
      <c r="D105" s="374"/>
      <c r="E105" s="374" t="s">
        <v>27</v>
      </c>
      <c r="F105" s="232" t="s">
        <v>406</v>
      </c>
      <c r="G105" s="176" t="s">
        <v>24</v>
      </c>
      <c r="H105" s="248">
        <v>7</v>
      </c>
      <c r="I105" s="62">
        <v>6</v>
      </c>
      <c r="J105" s="62">
        <v>6</v>
      </c>
      <c r="K105" s="30">
        <v>4786.25</v>
      </c>
      <c r="L105" s="205">
        <v>6</v>
      </c>
      <c r="M105" s="26">
        <f t="shared" ref="M105:M120" si="7">N105+O105</f>
        <v>4786.25</v>
      </c>
      <c r="N105" s="30">
        <v>4786.25</v>
      </c>
      <c r="O105" s="225"/>
      <c r="P105" s="53">
        <v>7</v>
      </c>
      <c r="Q105" s="30">
        <v>12035.94</v>
      </c>
      <c r="R105" s="205">
        <v>7</v>
      </c>
      <c r="S105" s="26">
        <f t="shared" ref="S105:S136" si="8">T105+U105</f>
        <v>12035.94</v>
      </c>
      <c r="T105" s="30">
        <v>12035.94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294</v>
      </c>
      <c r="G106" s="229" t="s">
        <v>28</v>
      </c>
      <c r="H106" s="251">
        <v>6</v>
      </c>
      <c r="I106" s="208">
        <v>4</v>
      </c>
      <c r="J106" s="208">
        <v>4</v>
      </c>
      <c r="K106" s="209">
        <v>5955.1</v>
      </c>
      <c r="L106" s="290">
        <v>4</v>
      </c>
      <c r="M106" s="211">
        <f t="shared" si="7"/>
        <v>5955.0999999999995</v>
      </c>
      <c r="N106" s="209">
        <f>1344.7+3265.7+1344.7</f>
        <v>5955.0999999999995</v>
      </c>
      <c r="O106" s="212"/>
      <c r="P106" s="103"/>
      <c r="Q106" s="43"/>
      <c r="R106" s="270">
        <v>1</v>
      </c>
      <c r="S106" s="43">
        <f t="shared" si="8"/>
        <v>2209.15</v>
      </c>
      <c r="T106" s="114">
        <v>2209.15</v>
      </c>
      <c r="U106" s="23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6"/>
      <c r="B107" s="377" t="s">
        <v>98</v>
      </c>
      <c r="C107" s="377" t="s">
        <v>39</v>
      </c>
      <c r="D107" s="377" t="s">
        <v>270</v>
      </c>
      <c r="E107" s="377" t="s">
        <v>99</v>
      </c>
      <c r="F107" s="232" t="s">
        <v>271</v>
      </c>
      <c r="G107" s="73" t="s">
        <v>24</v>
      </c>
      <c r="H107" s="24">
        <v>11</v>
      </c>
      <c r="I107" s="62">
        <v>8</v>
      </c>
      <c r="J107" s="62">
        <v>11</v>
      </c>
      <c r="K107" s="30">
        <v>21963.53</v>
      </c>
      <c r="L107" s="205">
        <v>9</v>
      </c>
      <c r="M107" s="26">
        <f t="shared" si="7"/>
        <v>18370.830000000002</v>
      </c>
      <c r="N107" s="30">
        <v>18370.830000000002</v>
      </c>
      <c r="O107" s="241"/>
      <c r="P107" s="214">
        <v>12</v>
      </c>
      <c r="Q107" s="30">
        <v>50650.69</v>
      </c>
      <c r="R107" s="205">
        <v>12</v>
      </c>
      <c r="S107" s="26">
        <f t="shared" si="8"/>
        <v>50650.69</v>
      </c>
      <c r="T107" s="30">
        <v>50650.69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295</v>
      </c>
      <c r="G108" s="215" t="s">
        <v>28</v>
      </c>
      <c r="H108" s="66">
        <v>7</v>
      </c>
      <c r="I108" s="286">
        <v>5</v>
      </c>
      <c r="J108" s="286">
        <v>5</v>
      </c>
      <c r="K108" s="287">
        <v>11331</v>
      </c>
      <c r="L108" s="315">
        <v>5</v>
      </c>
      <c r="M108" s="39">
        <f t="shared" si="7"/>
        <v>11331</v>
      </c>
      <c r="N108" s="39">
        <f>1921+3073.6+1921+3010.5+1404.9</f>
        <v>11331</v>
      </c>
      <c r="O108" s="41"/>
      <c r="P108" s="217">
        <v>3</v>
      </c>
      <c r="Q108" s="37">
        <v>7587.95</v>
      </c>
      <c r="R108" s="285">
        <v>3</v>
      </c>
      <c r="S108" s="39">
        <f t="shared" si="8"/>
        <v>8740.5499999999993</v>
      </c>
      <c r="T108" s="68">
        <f>1056.55+3457.8+4226.2</f>
        <v>8740.5499999999993</v>
      </c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100</v>
      </c>
      <c r="C109" s="374" t="s">
        <v>39</v>
      </c>
      <c r="D109" s="381" t="s">
        <v>296</v>
      </c>
      <c r="E109" s="381" t="s">
        <v>27</v>
      </c>
      <c r="F109" s="223" t="s">
        <v>297</v>
      </c>
      <c r="G109" s="47" t="s">
        <v>24</v>
      </c>
      <c r="H109" s="218"/>
      <c r="I109" s="96"/>
      <c r="J109" s="96"/>
      <c r="K109" s="81"/>
      <c r="L109" s="80"/>
      <c r="M109" s="81">
        <f t="shared" si="7"/>
        <v>0</v>
      </c>
      <c r="N109" s="81"/>
      <c r="O109" s="219"/>
      <c r="P109" s="108">
        <v>5</v>
      </c>
      <c r="Q109" s="65">
        <v>33607.81</v>
      </c>
      <c r="R109" s="224">
        <v>4</v>
      </c>
      <c r="S109" s="50">
        <f t="shared" si="8"/>
        <v>17684.7</v>
      </c>
      <c r="T109" s="65">
        <v>17684.7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3"/>
      <c r="B110" s="375"/>
      <c r="C110" s="375"/>
      <c r="D110" s="375"/>
      <c r="E110" s="375"/>
      <c r="F110" s="220" t="s">
        <v>298</v>
      </c>
      <c r="G110" s="35" t="s">
        <v>28</v>
      </c>
      <c r="H110" s="133">
        <v>5</v>
      </c>
      <c r="I110" s="37">
        <v>1</v>
      </c>
      <c r="J110" s="37">
        <v>1</v>
      </c>
      <c r="K110" s="68">
        <v>864.45</v>
      </c>
      <c r="L110" s="285">
        <v>1</v>
      </c>
      <c r="M110" s="39">
        <f t="shared" si="7"/>
        <v>864.15</v>
      </c>
      <c r="N110" s="39">
        <f>864.15</f>
        <v>864.15</v>
      </c>
      <c r="O110" s="41"/>
      <c r="P110" s="115">
        <v>1</v>
      </c>
      <c r="Q110" s="68">
        <v>1152.5999999999999</v>
      </c>
      <c r="R110" s="40"/>
      <c r="S110" s="39">
        <f t="shared" si="8"/>
        <v>0</v>
      </c>
      <c r="T110" s="39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82"/>
      <c r="B111" s="381" t="s">
        <v>102</v>
      </c>
      <c r="C111" s="381" t="s">
        <v>22</v>
      </c>
      <c r="D111" s="381"/>
      <c r="E111" s="381" t="s">
        <v>67</v>
      </c>
      <c r="F111" s="223" t="s">
        <v>272</v>
      </c>
      <c r="G111" s="23" t="s">
        <v>24</v>
      </c>
      <c r="H111" s="48">
        <v>7</v>
      </c>
      <c r="I111" s="203">
        <v>5</v>
      </c>
      <c r="J111" s="203">
        <v>6</v>
      </c>
      <c r="K111" s="65">
        <v>10235.59</v>
      </c>
      <c r="L111" s="224">
        <v>6</v>
      </c>
      <c r="M111" s="50">
        <f t="shared" si="7"/>
        <v>10235.59</v>
      </c>
      <c r="N111" s="65">
        <v>10235.59</v>
      </c>
      <c r="O111" s="225"/>
      <c r="P111" s="108">
        <v>9</v>
      </c>
      <c r="Q111" s="65">
        <v>19656.830000000002</v>
      </c>
      <c r="R111" s="224">
        <v>9</v>
      </c>
      <c r="S111" s="50">
        <f t="shared" si="8"/>
        <v>19656.830000000002</v>
      </c>
      <c r="T111" s="65">
        <v>19656.830000000002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9"/>
      <c r="B112" s="380"/>
      <c r="C112" s="380"/>
      <c r="D112" s="380"/>
      <c r="E112" s="380"/>
      <c r="F112" s="220" t="s">
        <v>299</v>
      </c>
      <c r="G112" s="55" t="s">
        <v>28</v>
      </c>
      <c r="H112" s="153">
        <v>8</v>
      </c>
      <c r="I112" s="130">
        <v>2</v>
      </c>
      <c r="J112" s="130">
        <v>2</v>
      </c>
      <c r="K112" s="114">
        <v>2443.1999999999998</v>
      </c>
      <c r="L112" s="316">
        <v>4</v>
      </c>
      <c r="M112" s="50">
        <f t="shared" si="7"/>
        <v>4428.0999999999995</v>
      </c>
      <c r="N112" s="43">
        <f>1290.6+1152.6+1290.6+694.3</f>
        <v>4428.0999999999995</v>
      </c>
      <c r="O112" s="41"/>
      <c r="P112" s="113">
        <v>3</v>
      </c>
      <c r="Q112" s="114">
        <v>14347.1</v>
      </c>
      <c r="R112" s="270">
        <v>4</v>
      </c>
      <c r="S112" s="43">
        <f t="shared" si="8"/>
        <v>19149.900000000001</v>
      </c>
      <c r="T112" s="114">
        <f>4358.2+3649.9+4802.5+6339.3</f>
        <v>19149.900000000001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103</v>
      </c>
      <c r="C113" s="374" t="s">
        <v>22</v>
      </c>
      <c r="D113" s="374"/>
      <c r="E113" s="374" t="s">
        <v>67</v>
      </c>
      <c r="F113" s="232" t="s">
        <v>407</v>
      </c>
      <c r="G113" s="23" t="s">
        <v>24</v>
      </c>
      <c r="H113" s="48">
        <v>6</v>
      </c>
      <c r="I113" s="62">
        <v>4</v>
      </c>
      <c r="J113" s="62">
        <v>5</v>
      </c>
      <c r="K113" s="30">
        <v>8528</v>
      </c>
      <c r="L113" s="205">
        <v>2</v>
      </c>
      <c r="M113" s="26">
        <f t="shared" si="7"/>
        <v>3538.71</v>
      </c>
      <c r="N113" s="30">
        <v>3538.71</v>
      </c>
      <c r="O113" s="225"/>
      <c r="P113" s="53">
        <v>6</v>
      </c>
      <c r="Q113" s="30">
        <v>12782.06</v>
      </c>
      <c r="R113" s="205">
        <v>6</v>
      </c>
      <c r="S113" s="26">
        <f t="shared" si="8"/>
        <v>12782.06</v>
      </c>
      <c r="T113" s="30">
        <v>12782.06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220" t="s">
        <v>300</v>
      </c>
      <c r="G114" s="35" t="s">
        <v>28</v>
      </c>
      <c r="H114" s="133">
        <v>6</v>
      </c>
      <c r="I114" s="37">
        <v>5</v>
      </c>
      <c r="J114" s="37">
        <v>6</v>
      </c>
      <c r="K114" s="68">
        <v>12151</v>
      </c>
      <c r="L114" s="285">
        <v>2</v>
      </c>
      <c r="M114" s="39">
        <f t="shared" si="7"/>
        <v>4934.5</v>
      </c>
      <c r="N114" s="39">
        <f>1580.8+3353.7</f>
        <v>4934.5</v>
      </c>
      <c r="O114" s="41"/>
      <c r="P114" s="115">
        <v>2</v>
      </c>
      <c r="Q114" s="68">
        <v>3490.8</v>
      </c>
      <c r="R114" s="285">
        <v>3</v>
      </c>
      <c r="S114" s="39">
        <f t="shared" si="8"/>
        <v>8836.6</v>
      </c>
      <c r="T114" s="39">
        <f>5378.8+1344.7+2113.1</f>
        <v>8836.6</v>
      </c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104</v>
      </c>
      <c r="C115" s="374" t="s">
        <v>39</v>
      </c>
      <c r="D115" s="374" t="s">
        <v>301</v>
      </c>
      <c r="E115" s="374" t="s">
        <v>27</v>
      </c>
      <c r="F115" s="204" t="s">
        <v>302</v>
      </c>
      <c r="G115" s="176" t="s">
        <v>24</v>
      </c>
      <c r="H115" s="48">
        <v>22</v>
      </c>
      <c r="I115" s="203">
        <v>13</v>
      </c>
      <c r="J115" s="203">
        <v>14</v>
      </c>
      <c r="K115" s="65">
        <v>34676.199999999997</v>
      </c>
      <c r="L115" s="224">
        <v>9</v>
      </c>
      <c r="M115" s="50">
        <f t="shared" si="7"/>
        <v>21370</v>
      </c>
      <c r="N115" s="65">
        <v>21370</v>
      </c>
      <c r="O115" s="225"/>
      <c r="P115" s="108">
        <v>20</v>
      </c>
      <c r="Q115" s="65">
        <v>59066.38</v>
      </c>
      <c r="R115" s="224">
        <v>16</v>
      </c>
      <c r="S115" s="50">
        <f t="shared" si="8"/>
        <v>54023.4</v>
      </c>
      <c r="T115" s="65">
        <v>54023.4</v>
      </c>
      <c r="U115" s="225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3"/>
      <c r="B116" s="375"/>
      <c r="C116" s="375"/>
      <c r="D116" s="375"/>
      <c r="E116" s="375"/>
      <c r="F116" s="34"/>
      <c r="G116" s="229" t="s">
        <v>28</v>
      </c>
      <c r="H116" s="116"/>
      <c r="I116" s="57"/>
      <c r="J116" s="57"/>
      <c r="K116" s="43"/>
      <c r="L116" s="44"/>
      <c r="M116" s="43">
        <f t="shared" si="7"/>
        <v>0</v>
      </c>
      <c r="N116" s="43"/>
      <c r="O116" s="41"/>
      <c r="P116" s="103"/>
      <c r="Q116" s="43"/>
      <c r="R116" s="44"/>
      <c r="S116" s="43">
        <f t="shared" si="8"/>
        <v>0</v>
      </c>
      <c r="T116" s="43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106</v>
      </c>
      <c r="C117" s="377" t="s">
        <v>39</v>
      </c>
      <c r="D117" s="374" t="s">
        <v>107</v>
      </c>
      <c r="E117" s="374" t="s">
        <v>27</v>
      </c>
      <c r="F117" s="232" t="s">
        <v>366</v>
      </c>
      <c r="G117" s="23" t="s">
        <v>24</v>
      </c>
      <c r="H117" s="48">
        <v>10</v>
      </c>
      <c r="I117" s="62">
        <v>9</v>
      </c>
      <c r="J117" s="62">
        <v>9</v>
      </c>
      <c r="K117" s="30">
        <v>7593.07</v>
      </c>
      <c r="L117" s="205">
        <v>7</v>
      </c>
      <c r="M117" s="26">
        <f t="shared" si="7"/>
        <v>5591.09</v>
      </c>
      <c r="N117" s="30">
        <v>5591.09</v>
      </c>
      <c r="O117" s="31"/>
      <c r="P117" s="53">
        <v>11</v>
      </c>
      <c r="Q117" s="30">
        <v>73773.25</v>
      </c>
      <c r="R117" s="205">
        <v>10</v>
      </c>
      <c r="S117" s="26">
        <f t="shared" si="8"/>
        <v>64182.14</v>
      </c>
      <c r="T117" s="30">
        <v>64182.14</v>
      </c>
      <c r="U117" s="3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9"/>
      <c r="B118" s="380"/>
      <c r="C118" s="380"/>
      <c r="D118" s="380"/>
      <c r="E118" s="380"/>
      <c r="F118" s="233" t="s">
        <v>233</v>
      </c>
      <c r="G118" s="227" t="s">
        <v>28</v>
      </c>
      <c r="H118" s="153">
        <v>6</v>
      </c>
      <c r="I118" s="57"/>
      <c r="J118" s="57"/>
      <c r="K118" s="43"/>
      <c r="L118" s="270">
        <v>1</v>
      </c>
      <c r="M118" s="43">
        <f t="shared" si="7"/>
        <v>576.29999999999995</v>
      </c>
      <c r="N118" s="43">
        <f>576.3</f>
        <v>576.29999999999995</v>
      </c>
      <c r="O118" s="41"/>
      <c r="P118" s="113">
        <v>2</v>
      </c>
      <c r="Q118" s="114">
        <v>2881.5</v>
      </c>
      <c r="R118" s="270">
        <v>2</v>
      </c>
      <c r="S118" s="43">
        <f t="shared" si="8"/>
        <v>2881.5</v>
      </c>
      <c r="T118" s="57">
        <f>576.3+2305.2</f>
        <v>2881.5</v>
      </c>
      <c r="U118" s="4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2"/>
      <c r="B119" s="374" t="s">
        <v>108</v>
      </c>
      <c r="C119" s="374" t="s">
        <v>46</v>
      </c>
      <c r="D119" s="374" t="s">
        <v>109</v>
      </c>
      <c r="E119" s="374" t="s">
        <v>27</v>
      </c>
      <c r="F119" s="204" t="s">
        <v>273</v>
      </c>
      <c r="G119" s="176" t="s">
        <v>24</v>
      </c>
      <c r="H119" s="151">
        <v>12</v>
      </c>
      <c r="I119" s="62">
        <v>9</v>
      </c>
      <c r="J119" s="62">
        <v>9</v>
      </c>
      <c r="K119" s="30">
        <v>8773.83</v>
      </c>
      <c r="L119" s="205">
        <v>9</v>
      </c>
      <c r="M119" s="26">
        <f t="shared" si="7"/>
        <v>8773.83</v>
      </c>
      <c r="N119" s="30">
        <v>8773.83</v>
      </c>
      <c r="O119" s="31"/>
      <c r="P119" s="53">
        <v>8</v>
      </c>
      <c r="Q119" s="30">
        <v>32433.51</v>
      </c>
      <c r="R119" s="205">
        <v>8</v>
      </c>
      <c r="S119" s="26">
        <f t="shared" si="8"/>
        <v>32433.51</v>
      </c>
      <c r="T119" s="30">
        <v>32433.51</v>
      </c>
      <c r="U119" s="225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7"/>
      <c r="B120" s="386"/>
      <c r="C120" s="386"/>
      <c r="D120" s="386"/>
      <c r="E120" s="386"/>
      <c r="F120" s="235" t="s">
        <v>234</v>
      </c>
      <c r="G120" s="252" t="s">
        <v>28</v>
      </c>
      <c r="H120" s="48">
        <v>6</v>
      </c>
      <c r="I120" s="246">
        <v>3</v>
      </c>
      <c r="J120" s="246">
        <v>3</v>
      </c>
      <c r="K120" s="158">
        <v>3159.6</v>
      </c>
      <c r="L120" s="317">
        <v>1</v>
      </c>
      <c r="M120" s="142">
        <f t="shared" si="7"/>
        <v>576.29999999999995</v>
      </c>
      <c r="N120" s="142">
        <f>576.3</f>
        <v>576.29999999999995</v>
      </c>
      <c r="O120" s="45"/>
      <c r="P120" s="157">
        <v>7</v>
      </c>
      <c r="Q120" s="158">
        <v>15445.86</v>
      </c>
      <c r="R120" s="317">
        <v>5</v>
      </c>
      <c r="S120" s="142">
        <f t="shared" si="8"/>
        <v>13044.61</v>
      </c>
      <c r="T120" s="142">
        <f>288.15+576.3+5648.76+3649.9+2881.5</f>
        <v>13044.61</v>
      </c>
      <c r="U120" s="4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45"/>
      <c r="G121" s="253" t="s">
        <v>25</v>
      </c>
      <c r="H121" s="306">
        <v>1</v>
      </c>
      <c r="I121" s="37">
        <v>1</v>
      </c>
      <c r="J121" s="37">
        <v>1</v>
      </c>
      <c r="K121" s="68">
        <v>2881.5</v>
      </c>
      <c r="L121" s="285">
        <v>1</v>
      </c>
      <c r="M121" s="68">
        <v>2881.5</v>
      </c>
      <c r="N121" s="68">
        <v>2881.5</v>
      </c>
      <c r="O121" s="41"/>
      <c r="P121" s="59"/>
      <c r="Q121" s="39"/>
      <c r="R121" s="40"/>
      <c r="S121" s="39">
        <f t="shared" si="8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6"/>
      <c r="B122" s="377" t="s">
        <v>110</v>
      </c>
      <c r="C122" s="377" t="s">
        <v>22</v>
      </c>
      <c r="D122" s="377"/>
      <c r="E122" s="377" t="s">
        <v>67</v>
      </c>
      <c r="F122" s="232" t="s">
        <v>274</v>
      </c>
      <c r="G122" s="23" t="s">
        <v>24</v>
      </c>
      <c r="H122" s="48">
        <v>3</v>
      </c>
      <c r="I122" s="203">
        <v>2</v>
      </c>
      <c r="J122" s="203">
        <v>3</v>
      </c>
      <c r="K122" s="65">
        <v>5015.66</v>
      </c>
      <c r="L122" s="224">
        <v>2</v>
      </c>
      <c r="M122" s="50">
        <f t="shared" ref="M122:M136" si="9">N122+O122</f>
        <v>4022.19</v>
      </c>
      <c r="N122" s="65">
        <v>4022.19</v>
      </c>
      <c r="O122" s="31"/>
      <c r="P122" s="108">
        <v>8</v>
      </c>
      <c r="Q122" s="65">
        <v>34759.74</v>
      </c>
      <c r="R122" s="224">
        <v>7</v>
      </c>
      <c r="S122" s="50">
        <f t="shared" si="8"/>
        <v>34054.94</v>
      </c>
      <c r="T122" s="65">
        <v>34054.94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34"/>
      <c r="G123" s="55" t="s">
        <v>28</v>
      </c>
      <c r="H123" s="116"/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111</v>
      </c>
      <c r="C124" s="374" t="s">
        <v>39</v>
      </c>
      <c r="D124" s="374" t="s">
        <v>435</v>
      </c>
      <c r="E124" s="374" t="s">
        <v>112</v>
      </c>
      <c r="F124" s="232" t="s">
        <v>436</v>
      </c>
      <c r="G124" s="23" t="s">
        <v>24</v>
      </c>
      <c r="H124" s="48">
        <v>8</v>
      </c>
      <c r="I124" s="62">
        <v>4</v>
      </c>
      <c r="J124" s="62">
        <v>5</v>
      </c>
      <c r="K124" s="30">
        <v>5109.87</v>
      </c>
      <c r="L124" s="205">
        <v>5</v>
      </c>
      <c r="M124" s="26">
        <f t="shared" si="9"/>
        <v>5109.87</v>
      </c>
      <c r="N124" s="30">
        <v>5109.87</v>
      </c>
      <c r="O124" s="31"/>
      <c r="P124" s="53">
        <v>4</v>
      </c>
      <c r="Q124" s="30">
        <v>3732.5</v>
      </c>
      <c r="R124" s="205">
        <v>4</v>
      </c>
      <c r="S124" s="26">
        <f t="shared" si="8"/>
        <v>3732.5</v>
      </c>
      <c r="T124" s="30">
        <v>3732.5</v>
      </c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33" t="s">
        <v>235</v>
      </c>
      <c r="G125" s="227" t="s">
        <v>28</v>
      </c>
      <c r="H125" s="133">
        <v>1</v>
      </c>
      <c r="I125" s="57"/>
      <c r="J125" s="57"/>
      <c r="K125" s="43"/>
      <c r="L125" s="44"/>
      <c r="M125" s="43">
        <f t="shared" si="9"/>
        <v>0</v>
      </c>
      <c r="N125" s="43"/>
      <c r="O125" s="41"/>
      <c r="P125" s="103"/>
      <c r="Q125" s="43"/>
      <c r="R125" s="44"/>
      <c r="S125" s="43">
        <f t="shared" si="8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113</v>
      </c>
      <c r="C126" s="374" t="s">
        <v>39</v>
      </c>
      <c r="D126" s="374" t="s">
        <v>114</v>
      </c>
      <c r="E126" s="374" t="s">
        <v>27</v>
      </c>
      <c r="F126" s="204" t="s">
        <v>305</v>
      </c>
      <c r="G126" s="176" t="s">
        <v>24</v>
      </c>
      <c r="H126" s="48">
        <v>16</v>
      </c>
      <c r="I126" s="62">
        <v>14</v>
      </c>
      <c r="J126" s="62">
        <v>20</v>
      </c>
      <c r="K126" s="30">
        <v>41384.43</v>
      </c>
      <c r="L126" s="205">
        <v>18</v>
      </c>
      <c r="M126" s="26">
        <f t="shared" si="9"/>
        <v>38332.99</v>
      </c>
      <c r="N126" s="30">
        <v>38332.99</v>
      </c>
      <c r="O126" s="225"/>
      <c r="P126" s="53">
        <v>10</v>
      </c>
      <c r="Q126" s="30">
        <v>25611.57</v>
      </c>
      <c r="R126" s="205">
        <v>10</v>
      </c>
      <c r="S126" s="26">
        <f t="shared" si="8"/>
        <v>25611.57</v>
      </c>
      <c r="T126" s="30">
        <v>25611.57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220" t="s">
        <v>306</v>
      </c>
      <c r="G127" s="229" t="s">
        <v>28</v>
      </c>
      <c r="H127" s="56">
        <v>3</v>
      </c>
      <c r="I127" s="130">
        <v>3</v>
      </c>
      <c r="J127" s="130">
        <v>3</v>
      </c>
      <c r="K127" s="114">
        <v>4816.8</v>
      </c>
      <c r="L127" s="270">
        <v>2</v>
      </c>
      <c r="M127" s="43">
        <f t="shared" si="9"/>
        <v>2497.3000000000002</v>
      </c>
      <c r="N127" s="43">
        <f>1152.6+1344.7</f>
        <v>2497.3000000000002</v>
      </c>
      <c r="O127" s="45"/>
      <c r="P127" s="113">
        <v>2</v>
      </c>
      <c r="Q127" s="114">
        <v>5186.7</v>
      </c>
      <c r="R127" s="270">
        <v>2</v>
      </c>
      <c r="S127" s="43">
        <f t="shared" si="8"/>
        <v>5186.7</v>
      </c>
      <c r="T127" s="43">
        <f>5186.7</f>
        <v>5186.7</v>
      </c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115</v>
      </c>
      <c r="C128" s="374" t="s">
        <v>22</v>
      </c>
      <c r="D128" s="374"/>
      <c r="E128" s="374" t="s">
        <v>27</v>
      </c>
      <c r="F128" s="22"/>
      <c r="G128" s="23" t="s">
        <v>24</v>
      </c>
      <c r="H128" s="104"/>
      <c r="I128" s="25"/>
      <c r="J128" s="25"/>
      <c r="K128" s="26"/>
      <c r="L128" s="148"/>
      <c r="M128" s="149">
        <f t="shared" si="9"/>
        <v>0</v>
      </c>
      <c r="N128" s="26"/>
      <c r="O128" s="100"/>
      <c r="P128" s="120"/>
      <c r="Q128" s="26"/>
      <c r="R128" s="27"/>
      <c r="S128" s="26">
        <f t="shared" si="8"/>
        <v>0</v>
      </c>
      <c r="T128" s="26"/>
      <c r="U128" s="3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06"/>
      <c r="I129" s="38"/>
      <c r="J129" s="38"/>
      <c r="K129" s="39"/>
      <c r="L129" s="40"/>
      <c r="M129" s="39">
        <f t="shared" si="9"/>
        <v>0</v>
      </c>
      <c r="N129" s="39"/>
      <c r="O129" s="41"/>
      <c r="P129" s="69"/>
      <c r="Q129" s="39"/>
      <c r="R129" s="40"/>
      <c r="S129" s="39">
        <f t="shared" si="8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116</v>
      </c>
      <c r="C130" s="381" t="s">
        <v>22</v>
      </c>
      <c r="D130" s="381"/>
      <c r="E130" s="381" t="s">
        <v>27</v>
      </c>
      <c r="F130" s="223" t="s">
        <v>307</v>
      </c>
      <c r="G130" s="47" t="s">
        <v>24</v>
      </c>
      <c r="H130" s="61">
        <v>8</v>
      </c>
      <c r="I130" s="62">
        <v>6</v>
      </c>
      <c r="J130" s="62">
        <v>8</v>
      </c>
      <c r="K130" s="30">
        <v>12647.96</v>
      </c>
      <c r="L130" s="205">
        <v>6</v>
      </c>
      <c r="M130" s="26">
        <f t="shared" si="9"/>
        <v>9207.69</v>
      </c>
      <c r="N130" s="30">
        <v>9207.69</v>
      </c>
      <c r="O130" s="243"/>
      <c r="P130" s="64">
        <v>4</v>
      </c>
      <c r="Q130" s="65">
        <v>10597.93</v>
      </c>
      <c r="R130" s="224">
        <v>4</v>
      </c>
      <c r="S130" s="50">
        <f t="shared" si="8"/>
        <v>10597.93</v>
      </c>
      <c r="T130" s="65">
        <v>10597.93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34"/>
      <c r="G131" s="35" t="s">
        <v>28</v>
      </c>
      <c r="H131" s="133">
        <v>3</v>
      </c>
      <c r="I131" s="38"/>
      <c r="J131" s="38"/>
      <c r="K131" s="39"/>
      <c r="L131" s="40"/>
      <c r="M131" s="39">
        <f t="shared" si="9"/>
        <v>0</v>
      </c>
      <c r="N131" s="39"/>
      <c r="O131" s="41"/>
      <c r="P131" s="67">
        <v>1</v>
      </c>
      <c r="Q131" s="68">
        <v>2305.1999999999998</v>
      </c>
      <c r="R131" s="285">
        <v>1</v>
      </c>
      <c r="S131" s="39">
        <f t="shared" si="8"/>
        <v>2305.1999999999998</v>
      </c>
      <c r="T131" s="39">
        <f>2305.2</f>
        <v>2305.1999999999998</v>
      </c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82"/>
      <c r="B132" s="381" t="s">
        <v>117</v>
      </c>
      <c r="C132" s="381" t="s">
        <v>22</v>
      </c>
      <c r="D132" s="381"/>
      <c r="E132" s="381" t="s">
        <v>67</v>
      </c>
      <c r="F132" s="223" t="s">
        <v>308</v>
      </c>
      <c r="G132" s="23" t="s">
        <v>24</v>
      </c>
      <c r="H132" s="48">
        <v>16</v>
      </c>
      <c r="I132" s="203">
        <v>12</v>
      </c>
      <c r="J132" s="203">
        <v>14</v>
      </c>
      <c r="K132" s="65">
        <v>29289.13</v>
      </c>
      <c r="L132" s="224">
        <v>13</v>
      </c>
      <c r="M132" s="50">
        <f t="shared" si="9"/>
        <v>27739.32</v>
      </c>
      <c r="N132" s="65">
        <v>27739.32</v>
      </c>
      <c r="O132" s="225"/>
      <c r="P132" s="108">
        <v>30</v>
      </c>
      <c r="Q132" s="65">
        <v>112880.7</v>
      </c>
      <c r="R132" s="224">
        <v>28</v>
      </c>
      <c r="S132" s="50">
        <f t="shared" si="8"/>
        <v>110872.94</v>
      </c>
      <c r="T132" s="65">
        <v>110872.94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9"/>
      <c r="B133" s="380"/>
      <c r="C133" s="380"/>
      <c r="D133" s="380"/>
      <c r="E133" s="380"/>
      <c r="F133" s="226"/>
      <c r="G133" s="227" t="s">
        <v>28</v>
      </c>
      <c r="H133" s="116"/>
      <c r="I133" s="57"/>
      <c r="J133" s="57"/>
      <c r="K133" s="43"/>
      <c r="L133" s="44"/>
      <c r="M133" s="43">
        <f t="shared" si="9"/>
        <v>0</v>
      </c>
      <c r="N133" s="43"/>
      <c r="O133" s="41"/>
      <c r="P133" s="103"/>
      <c r="Q133" s="43"/>
      <c r="R133" s="44"/>
      <c r="S133" s="43">
        <f t="shared" si="8"/>
        <v>0</v>
      </c>
      <c r="T133" s="43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118</v>
      </c>
      <c r="C134" s="374" t="s">
        <v>39</v>
      </c>
      <c r="D134" s="374" t="s">
        <v>309</v>
      </c>
      <c r="E134" s="374" t="s">
        <v>27</v>
      </c>
      <c r="F134" s="204" t="s">
        <v>310</v>
      </c>
      <c r="G134" s="176" t="s">
        <v>24</v>
      </c>
      <c r="H134" s="151">
        <v>12</v>
      </c>
      <c r="I134" s="62">
        <v>5</v>
      </c>
      <c r="J134" s="62">
        <v>6</v>
      </c>
      <c r="K134" s="30">
        <v>11483.56</v>
      </c>
      <c r="L134" s="205">
        <v>6</v>
      </c>
      <c r="M134" s="26">
        <f t="shared" si="9"/>
        <v>11483.56</v>
      </c>
      <c r="N134" s="30">
        <v>11483.56</v>
      </c>
      <c r="O134" s="31"/>
      <c r="P134" s="53">
        <v>14</v>
      </c>
      <c r="Q134" s="30">
        <v>53062.44</v>
      </c>
      <c r="R134" s="205">
        <v>13</v>
      </c>
      <c r="S134" s="26">
        <f t="shared" si="8"/>
        <v>52477.24</v>
      </c>
      <c r="T134" s="30">
        <v>52477.24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75"/>
      <c r="C135" s="375"/>
      <c r="D135" s="375"/>
      <c r="E135" s="375"/>
      <c r="F135" s="152"/>
      <c r="G135" s="229" t="s">
        <v>28</v>
      </c>
      <c r="H135" s="116"/>
      <c r="I135" s="38"/>
      <c r="J135" s="38"/>
      <c r="K135" s="39"/>
      <c r="L135" s="40"/>
      <c r="M135" s="39">
        <f t="shared" si="9"/>
        <v>0</v>
      </c>
      <c r="N135" s="39"/>
      <c r="O135" s="41"/>
      <c r="P135" s="59"/>
      <c r="Q135" s="39"/>
      <c r="R135" s="40"/>
      <c r="S135" s="39">
        <f t="shared" si="8"/>
        <v>0</v>
      </c>
      <c r="T135" s="39"/>
      <c r="U135" s="4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119</v>
      </c>
      <c r="C136" s="374" t="s">
        <v>39</v>
      </c>
      <c r="D136" s="374" t="s">
        <v>311</v>
      </c>
      <c r="E136" s="374" t="s">
        <v>121</v>
      </c>
      <c r="F136" s="232" t="s">
        <v>312</v>
      </c>
      <c r="G136" s="23" t="s">
        <v>24</v>
      </c>
      <c r="H136" s="151">
        <v>23</v>
      </c>
      <c r="I136" s="62">
        <v>15</v>
      </c>
      <c r="J136" s="62">
        <v>16</v>
      </c>
      <c r="K136" s="30">
        <v>24898.959999999999</v>
      </c>
      <c r="L136" s="205">
        <v>10</v>
      </c>
      <c r="M136" s="26">
        <f t="shared" si="9"/>
        <v>16966.09</v>
      </c>
      <c r="N136" s="30">
        <v>16966.09</v>
      </c>
      <c r="O136" s="31"/>
      <c r="P136" s="53">
        <v>27</v>
      </c>
      <c r="Q136" s="30">
        <v>47822.16</v>
      </c>
      <c r="R136" s="205">
        <v>26</v>
      </c>
      <c r="S136" s="26">
        <f t="shared" si="8"/>
        <v>41600.46</v>
      </c>
      <c r="T136" s="30">
        <v>41600.46</v>
      </c>
      <c r="U136" s="225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80"/>
      <c r="C137" s="380"/>
      <c r="D137" s="380"/>
      <c r="E137" s="380"/>
      <c r="G137" s="227" t="s">
        <v>25</v>
      </c>
      <c r="H137" s="260">
        <v>5</v>
      </c>
      <c r="I137" s="208">
        <v>3</v>
      </c>
      <c r="J137" s="208">
        <v>3</v>
      </c>
      <c r="K137" s="209">
        <v>3668.91</v>
      </c>
      <c r="L137" s="290">
        <v>3</v>
      </c>
      <c r="M137" s="209">
        <v>3668.91</v>
      </c>
      <c r="N137" s="209">
        <v>3668.91</v>
      </c>
      <c r="O137" s="263"/>
      <c r="P137" s="262">
        <v>5</v>
      </c>
      <c r="Q137" s="209">
        <v>22934.400000000001</v>
      </c>
      <c r="R137" s="290">
        <v>4</v>
      </c>
      <c r="S137" s="209">
        <v>16712.7</v>
      </c>
      <c r="T137" s="209">
        <v>16712.7</v>
      </c>
      <c r="U137" s="212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2"/>
      <c r="B138" s="374" t="s">
        <v>464</v>
      </c>
      <c r="C138" s="374" t="s">
        <v>22</v>
      </c>
      <c r="D138" s="374"/>
      <c r="E138" s="374" t="s">
        <v>391</v>
      </c>
      <c r="F138" s="204" t="s">
        <v>465</v>
      </c>
      <c r="G138" s="176" t="s">
        <v>24</v>
      </c>
      <c r="H138" s="61"/>
      <c r="I138" s="62"/>
      <c r="J138" s="62"/>
      <c r="K138" s="30"/>
      <c r="L138" s="27"/>
      <c r="M138" s="26">
        <f t="shared" ref="M138:M153" si="10">N138+O138</f>
        <v>0</v>
      </c>
      <c r="N138" s="26"/>
      <c r="O138" s="28"/>
      <c r="P138" s="214"/>
      <c r="Q138" s="30"/>
      <c r="R138" s="205"/>
      <c r="S138" s="26">
        <f t="shared" ref="S138:S153" si="11">T138+U138</f>
        <v>0</v>
      </c>
      <c r="T138" s="30"/>
      <c r="U138" s="2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86"/>
      <c r="C139" s="375"/>
      <c r="D139" s="386"/>
      <c r="E139" s="386"/>
      <c r="F139" s="152"/>
      <c r="G139" s="229" t="s">
        <v>28</v>
      </c>
      <c r="H139" s="344"/>
      <c r="I139" s="231"/>
      <c r="J139" s="231"/>
      <c r="K139" s="91"/>
      <c r="L139" s="92"/>
      <c r="M139" s="81">
        <f t="shared" si="10"/>
        <v>0</v>
      </c>
      <c r="N139" s="93"/>
      <c r="O139" s="94"/>
      <c r="P139" s="90"/>
      <c r="Q139" s="91"/>
      <c r="R139" s="330"/>
      <c r="S139" s="81">
        <f t="shared" si="11"/>
        <v>0</v>
      </c>
      <c r="T139" s="91"/>
      <c r="U139" s="3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367</v>
      </c>
      <c r="C140" s="374"/>
      <c r="D140" s="374"/>
      <c r="E140" s="374"/>
      <c r="F140" s="204"/>
      <c r="G140" s="213" t="s">
        <v>24</v>
      </c>
      <c r="H140" s="61"/>
      <c r="I140" s="62"/>
      <c r="J140" s="62"/>
      <c r="K140" s="30"/>
      <c r="L140" s="27"/>
      <c r="M140" s="26">
        <f t="shared" si="10"/>
        <v>0</v>
      </c>
      <c r="N140" s="26"/>
      <c r="O140" s="28"/>
      <c r="P140" s="214"/>
      <c r="Q140" s="30"/>
      <c r="R140" s="205"/>
      <c r="S140" s="26">
        <f t="shared" si="11"/>
        <v>0</v>
      </c>
      <c r="T140" s="30"/>
      <c r="U140" s="2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220"/>
      <c r="G141" s="215" t="s">
        <v>28</v>
      </c>
      <c r="H141" s="117">
        <v>4</v>
      </c>
      <c r="I141" s="37"/>
      <c r="J141" s="37"/>
      <c r="K141" s="68"/>
      <c r="L141" s="40"/>
      <c r="M141" s="39">
        <f t="shared" si="10"/>
        <v>0</v>
      </c>
      <c r="N141" s="39"/>
      <c r="O141" s="41"/>
      <c r="P141" s="217"/>
      <c r="Q141" s="68"/>
      <c r="R141" s="285"/>
      <c r="S141" s="39">
        <f t="shared" si="11"/>
        <v>0</v>
      </c>
      <c r="T141" s="68"/>
      <c r="U141" s="23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6"/>
      <c r="B142" s="377" t="s">
        <v>122</v>
      </c>
      <c r="C142" s="377" t="s">
        <v>39</v>
      </c>
      <c r="D142" s="377" t="s">
        <v>123</v>
      </c>
      <c r="E142" s="377" t="s">
        <v>55</v>
      </c>
      <c r="F142" s="232" t="s">
        <v>236</v>
      </c>
      <c r="G142" s="291" t="s">
        <v>24</v>
      </c>
      <c r="H142" s="265">
        <v>21</v>
      </c>
      <c r="I142" s="266">
        <v>18</v>
      </c>
      <c r="J142" s="266">
        <v>23</v>
      </c>
      <c r="K142" s="79">
        <v>36303.949999999997</v>
      </c>
      <c r="L142" s="268">
        <v>22</v>
      </c>
      <c r="M142" s="81">
        <f t="shared" si="10"/>
        <v>34969.29</v>
      </c>
      <c r="N142" s="79">
        <v>34969.29</v>
      </c>
      <c r="O142" s="269"/>
      <c r="P142" s="267">
        <v>17</v>
      </c>
      <c r="Q142" s="79">
        <v>78816.3</v>
      </c>
      <c r="R142" s="268">
        <v>16</v>
      </c>
      <c r="S142" s="81">
        <f t="shared" si="11"/>
        <v>76490.14</v>
      </c>
      <c r="T142" s="79">
        <v>76490.14</v>
      </c>
      <c r="U142" s="269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34"/>
      <c r="G143" s="229" t="s">
        <v>25</v>
      </c>
      <c r="H143" s="116"/>
      <c r="I143" s="38"/>
      <c r="J143" s="38"/>
      <c r="K143" s="39"/>
      <c r="L143" s="40"/>
      <c r="M143" s="39">
        <f t="shared" si="10"/>
        <v>0</v>
      </c>
      <c r="N143" s="39"/>
      <c r="O143" s="41"/>
      <c r="P143" s="59"/>
      <c r="Q143" s="39"/>
      <c r="R143" s="40"/>
      <c r="S143" s="39">
        <f t="shared" si="11"/>
        <v>0</v>
      </c>
      <c r="T143" s="39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6"/>
      <c r="B144" s="377" t="s">
        <v>124</v>
      </c>
      <c r="C144" s="377" t="s">
        <v>39</v>
      </c>
      <c r="D144" s="377" t="s">
        <v>314</v>
      </c>
      <c r="E144" s="377" t="s">
        <v>27</v>
      </c>
      <c r="F144" s="232" t="s">
        <v>237</v>
      </c>
      <c r="G144" s="23" t="s">
        <v>24</v>
      </c>
      <c r="H144" s="48">
        <v>18</v>
      </c>
      <c r="I144" s="203">
        <v>8</v>
      </c>
      <c r="J144" s="203">
        <v>11</v>
      </c>
      <c r="K144" s="65">
        <v>28601.06</v>
      </c>
      <c r="L144" s="224">
        <v>10</v>
      </c>
      <c r="M144" s="50">
        <f t="shared" si="10"/>
        <v>28601.06</v>
      </c>
      <c r="N144" s="65">
        <v>28601.06</v>
      </c>
      <c r="O144" s="225"/>
      <c r="P144" s="108">
        <v>54</v>
      </c>
      <c r="Q144" s="65">
        <v>322769.89</v>
      </c>
      <c r="R144" s="224">
        <v>52</v>
      </c>
      <c r="S144" s="50">
        <f t="shared" si="11"/>
        <v>311364.90999999997</v>
      </c>
      <c r="T144" s="65">
        <v>311364.90999999997</v>
      </c>
      <c r="U144" s="225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7"/>
      <c r="B145" s="386"/>
      <c r="C145" s="386"/>
      <c r="D145" s="386"/>
      <c r="E145" s="386"/>
      <c r="F145" s="135"/>
      <c r="G145" s="154" t="s">
        <v>25</v>
      </c>
      <c r="H145" s="98"/>
      <c r="I145" s="155"/>
      <c r="J145" s="155"/>
      <c r="K145" s="239" t="s">
        <v>43</v>
      </c>
      <c r="L145" s="128"/>
      <c r="M145" s="129">
        <f t="shared" si="10"/>
        <v>0</v>
      </c>
      <c r="N145" s="129"/>
      <c r="O145" s="45"/>
      <c r="P145" s="156"/>
      <c r="Q145" s="129"/>
      <c r="R145" s="128"/>
      <c r="S145" s="129">
        <f t="shared" si="11"/>
        <v>0</v>
      </c>
      <c r="T145" s="129"/>
      <c r="U145" s="4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9"/>
      <c r="B146" s="380"/>
      <c r="C146" s="380"/>
      <c r="D146" s="380"/>
      <c r="E146" s="380"/>
      <c r="F146" s="34"/>
      <c r="G146" s="55" t="s">
        <v>28</v>
      </c>
      <c r="H146" s="111"/>
      <c r="I146" s="57"/>
      <c r="J146" s="57"/>
      <c r="K146" s="43"/>
      <c r="L146" s="44"/>
      <c r="M146" s="43">
        <f t="shared" si="10"/>
        <v>0</v>
      </c>
      <c r="N146" s="43"/>
      <c r="O146" s="41"/>
      <c r="P146" s="113">
        <v>3</v>
      </c>
      <c r="Q146" s="114">
        <v>8317.5</v>
      </c>
      <c r="R146" s="270">
        <v>4</v>
      </c>
      <c r="S146" s="43">
        <f t="shared" si="11"/>
        <v>10625.699999999999</v>
      </c>
      <c r="T146" s="114">
        <f>2305.2+4226.2+2689.4+1404.9</f>
        <v>10625.699999999999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126</v>
      </c>
      <c r="C147" s="374" t="s">
        <v>22</v>
      </c>
      <c r="D147" s="378"/>
      <c r="E147" s="374" t="s">
        <v>65</v>
      </c>
      <c r="F147" s="232" t="s">
        <v>443</v>
      </c>
      <c r="G147" s="23" t="s">
        <v>24</v>
      </c>
      <c r="H147" s="151">
        <v>5</v>
      </c>
      <c r="I147" s="62">
        <v>1</v>
      </c>
      <c r="J147" s="62">
        <v>1</v>
      </c>
      <c r="K147" s="30">
        <v>384.2</v>
      </c>
      <c r="L147" s="205">
        <v>1</v>
      </c>
      <c r="M147" s="26">
        <f t="shared" si="10"/>
        <v>384.2</v>
      </c>
      <c r="N147" s="30">
        <v>384.2</v>
      </c>
      <c r="O147" s="225"/>
      <c r="P147" s="53">
        <v>15</v>
      </c>
      <c r="Q147" s="30">
        <v>10414.84</v>
      </c>
      <c r="R147" s="205">
        <v>4</v>
      </c>
      <c r="S147" s="26">
        <f t="shared" si="11"/>
        <v>10414.84</v>
      </c>
      <c r="T147" s="30">
        <v>10414.84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54" t="s">
        <v>316</v>
      </c>
      <c r="G148" s="35" t="s">
        <v>28</v>
      </c>
      <c r="H148" s="153">
        <v>6</v>
      </c>
      <c r="I148" s="37">
        <v>3</v>
      </c>
      <c r="J148" s="37">
        <v>3</v>
      </c>
      <c r="K148" s="68">
        <v>3710.1</v>
      </c>
      <c r="L148" s="285">
        <v>3</v>
      </c>
      <c r="M148" s="39">
        <f t="shared" si="10"/>
        <v>3710.1</v>
      </c>
      <c r="N148" s="39">
        <f>2305.2+1404.9</f>
        <v>3710.1</v>
      </c>
      <c r="O148" s="41"/>
      <c r="P148" s="115">
        <v>3</v>
      </c>
      <c r="Q148" s="68">
        <v>7062.2</v>
      </c>
      <c r="R148" s="285">
        <v>3</v>
      </c>
      <c r="S148" s="39">
        <f t="shared" si="11"/>
        <v>7418.45</v>
      </c>
      <c r="T148" s="39">
        <f>1056.55+1344.4+5017.5</f>
        <v>7418.45</v>
      </c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2"/>
      <c r="B149" s="381" t="s">
        <v>127</v>
      </c>
      <c r="C149" s="381" t="s">
        <v>22</v>
      </c>
      <c r="D149" s="381"/>
      <c r="E149" s="381" t="s">
        <v>67</v>
      </c>
      <c r="F149" s="223" t="s">
        <v>368</v>
      </c>
      <c r="G149" s="47" t="s">
        <v>24</v>
      </c>
      <c r="H149" s="48">
        <v>9</v>
      </c>
      <c r="I149" s="203">
        <v>7</v>
      </c>
      <c r="J149" s="203">
        <v>10</v>
      </c>
      <c r="K149" s="65">
        <v>19226.240000000002</v>
      </c>
      <c r="L149" s="224">
        <v>8</v>
      </c>
      <c r="M149" s="50">
        <f t="shared" si="10"/>
        <v>11145</v>
      </c>
      <c r="N149" s="65">
        <v>11145</v>
      </c>
      <c r="O149" s="225"/>
      <c r="P149" s="108">
        <v>8</v>
      </c>
      <c r="Q149" s="65">
        <v>29582.03</v>
      </c>
      <c r="R149" s="224">
        <v>8</v>
      </c>
      <c r="S149" s="50">
        <f t="shared" si="11"/>
        <v>29582.03</v>
      </c>
      <c r="T149" s="65">
        <v>29582.03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33" t="s">
        <v>317</v>
      </c>
      <c r="G150" s="227" t="s">
        <v>28</v>
      </c>
      <c r="H150" s="153">
        <v>7</v>
      </c>
      <c r="I150" s="37">
        <v>4</v>
      </c>
      <c r="J150" s="37">
        <v>4</v>
      </c>
      <c r="K150" s="68">
        <v>5174.6000000000004</v>
      </c>
      <c r="L150" s="285">
        <v>4</v>
      </c>
      <c r="M150" s="39">
        <f t="shared" si="10"/>
        <v>5220.5999999999995</v>
      </c>
      <c r="N150" s="39">
        <f>1578.8+1152.6+1152.6+1336.6</f>
        <v>5220.5999999999995</v>
      </c>
      <c r="O150" s="41"/>
      <c r="P150" s="115">
        <v>3</v>
      </c>
      <c r="Q150" s="68">
        <v>17095</v>
      </c>
      <c r="R150" s="285">
        <v>2</v>
      </c>
      <c r="S150" s="39">
        <f t="shared" si="11"/>
        <v>15088</v>
      </c>
      <c r="T150" s="39">
        <f>4034.1+11053.9</f>
        <v>15088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128</v>
      </c>
      <c r="C151" s="374" t="s">
        <v>39</v>
      </c>
      <c r="D151" s="374" t="s">
        <v>129</v>
      </c>
      <c r="E151" s="374" t="s">
        <v>121</v>
      </c>
      <c r="F151" s="60"/>
      <c r="G151" s="176" t="s">
        <v>24</v>
      </c>
      <c r="H151" s="107"/>
      <c r="I151" s="49"/>
      <c r="J151" s="127"/>
      <c r="K151" s="50"/>
      <c r="L151" s="51"/>
      <c r="M151" s="50">
        <f t="shared" si="10"/>
        <v>0</v>
      </c>
      <c r="N151" s="50"/>
      <c r="O151" s="31"/>
      <c r="P151" s="108">
        <v>1</v>
      </c>
      <c r="Q151" s="65">
        <v>14638.71</v>
      </c>
      <c r="R151" s="51"/>
      <c r="S151" s="50">
        <f t="shared" si="11"/>
        <v>0</v>
      </c>
      <c r="T151" s="50"/>
      <c r="U151" s="3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229" t="s">
        <v>25</v>
      </c>
      <c r="H152" s="153">
        <v>1</v>
      </c>
      <c r="I152" s="57"/>
      <c r="J152" s="57"/>
      <c r="K152" s="43"/>
      <c r="L152" s="44"/>
      <c r="M152" s="43">
        <f t="shared" si="10"/>
        <v>0</v>
      </c>
      <c r="N152" s="43"/>
      <c r="O152" s="41"/>
      <c r="P152" s="103"/>
      <c r="Q152" s="43"/>
      <c r="R152" s="44"/>
      <c r="S152" s="43">
        <f t="shared" si="11"/>
        <v>0</v>
      </c>
      <c r="T152" s="43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130</v>
      </c>
      <c r="C153" s="374" t="s">
        <v>22</v>
      </c>
      <c r="D153" s="374"/>
      <c r="E153" s="374" t="s">
        <v>131</v>
      </c>
      <c r="F153" s="232" t="s">
        <v>411</v>
      </c>
      <c r="G153" s="176" t="s">
        <v>24</v>
      </c>
      <c r="H153" s="48">
        <v>10</v>
      </c>
      <c r="I153" s="62">
        <v>5</v>
      </c>
      <c r="J153" s="62">
        <v>5</v>
      </c>
      <c r="K153" s="30">
        <v>6688.2</v>
      </c>
      <c r="L153" s="205">
        <v>2</v>
      </c>
      <c r="M153" s="26">
        <f t="shared" si="10"/>
        <v>2935.73</v>
      </c>
      <c r="N153" s="30">
        <v>2935.73</v>
      </c>
      <c r="O153" s="31"/>
      <c r="P153" s="53">
        <v>4</v>
      </c>
      <c r="Q153" s="30">
        <v>22885.21</v>
      </c>
      <c r="R153" s="205">
        <v>4</v>
      </c>
      <c r="S153" s="26">
        <f t="shared" si="11"/>
        <v>22885.21</v>
      </c>
      <c r="T153" s="30">
        <v>22885.21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34"/>
      <c r="G154" s="229" t="s">
        <v>25</v>
      </c>
      <c r="H154" s="112">
        <v>7</v>
      </c>
      <c r="I154" s="130">
        <v>4</v>
      </c>
      <c r="J154" s="130">
        <v>4</v>
      </c>
      <c r="K154" s="114">
        <v>3685.73</v>
      </c>
      <c r="L154" s="270">
        <v>3</v>
      </c>
      <c r="M154" s="114">
        <v>2782.58</v>
      </c>
      <c r="N154" s="114">
        <v>2782.58</v>
      </c>
      <c r="O154" s="234"/>
      <c r="P154" s="113">
        <v>3</v>
      </c>
      <c r="Q154" s="114">
        <v>7539.8</v>
      </c>
      <c r="R154" s="270">
        <v>3</v>
      </c>
      <c r="S154" s="114">
        <v>7539.8</v>
      </c>
      <c r="T154" s="114">
        <v>7539.8</v>
      </c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132</v>
      </c>
      <c r="C155" s="374" t="s">
        <v>39</v>
      </c>
      <c r="D155" s="374" t="s">
        <v>238</v>
      </c>
      <c r="E155" s="377" t="s">
        <v>136</v>
      </c>
      <c r="F155" s="232" t="s">
        <v>239</v>
      </c>
      <c r="G155" s="23" t="s">
        <v>24</v>
      </c>
      <c r="H155" s="61">
        <v>12</v>
      </c>
      <c r="I155" s="62">
        <v>8</v>
      </c>
      <c r="J155" s="62">
        <v>10</v>
      </c>
      <c r="K155" s="30">
        <v>13129.56</v>
      </c>
      <c r="L155" s="205">
        <v>10</v>
      </c>
      <c r="M155" s="26">
        <f t="shared" ref="M155:M231" si="12">N155+O155</f>
        <v>13129.56</v>
      </c>
      <c r="N155" s="30">
        <v>13129.56</v>
      </c>
      <c r="O155" s="225"/>
      <c r="P155" s="53">
        <v>13</v>
      </c>
      <c r="Q155" s="30">
        <v>50593.43</v>
      </c>
      <c r="R155" s="205">
        <v>12</v>
      </c>
      <c r="S155" s="26">
        <f t="shared" ref="S155:S187" si="13">T155+U155</f>
        <v>49378.37</v>
      </c>
      <c r="T155" s="30">
        <v>49378.37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7"/>
      <c r="B156" s="386"/>
      <c r="C156" s="386"/>
      <c r="D156" s="386"/>
      <c r="E156" s="386"/>
      <c r="F156" s="237" t="s">
        <v>240</v>
      </c>
      <c r="G156" s="154" t="s">
        <v>28</v>
      </c>
      <c r="H156" s="112">
        <v>10</v>
      </c>
      <c r="I156" s="271">
        <v>5</v>
      </c>
      <c r="J156" s="271">
        <v>5</v>
      </c>
      <c r="K156" s="239">
        <v>10817.8</v>
      </c>
      <c r="L156" s="316">
        <v>4</v>
      </c>
      <c r="M156" s="129">
        <f t="shared" si="12"/>
        <v>9412.9</v>
      </c>
      <c r="N156" s="129">
        <f>1728.9+2305.2+576.3+4802.5</f>
        <v>9412.9</v>
      </c>
      <c r="O156" s="45"/>
      <c r="P156" s="238">
        <v>7</v>
      </c>
      <c r="Q156" s="239">
        <v>11775.73</v>
      </c>
      <c r="R156" s="316">
        <v>8</v>
      </c>
      <c r="S156" s="129">
        <f t="shared" si="13"/>
        <v>12985.960000000001</v>
      </c>
      <c r="T156" s="239">
        <f>288.15+6934.81+3073.6+1344.7+1344.7</f>
        <v>12985.960000000001</v>
      </c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105"/>
      <c r="G157" s="55" t="s">
        <v>25</v>
      </c>
      <c r="H157" s="131"/>
      <c r="I157" s="57"/>
      <c r="J157" s="57"/>
      <c r="K157" s="43"/>
      <c r="L157" s="44"/>
      <c r="M157" s="43">
        <f t="shared" si="12"/>
        <v>0</v>
      </c>
      <c r="N157" s="43"/>
      <c r="O157" s="41"/>
      <c r="P157" s="103"/>
      <c r="Q157" s="43"/>
      <c r="R157" s="44"/>
      <c r="S157" s="43">
        <f t="shared" si="13"/>
        <v>0</v>
      </c>
      <c r="T157" s="43"/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133</v>
      </c>
      <c r="C158" s="374" t="s">
        <v>39</v>
      </c>
      <c r="D158" s="374" t="s">
        <v>448</v>
      </c>
      <c r="E158" s="381" t="s">
        <v>23</v>
      </c>
      <c r="F158" s="232" t="s">
        <v>449</v>
      </c>
      <c r="G158" s="23" t="s">
        <v>24</v>
      </c>
      <c r="H158" s="61">
        <v>10</v>
      </c>
      <c r="I158" s="62">
        <v>6</v>
      </c>
      <c r="J158" s="62">
        <v>6</v>
      </c>
      <c r="K158" s="30">
        <v>16306.8</v>
      </c>
      <c r="L158" s="205">
        <v>6</v>
      </c>
      <c r="M158" s="26">
        <f t="shared" si="12"/>
        <v>16306.8</v>
      </c>
      <c r="N158" s="30">
        <v>16306.8</v>
      </c>
      <c r="O158" s="31"/>
      <c r="P158" s="53">
        <v>1</v>
      </c>
      <c r="Q158" s="30">
        <v>1415.78</v>
      </c>
      <c r="R158" s="205">
        <v>1</v>
      </c>
      <c r="S158" s="26">
        <f t="shared" si="13"/>
        <v>1415.78</v>
      </c>
      <c r="T158" s="30">
        <v>1415.78</v>
      </c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34"/>
      <c r="G159" s="35" t="s">
        <v>25</v>
      </c>
      <c r="H159" s="106"/>
      <c r="I159" s="38"/>
      <c r="J159" s="38"/>
      <c r="K159" s="39"/>
      <c r="L159" s="40"/>
      <c r="M159" s="39">
        <f t="shared" si="12"/>
        <v>0</v>
      </c>
      <c r="N159" s="39"/>
      <c r="O159" s="41"/>
      <c r="P159" s="59"/>
      <c r="Q159" s="39"/>
      <c r="R159" s="40"/>
      <c r="S159" s="39">
        <f t="shared" si="13"/>
        <v>0</v>
      </c>
      <c r="T159" s="39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134</v>
      </c>
      <c r="C160" s="374" t="s">
        <v>39</v>
      </c>
      <c r="D160" s="374" t="s">
        <v>280</v>
      </c>
      <c r="E160" s="374" t="s">
        <v>136</v>
      </c>
      <c r="F160" s="204" t="s">
        <v>282</v>
      </c>
      <c r="G160" s="176" t="s">
        <v>24</v>
      </c>
      <c r="H160" s="48">
        <v>11</v>
      </c>
      <c r="I160" s="203">
        <v>9</v>
      </c>
      <c r="J160" s="203">
        <v>9</v>
      </c>
      <c r="K160" s="65">
        <v>12433.98</v>
      </c>
      <c r="L160" s="224">
        <v>8</v>
      </c>
      <c r="M160" s="50">
        <f t="shared" si="12"/>
        <v>9644.25</v>
      </c>
      <c r="N160" s="65">
        <v>9644.25</v>
      </c>
      <c r="O160" s="225"/>
      <c r="P160" s="108">
        <v>6</v>
      </c>
      <c r="Q160" s="65">
        <v>33605.230000000003</v>
      </c>
      <c r="R160" s="224">
        <v>5</v>
      </c>
      <c r="S160" s="50">
        <f t="shared" si="13"/>
        <v>27150.720000000001</v>
      </c>
      <c r="T160" s="65">
        <v>27150.720000000001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7"/>
      <c r="B161" s="386"/>
      <c r="C161" s="386"/>
      <c r="D161" s="386"/>
      <c r="E161" s="386"/>
      <c r="F161" s="235" t="s">
        <v>321</v>
      </c>
      <c r="G161" s="252" t="s">
        <v>28</v>
      </c>
      <c r="H161" s="151">
        <v>10</v>
      </c>
      <c r="I161" s="246">
        <v>4</v>
      </c>
      <c r="J161" s="246">
        <v>4</v>
      </c>
      <c r="K161" s="158">
        <v>8842.2999999999993</v>
      </c>
      <c r="L161" s="317">
        <v>2</v>
      </c>
      <c r="M161" s="142">
        <f t="shared" si="12"/>
        <v>4226.2</v>
      </c>
      <c r="N161" s="142">
        <f>1921+2305.2</f>
        <v>4226.2</v>
      </c>
      <c r="O161" s="45"/>
      <c r="P161" s="157">
        <v>4</v>
      </c>
      <c r="Q161" s="158">
        <v>8625.2900000000009</v>
      </c>
      <c r="R161" s="224">
        <v>5</v>
      </c>
      <c r="S161" s="50">
        <f t="shared" si="13"/>
        <v>9681.84</v>
      </c>
      <c r="T161" s="158">
        <f>6224.04+3457.8</f>
        <v>9681.84</v>
      </c>
      <c r="U161" s="4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229" t="s">
        <v>25</v>
      </c>
      <c r="H162" s="118"/>
      <c r="I162" s="57"/>
      <c r="J162" s="57"/>
      <c r="K162" s="43"/>
      <c r="L162" s="44"/>
      <c r="M162" s="43">
        <f t="shared" si="12"/>
        <v>0</v>
      </c>
      <c r="N162" s="43"/>
      <c r="O162" s="41"/>
      <c r="P162" s="103"/>
      <c r="Q162" s="43"/>
      <c r="R162" s="44"/>
      <c r="S162" s="43">
        <f t="shared" si="13"/>
        <v>0</v>
      </c>
      <c r="T162" s="43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137</v>
      </c>
      <c r="C163" s="377" t="s">
        <v>39</v>
      </c>
      <c r="D163" s="374" t="s">
        <v>322</v>
      </c>
      <c r="E163" s="377" t="s">
        <v>27</v>
      </c>
      <c r="F163" s="232" t="s">
        <v>323</v>
      </c>
      <c r="G163" s="23" t="s">
        <v>24</v>
      </c>
      <c r="H163" s="24">
        <v>12</v>
      </c>
      <c r="I163" s="62">
        <v>6</v>
      </c>
      <c r="J163" s="62">
        <v>7</v>
      </c>
      <c r="K163" s="30">
        <v>14775.74</v>
      </c>
      <c r="L163" s="205">
        <v>6</v>
      </c>
      <c r="M163" s="26">
        <f t="shared" si="12"/>
        <v>10738.18</v>
      </c>
      <c r="N163" s="30">
        <v>10738.18</v>
      </c>
      <c r="O163" s="31"/>
      <c r="P163" s="53">
        <v>2</v>
      </c>
      <c r="Q163" s="30">
        <v>3779.47</v>
      </c>
      <c r="R163" s="205">
        <v>2</v>
      </c>
      <c r="S163" s="26">
        <f t="shared" si="13"/>
        <v>3779.47</v>
      </c>
      <c r="T163" s="30">
        <v>3779.47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80"/>
      <c r="F164" s="220" t="s">
        <v>241</v>
      </c>
      <c r="G164" s="35" t="s">
        <v>28</v>
      </c>
      <c r="H164" s="66">
        <v>7</v>
      </c>
      <c r="I164" s="37">
        <v>4</v>
      </c>
      <c r="J164" s="37">
        <v>4</v>
      </c>
      <c r="K164" s="68">
        <v>5042.7</v>
      </c>
      <c r="L164" s="285">
        <v>3</v>
      </c>
      <c r="M164" s="39">
        <f t="shared" si="12"/>
        <v>3637.8</v>
      </c>
      <c r="N164" s="39">
        <f>576.3+1716.8+1344.7</f>
        <v>3637.8</v>
      </c>
      <c r="O164" s="41"/>
      <c r="P164" s="115">
        <v>2</v>
      </c>
      <c r="Q164" s="68">
        <v>3265.7</v>
      </c>
      <c r="R164" s="285">
        <v>2</v>
      </c>
      <c r="S164" s="39">
        <f t="shared" si="13"/>
        <v>3265.7</v>
      </c>
      <c r="T164" s="39">
        <f>1921+1344.7</f>
        <v>3265.7</v>
      </c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138</v>
      </c>
      <c r="C165" s="374" t="s">
        <v>22</v>
      </c>
      <c r="D165" s="374"/>
      <c r="E165" s="374" t="s">
        <v>27</v>
      </c>
      <c r="F165" s="204" t="s">
        <v>324</v>
      </c>
      <c r="G165" s="176" t="s">
        <v>24</v>
      </c>
      <c r="H165" s="151">
        <v>8</v>
      </c>
      <c r="I165" s="203">
        <v>5</v>
      </c>
      <c r="J165" s="203">
        <v>6</v>
      </c>
      <c r="K165" s="65">
        <v>13186.17</v>
      </c>
      <c r="L165" s="224">
        <v>6</v>
      </c>
      <c r="M165" s="50">
        <f t="shared" si="12"/>
        <v>13186.17</v>
      </c>
      <c r="N165" s="65">
        <v>13186.17</v>
      </c>
      <c r="O165" s="31"/>
      <c r="P165" s="108">
        <v>9</v>
      </c>
      <c r="Q165" s="65">
        <v>17335.71</v>
      </c>
      <c r="R165" s="224">
        <v>8</v>
      </c>
      <c r="S165" s="50">
        <f t="shared" si="13"/>
        <v>16335.71</v>
      </c>
      <c r="T165" s="65">
        <v>16335.71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 t="s">
        <v>242</v>
      </c>
      <c r="G166" s="229" t="s">
        <v>28</v>
      </c>
      <c r="H166" s="133">
        <v>6</v>
      </c>
      <c r="I166" s="130">
        <v>5</v>
      </c>
      <c r="J166" s="130">
        <v>5</v>
      </c>
      <c r="K166" s="114">
        <v>18356.64</v>
      </c>
      <c r="L166" s="270">
        <v>4</v>
      </c>
      <c r="M166" s="43">
        <f t="shared" si="12"/>
        <v>7146.12</v>
      </c>
      <c r="N166" s="43">
        <f>3880.42+1344.7+1921</f>
        <v>7146.12</v>
      </c>
      <c r="O166" s="41"/>
      <c r="P166" s="113">
        <v>5</v>
      </c>
      <c r="Q166" s="114">
        <v>11814.15</v>
      </c>
      <c r="R166" s="270">
        <v>4</v>
      </c>
      <c r="S166" s="43">
        <f t="shared" si="13"/>
        <v>9893.15</v>
      </c>
      <c r="T166" s="114">
        <f>4802.5+2401.25+2689.4</f>
        <v>9893.15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139</v>
      </c>
      <c r="C167" s="374" t="s">
        <v>22</v>
      </c>
      <c r="D167" s="374"/>
      <c r="E167" s="374" t="s">
        <v>67</v>
      </c>
      <c r="F167" s="232" t="s">
        <v>325</v>
      </c>
      <c r="G167" s="23" t="s">
        <v>24</v>
      </c>
      <c r="H167" s="151">
        <v>5</v>
      </c>
      <c r="I167" s="62">
        <v>5</v>
      </c>
      <c r="J167" s="62">
        <v>6</v>
      </c>
      <c r="K167" s="30">
        <v>13798.74</v>
      </c>
      <c r="L167" s="205">
        <v>6</v>
      </c>
      <c r="M167" s="26">
        <f t="shared" si="12"/>
        <v>13798.74</v>
      </c>
      <c r="N167" s="30">
        <v>13798.74</v>
      </c>
      <c r="O167" s="225"/>
      <c r="P167" s="53">
        <v>15</v>
      </c>
      <c r="Q167" s="30">
        <v>52937.79</v>
      </c>
      <c r="R167" s="205">
        <v>15</v>
      </c>
      <c r="S167" s="26">
        <f t="shared" si="13"/>
        <v>52937.79</v>
      </c>
      <c r="T167" s="30">
        <v>52937.79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33" t="s">
        <v>326</v>
      </c>
      <c r="G168" s="227" t="s">
        <v>28</v>
      </c>
      <c r="H168" s="112">
        <v>6</v>
      </c>
      <c r="I168" s="130">
        <v>3</v>
      </c>
      <c r="J168" s="130">
        <v>3</v>
      </c>
      <c r="K168" s="114">
        <v>4835.3999999999996</v>
      </c>
      <c r="L168" s="270">
        <v>2</v>
      </c>
      <c r="M168" s="43">
        <f t="shared" si="12"/>
        <v>2331</v>
      </c>
      <c r="N168" s="43">
        <f>1728.9+602.1</f>
        <v>2331</v>
      </c>
      <c r="O168" s="45"/>
      <c r="P168" s="113">
        <v>4</v>
      </c>
      <c r="Q168" s="114">
        <v>9785.2000000000007</v>
      </c>
      <c r="R168" s="270">
        <v>6</v>
      </c>
      <c r="S168" s="43">
        <f t="shared" si="13"/>
        <v>16062.800000000001</v>
      </c>
      <c r="T168" s="114">
        <f>6269.7+3984+2305.2+3503.9</f>
        <v>16062.800000000001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140</v>
      </c>
      <c r="C169" s="374" t="s">
        <v>39</v>
      </c>
      <c r="D169" s="374" t="s">
        <v>369</v>
      </c>
      <c r="E169" s="374" t="s">
        <v>27</v>
      </c>
      <c r="F169" s="204" t="s">
        <v>370</v>
      </c>
      <c r="G169" s="176" t="s">
        <v>24</v>
      </c>
      <c r="H169" s="24">
        <v>13</v>
      </c>
      <c r="I169" s="62">
        <v>6</v>
      </c>
      <c r="J169" s="62">
        <v>7</v>
      </c>
      <c r="K169" s="30">
        <v>17674.52</v>
      </c>
      <c r="L169" s="205">
        <v>7</v>
      </c>
      <c r="M169" s="26">
        <f t="shared" si="12"/>
        <v>17674.52</v>
      </c>
      <c r="N169" s="30">
        <v>17674.52</v>
      </c>
      <c r="O169" s="159"/>
      <c r="P169" s="53">
        <v>3</v>
      </c>
      <c r="Q169" s="30">
        <v>20168.78</v>
      </c>
      <c r="R169" s="205">
        <v>3</v>
      </c>
      <c r="S169" s="26">
        <f t="shared" si="13"/>
        <v>20168.78</v>
      </c>
      <c r="T169" s="30">
        <v>20168.78</v>
      </c>
      <c r="U169" s="2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233" t="s">
        <v>243</v>
      </c>
      <c r="G170" s="282" t="s">
        <v>28</v>
      </c>
      <c r="H170" s="207">
        <v>5</v>
      </c>
      <c r="I170" s="208">
        <v>1</v>
      </c>
      <c r="J170" s="208">
        <v>1</v>
      </c>
      <c r="K170" s="209">
        <v>1728</v>
      </c>
      <c r="L170" s="210"/>
      <c r="M170" s="211">
        <f t="shared" si="12"/>
        <v>1728.9</v>
      </c>
      <c r="N170" s="211">
        <f>1728.9</f>
        <v>1728.9</v>
      </c>
      <c r="O170" s="274"/>
      <c r="P170" s="262">
        <v>3</v>
      </c>
      <c r="Q170" s="209">
        <v>5494.06</v>
      </c>
      <c r="R170" s="290">
        <v>6</v>
      </c>
      <c r="S170" s="211">
        <f t="shared" si="13"/>
        <v>14023.3</v>
      </c>
      <c r="T170" s="211">
        <f>4034.1+3073.6+5071.44+1267.86+576.3</f>
        <v>14023.3</v>
      </c>
      <c r="U170" s="212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413</v>
      </c>
      <c r="C171" s="374" t="s">
        <v>22</v>
      </c>
      <c r="D171" s="374"/>
      <c r="E171" s="374" t="s">
        <v>391</v>
      </c>
      <c r="F171" s="204" t="s">
        <v>414</v>
      </c>
      <c r="G171" s="176" t="s">
        <v>24</v>
      </c>
      <c r="H171" s="24">
        <v>4</v>
      </c>
      <c r="I171" s="62">
        <v>2</v>
      </c>
      <c r="J171" s="62">
        <v>5</v>
      </c>
      <c r="K171" s="30">
        <v>15627.55</v>
      </c>
      <c r="L171" s="205">
        <v>5</v>
      </c>
      <c r="M171" s="26">
        <f t="shared" si="12"/>
        <v>15627.55</v>
      </c>
      <c r="N171" s="30">
        <v>15627.55</v>
      </c>
      <c r="O171" s="28"/>
      <c r="P171" s="214"/>
      <c r="Q171" s="30"/>
      <c r="R171" s="205"/>
      <c r="S171" s="26">
        <f t="shared" si="13"/>
        <v>0</v>
      </c>
      <c r="T171" s="30"/>
      <c r="U171" s="2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0"/>
      <c r="G172" s="229" t="s">
        <v>28</v>
      </c>
      <c r="H172" s="66"/>
      <c r="I172" s="38"/>
      <c r="J172" s="38"/>
      <c r="K172" s="39"/>
      <c r="L172" s="40"/>
      <c r="M172" s="39">
        <f t="shared" si="12"/>
        <v>0</v>
      </c>
      <c r="N172" s="39"/>
      <c r="O172" s="41"/>
      <c r="P172" s="217"/>
      <c r="Q172" s="68"/>
      <c r="R172" s="285"/>
      <c r="S172" s="39">
        <f t="shared" si="13"/>
        <v>0</v>
      </c>
      <c r="T172" s="68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141</v>
      </c>
      <c r="C173" s="374" t="s">
        <v>39</v>
      </c>
      <c r="D173" s="374" t="s">
        <v>371</v>
      </c>
      <c r="E173" s="374" t="s">
        <v>27</v>
      </c>
      <c r="F173" s="204" t="s">
        <v>372</v>
      </c>
      <c r="G173" s="176" t="s">
        <v>24</v>
      </c>
      <c r="H173" s="281">
        <v>8</v>
      </c>
      <c r="I173" s="266">
        <v>5</v>
      </c>
      <c r="J173" s="266">
        <v>5</v>
      </c>
      <c r="K173" s="79">
        <v>11395.47</v>
      </c>
      <c r="L173" s="268">
        <v>4</v>
      </c>
      <c r="M173" s="81">
        <f t="shared" si="12"/>
        <v>10015.66</v>
      </c>
      <c r="N173" s="79">
        <v>10015.66</v>
      </c>
      <c r="O173" s="219"/>
      <c r="P173" s="267">
        <v>2</v>
      </c>
      <c r="Q173" s="79">
        <v>4949.17</v>
      </c>
      <c r="R173" s="268">
        <v>2</v>
      </c>
      <c r="S173" s="81">
        <f t="shared" si="13"/>
        <v>4949.17</v>
      </c>
      <c r="T173" s="79">
        <v>4949.17</v>
      </c>
      <c r="U173" s="219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34"/>
      <c r="G174" s="229" t="s">
        <v>28</v>
      </c>
      <c r="H174" s="118"/>
      <c r="I174" s="57"/>
      <c r="J174" s="57"/>
      <c r="K174" s="43"/>
      <c r="L174" s="44"/>
      <c r="M174" s="43">
        <f t="shared" si="12"/>
        <v>0</v>
      </c>
      <c r="N174" s="43"/>
      <c r="O174" s="45"/>
      <c r="P174" s="103"/>
      <c r="Q174" s="43"/>
      <c r="R174" s="44"/>
      <c r="S174" s="43">
        <f t="shared" si="13"/>
        <v>0</v>
      </c>
      <c r="T174" s="43"/>
      <c r="U174" s="4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142</v>
      </c>
      <c r="C175" s="374" t="s">
        <v>39</v>
      </c>
      <c r="D175" s="374" t="s">
        <v>415</v>
      </c>
      <c r="E175" s="374" t="s">
        <v>27</v>
      </c>
      <c r="F175" s="232" t="s">
        <v>416</v>
      </c>
      <c r="G175" s="23" t="s">
        <v>24</v>
      </c>
      <c r="H175" s="24">
        <v>4</v>
      </c>
      <c r="I175" s="62">
        <v>2</v>
      </c>
      <c r="J175" s="62">
        <v>2</v>
      </c>
      <c r="K175" s="30">
        <v>524.91</v>
      </c>
      <c r="L175" s="205">
        <v>2</v>
      </c>
      <c r="M175" s="26">
        <f t="shared" si="12"/>
        <v>524.91</v>
      </c>
      <c r="N175" s="30">
        <v>524.91</v>
      </c>
      <c r="O175" s="241"/>
      <c r="P175" s="53">
        <v>1</v>
      </c>
      <c r="Q175" s="30">
        <v>412.05</v>
      </c>
      <c r="R175" s="205">
        <v>1</v>
      </c>
      <c r="S175" s="26">
        <f t="shared" si="13"/>
        <v>412.05</v>
      </c>
      <c r="T175" s="30">
        <v>412.05</v>
      </c>
      <c r="U175" s="2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227" t="s">
        <v>28</v>
      </c>
      <c r="H176" s="311"/>
      <c r="I176" s="261"/>
      <c r="J176" s="261"/>
      <c r="K176" s="211"/>
      <c r="L176" s="210"/>
      <c r="M176" s="211">
        <f t="shared" si="12"/>
        <v>0</v>
      </c>
      <c r="N176" s="211"/>
      <c r="O176" s="212"/>
      <c r="P176" s="273"/>
      <c r="Q176" s="211"/>
      <c r="R176" s="210"/>
      <c r="S176" s="211">
        <f t="shared" si="13"/>
        <v>0</v>
      </c>
      <c r="T176" s="211"/>
      <c r="U176" s="212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424</v>
      </c>
      <c r="C177" s="374" t="s">
        <v>22</v>
      </c>
      <c r="D177" s="374"/>
      <c r="E177" s="374" t="s">
        <v>65</v>
      </c>
      <c r="F177" s="232" t="s">
        <v>437</v>
      </c>
      <c r="G177" s="213" t="s">
        <v>24</v>
      </c>
      <c r="H177" s="24">
        <v>4</v>
      </c>
      <c r="I177" s="62">
        <v>1</v>
      </c>
      <c r="J177" s="62">
        <v>1</v>
      </c>
      <c r="K177" s="30">
        <v>1285.1500000000001</v>
      </c>
      <c r="L177" s="205">
        <v>1</v>
      </c>
      <c r="M177" s="26">
        <f t="shared" si="12"/>
        <v>1285.1500000000001</v>
      </c>
      <c r="N177" s="30">
        <v>1285.1500000000001</v>
      </c>
      <c r="O177" s="28"/>
      <c r="P177" s="214"/>
      <c r="Q177" s="30"/>
      <c r="R177" s="205"/>
      <c r="S177" s="26">
        <f t="shared" si="13"/>
        <v>0</v>
      </c>
      <c r="T177" s="30"/>
      <c r="U177" s="24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/>
      <c r="G178" s="215" t="s">
        <v>28</v>
      </c>
      <c r="H178" s="66"/>
      <c r="I178" s="38"/>
      <c r="J178" s="38"/>
      <c r="K178" s="39"/>
      <c r="L178" s="40"/>
      <c r="M178" s="39">
        <f t="shared" si="12"/>
        <v>0</v>
      </c>
      <c r="N178" s="39"/>
      <c r="O178" s="41"/>
      <c r="P178" s="217"/>
      <c r="Q178" s="68"/>
      <c r="R178" s="285"/>
      <c r="S178" s="39">
        <f t="shared" si="13"/>
        <v>0</v>
      </c>
      <c r="T178" s="68"/>
      <c r="U178" s="23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6"/>
      <c r="B179" s="377" t="s">
        <v>143</v>
      </c>
      <c r="C179" s="377" t="s">
        <v>39</v>
      </c>
      <c r="D179" s="377" t="s">
        <v>327</v>
      </c>
      <c r="E179" s="377" t="s">
        <v>145</v>
      </c>
      <c r="F179" s="232" t="s">
        <v>215</v>
      </c>
      <c r="G179" s="95" t="s">
        <v>24</v>
      </c>
      <c r="H179" s="281">
        <v>4</v>
      </c>
      <c r="I179" s="266">
        <v>3</v>
      </c>
      <c r="J179" s="266">
        <v>3</v>
      </c>
      <c r="K179" s="79">
        <v>3521.24</v>
      </c>
      <c r="L179" s="268">
        <v>3</v>
      </c>
      <c r="M179" s="81">
        <f t="shared" si="12"/>
        <v>3521.24</v>
      </c>
      <c r="N179" s="79">
        <v>3521.24</v>
      </c>
      <c r="O179" s="219"/>
      <c r="P179" s="267">
        <v>15</v>
      </c>
      <c r="Q179" s="79">
        <v>43575.18</v>
      </c>
      <c r="R179" s="268">
        <v>15</v>
      </c>
      <c r="S179" s="81">
        <f t="shared" si="13"/>
        <v>43575.18</v>
      </c>
      <c r="T179" s="79">
        <v>43575.18</v>
      </c>
      <c r="U179" s="269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9"/>
      <c r="B180" s="380"/>
      <c r="C180" s="380"/>
      <c r="D180" s="380"/>
      <c r="E180" s="380"/>
      <c r="F180" s="233" t="s">
        <v>244</v>
      </c>
      <c r="G180" s="227" t="s">
        <v>28</v>
      </c>
      <c r="H180" s="133">
        <v>9</v>
      </c>
      <c r="I180" s="130">
        <v>4</v>
      </c>
      <c r="J180" s="130">
        <v>4</v>
      </c>
      <c r="K180" s="114">
        <v>14993.72</v>
      </c>
      <c r="L180" s="316">
        <v>3</v>
      </c>
      <c r="M180" s="50">
        <f t="shared" si="12"/>
        <v>9569.92</v>
      </c>
      <c r="N180" s="43">
        <f>2497.3+1152.6+5920.02</f>
        <v>9569.92</v>
      </c>
      <c r="O180" s="41"/>
      <c r="P180" s="113">
        <v>2</v>
      </c>
      <c r="Q180" s="114">
        <v>7924</v>
      </c>
      <c r="R180" s="270">
        <v>3</v>
      </c>
      <c r="S180" s="43">
        <f t="shared" si="13"/>
        <v>8500.2999999999993</v>
      </c>
      <c r="T180" s="114">
        <f>576.3+5426.7+2497.3</f>
        <v>8500.2999999999993</v>
      </c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146</v>
      </c>
      <c r="C181" s="374" t="s">
        <v>39</v>
      </c>
      <c r="D181" s="374" t="s">
        <v>328</v>
      </c>
      <c r="E181" s="374" t="s">
        <v>27</v>
      </c>
      <c r="F181" s="204" t="s">
        <v>329</v>
      </c>
      <c r="G181" s="176" t="s">
        <v>24</v>
      </c>
      <c r="H181" s="48">
        <v>8</v>
      </c>
      <c r="I181" s="62">
        <v>6</v>
      </c>
      <c r="J181" s="62">
        <v>6</v>
      </c>
      <c r="K181" s="30">
        <v>22780.46</v>
      </c>
      <c r="L181" s="205">
        <v>6</v>
      </c>
      <c r="M181" s="26">
        <f t="shared" si="12"/>
        <v>22780.46</v>
      </c>
      <c r="N181" s="30">
        <v>22780.46</v>
      </c>
      <c r="O181" s="225"/>
      <c r="P181" s="53">
        <v>11</v>
      </c>
      <c r="Q181" s="30">
        <v>34917.42</v>
      </c>
      <c r="R181" s="205">
        <v>11</v>
      </c>
      <c r="S181" s="26">
        <f t="shared" si="13"/>
        <v>34917.42</v>
      </c>
      <c r="T181" s="30">
        <v>34917.42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220" t="s">
        <v>330</v>
      </c>
      <c r="G182" s="229" t="s">
        <v>28</v>
      </c>
      <c r="H182" s="153">
        <v>4</v>
      </c>
      <c r="I182" s="57"/>
      <c r="J182" s="57"/>
      <c r="K182" s="43"/>
      <c r="L182" s="44"/>
      <c r="M182" s="43">
        <f t="shared" si="12"/>
        <v>0</v>
      </c>
      <c r="N182" s="43"/>
      <c r="O182" s="41"/>
      <c r="P182" s="115">
        <v>6</v>
      </c>
      <c r="Q182" s="68">
        <v>27573.17</v>
      </c>
      <c r="R182" s="285">
        <v>6</v>
      </c>
      <c r="S182" s="39">
        <f t="shared" si="13"/>
        <v>27573.17</v>
      </c>
      <c r="T182" s="68">
        <f>576.3+15944.3+1479.17+1344.7+8228.7</f>
        <v>27573.17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148</v>
      </c>
      <c r="C183" s="374" t="s">
        <v>39</v>
      </c>
      <c r="D183" s="374" t="s">
        <v>149</v>
      </c>
      <c r="E183" s="374" t="s">
        <v>27</v>
      </c>
      <c r="F183" s="204" t="s">
        <v>218</v>
      </c>
      <c r="G183" s="176" t="s">
        <v>24</v>
      </c>
      <c r="H183" s="48">
        <v>17</v>
      </c>
      <c r="I183" s="62">
        <v>15</v>
      </c>
      <c r="J183" s="204">
        <v>19</v>
      </c>
      <c r="K183" s="30">
        <v>35669.300000000003</v>
      </c>
      <c r="L183" s="205">
        <v>19</v>
      </c>
      <c r="M183" s="26">
        <f t="shared" si="12"/>
        <v>35669.300000000003</v>
      </c>
      <c r="N183" s="30">
        <v>35669.300000000003</v>
      </c>
      <c r="O183" s="225"/>
      <c r="P183" s="108">
        <v>23</v>
      </c>
      <c r="Q183" s="65">
        <v>81517.899999999994</v>
      </c>
      <c r="R183" s="224">
        <v>22</v>
      </c>
      <c r="S183" s="50">
        <f t="shared" si="13"/>
        <v>79924.350000000006</v>
      </c>
      <c r="T183" s="65">
        <v>79924.350000000006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34"/>
      <c r="G184" s="229" t="s">
        <v>28</v>
      </c>
      <c r="H184" s="292">
        <v>2</v>
      </c>
      <c r="I184" s="208">
        <v>1</v>
      </c>
      <c r="J184" s="208">
        <v>1</v>
      </c>
      <c r="K184" s="209">
        <v>3010.5</v>
      </c>
      <c r="L184" s="210"/>
      <c r="M184" s="211">
        <f t="shared" si="12"/>
        <v>0</v>
      </c>
      <c r="N184" s="211"/>
      <c r="O184" s="212"/>
      <c r="P184" s="262">
        <v>1</v>
      </c>
      <c r="Q184" s="209">
        <v>576.29999999999995</v>
      </c>
      <c r="R184" s="290">
        <v>2</v>
      </c>
      <c r="S184" s="211">
        <f t="shared" si="13"/>
        <v>2497.3000000000002</v>
      </c>
      <c r="T184" s="209">
        <f>1921+576.3</f>
        <v>2497.3000000000002</v>
      </c>
      <c r="U184" s="21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2"/>
      <c r="B185" s="374" t="s">
        <v>373</v>
      </c>
      <c r="C185" s="374" t="s">
        <v>22</v>
      </c>
      <c r="D185" s="374"/>
      <c r="E185" s="374" t="s">
        <v>27</v>
      </c>
      <c r="F185" s="232" t="s">
        <v>417</v>
      </c>
      <c r="G185" s="213" t="s">
        <v>24</v>
      </c>
      <c r="H185" s="61">
        <v>1</v>
      </c>
      <c r="I185" s="62">
        <v>1</v>
      </c>
      <c r="J185" s="62">
        <v>1</v>
      </c>
      <c r="K185" s="326">
        <v>662.31</v>
      </c>
      <c r="L185" s="327">
        <v>1</v>
      </c>
      <c r="M185" s="162">
        <f t="shared" si="12"/>
        <v>662.31</v>
      </c>
      <c r="N185" s="326">
        <v>662.31</v>
      </c>
      <c r="O185" s="28"/>
      <c r="P185" s="275"/>
      <c r="Q185" s="26"/>
      <c r="R185" s="27"/>
      <c r="S185" s="26">
        <f t="shared" si="13"/>
        <v>0</v>
      </c>
      <c r="T185" s="26"/>
      <c r="U185" s="28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75"/>
      <c r="F186" s="105"/>
      <c r="G186" s="215" t="s">
        <v>28</v>
      </c>
      <c r="H186" s="117">
        <v>4</v>
      </c>
      <c r="I186" s="37">
        <v>1</v>
      </c>
      <c r="J186" s="37">
        <v>1</v>
      </c>
      <c r="K186" s="318">
        <v>1056.22</v>
      </c>
      <c r="L186" s="343">
        <v>1</v>
      </c>
      <c r="M186" s="164">
        <f t="shared" si="12"/>
        <v>1056.55</v>
      </c>
      <c r="N186" s="164">
        <f>1056.55</f>
        <v>1056.55</v>
      </c>
      <c r="O186" s="41"/>
      <c r="P186" s="276"/>
      <c r="Q186" s="39"/>
      <c r="R186" s="40"/>
      <c r="S186" s="39">
        <f t="shared" si="13"/>
        <v>0</v>
      </c>
      <c r="T186" s="39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6"/>
      <c r="B187" s="402" t="s">
        <v>150</v>
      </c>
      <c r="C187" s="377" t="s">
        <v>39</v>
      </c>
      <c r="D187" s="377" t="s">
        <v>151</v>
      </c>
      <c r="E187" s="377" t="s">
        <v>152</v>
      </c>
      <c r="F187" s="72"/>
      <c r="G187" s="95" t="s">
        <v>24</v>
      </c>
      <c r="H187" s="74"/>
      <c r="I187" s="96"/>
      <c r="J187" s="96"/>
      <c r="K187" s="293"/>
      <c r="L187" s="294"/>
      <c r="M187" s="293">
        <f t="shared" si="12"/>
        <v>0</v>
      </c>
      <c r="N187" s="293"/>
      <c r="O187" s="82"/>
      <c r="P187" s="295"/>
      <c r="Q187" s="81"/>
      <c r="R187" s="80"/>
      <c r="S187" s="81">
        <f t="shared" si="13"/>
        <v>0</v>
      </c>
      <c r="T187" s="81"/>
      <c r="U187" s="8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89"/>
      <c r="C188" s="375"/>
      <c r="D188" s="375"/>
      <c r="E188" s="375"/>
      <c r="F188" s="220" t="s">
        <v>331</v>
      </c>
      <c r="G188" s="35" t="s">
        <v>25</v>
      </c>
      <c r="H188" s="106"/>
      <c r="I188" s="38"/>
      <c r="J188" s="38"/>
      <c r="K188" s="164"/>
      <c r="L188" s="165"/>
      <c r="M188" s="164">
        <f t="shared" si="12"/>
        <v>0</v>
      </c>
      <c r="N188" s="164"/>
      <c r="O188" s="41"/>
      <c r="P188" s="67">
        <v>4</v>
      </c>
      <c r="Q188" s="68">
        <v>19199.810000000001</v>
      </c>
      <c r="R188" s="285">
        <v>4</v>
      </c>
      <c r="S188" s="68">
        <v>19199.810000000001</v>
      </c>
      <c r="T188" s="68">
        <v>19199.810000000001</v>
      </c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153</v>
      </c>
      <c r="C189" s="374" t="s">
        <v>39</v>
      </c>
      <c r="D189" s="381" t="s">
        <v>332</v>
      </c>
      <c r="E189" s="381" t="s">
        <v>27</v>
      </c>
      <c r="F189" s="223" t="s">
        <v>333</v>
      </c>
      <c r="G189" s="47" t="s">
        <v>24</v>
      </c>
      <c r="H189" s="48">
        <v>20</v>
      </c>
      <c r="I189" s="203">
        <v>17</v>
      </c>
      <c r="J189" s="203">
        <v>22</v>
      </c>
      <c r="K189" s="242">
        <v>46447.49</v>
      </c>
      <c r="L189" s="320">
        <v>20</v>
      </c>
      <c r="M189" s="166">
        <f t="shared" si="12"/>
        <v>43798.25</v>
      </c>
      <c r="N189" s="242">
        <v>43798.25</v>
      </c>
      <c r="O189" s="225"/>
      <c r="P189" s="108">
        <v>6</v>
      </c>
      <c r="Q189" s="65">
        <v>34185.78</v>
      </c>
      <c r="R189" s="224">
        <v>6</v>
      </c>
      <c r="S189" s="50">
        <f t="shared" ref="S189:S208" si="14">T189+U189</f>
        <v>34185.78</v>
      </c>
      <c r="T189" s="65">
        <v>34185.78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75"/>
      <c r="D190" s="380"/>
      <c r="E190" s="380"/>
      <c r="F190" s="34"/>
      <c r="G190" s="35" t="s">
        <v>28</v>
      </c>
      <c r="H190" s="153">
        <v>1</v>
      </c>
      <c r="I190" s="130">
        <v>1</v>
      </c>
      <c r="J190" s="130">
        <v>1</v>
      </c>
      <c r="K190" s="114">
        <v>1152.5999999999999</v>
      </c>
      <c r="L190" s="270">
        <v>1</v>
      </c>
      <c r="M190" s="43">
        <f t="shared" si="12"/>
        <v>1152.5999999999999</v>
      </c>
      <c r="N190" s="43">
        <f>1152.6</f>
        <v>1152.5999999999999</v>
      </c>
      <c r="O190" s="41"/>
      <c r="P190" s="113">
        <v>3</v>
      </c>
      <c r="Q190" s="114">
        <v>19714.599999999999</v>
      </c>
      <c r="R190" s="270">
        <v>4</v>
      </c>
      <c r="S190" s="43">
        <f t="shared" si="14"/>
        <v>21635.599999999999</v>
      </c>
      <c r="T190" s="114">
        <f>1921+11718.1+5186.7+2809.8</f>
        <v>21635.599999999999</v>
      </c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155</v>
      </c>
      <c r="C191" s="374" t="s">
        <v>22</v>
      </c>
      <c r="D191" s="374"/>
      <c r="E191" s="374" t="s">
        <v>37</v>
      </c>
      <c r="F191" s="223" t="s">
        <v>245</v>
      </c>
      <c r="G191" s="23" t="s">
        <v>24</v>
      </c>
      <c r="H191" s="48">
        <v>5</v>
      </c>
      <c r="I191" s="62">
        <v>4</v>
      </c>
      <c r="J191" s="62">
        <v>4</v>
      </c>
      <c r="K191" s="30">
        <v>5891.75</v>
      </c>
      <c r="L191" s="205">
        <v>4</v>
      </c>
      <c r="M191" s="26">
        <f t="shared" si="12"/>
        <v>5891.75</v>
      </c>
      <c r="N191" s="30">
        <v>5891.75</v>
      </c>
      <c r="O191" s="31"/>
      <c r="P191" s="53">
        <v>7</v>
      </c>
      <c r="Q191" s="30">
        <v>16748.509999999998</v>
      </c>
      <c r="R191" s="205">
        <v>7</v>
      </c>
      <c r="S191" s="26">
        <f t="shared" si="14"/>
        <v>16748.509999999998</v>
      </c>
      <c r="T191" s="30">
        <v>16748.509999999998</v>
      </c>
      <c r="U191" s="225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105"/>
      <c r="G192" s="35" t="s">
        <v>28</v>
      </c>
      <c r="H192" s="116"/>
      <c r="I192" s="38"/>
      <c r="J192" s="38"/>
      <c r="K192" s="39"/>
      <c r="L192" s="40"/>
      <c r="M192" s="39">
        <f t="shared" si="12"/>
        <v>0</v>
      </c>
      <c r="N192" s="39"/>
      <c r="O192" s="41"/>
      <c r="P192" s="5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82"/>
      <c r="B193" s="381" t="s">
        <v>156</v>
      </c>
      <c r="C193" s="381" t="s">
        <v>46</v>
      </c>
      <c r="D193" s="385" t="s">
        <v>418</v>
      </c>
      <c r="E193" s="381" t="s">
        <v>27</v>
      </c>
      <c r="F193" s="223" t="s">
        <v>419</v>
      </c>
      <c r="G193" s="23" t="s">
        <v>24</v>
      </c>
      <c r="H193" s="98"/>
      <c r="I193" s="49"/>
      <c r="J193" s="49"/>
      <c r="K193" s="50"/>
      <c r="L193" s="51"/>
      <c r="M193" s="50">
        <f t="shared" si="12"/>
        <v>0</v>
      </c>
      <c r="N193" s="50"/>
      <c r="O193" s="31"/>
      <c r="P193" s="108">
        <v>2</v>
      </c>
      <c r="Q193" s="65">
        <v>14241.9</v>
      </c>
      <c r="R193" s="224">
        <v>2</v>
      </c>
      <c r="S193" s="50">
        <f t="shared" si="14"/>
        <v>14241.9</v>
      </c>
      <c r="T193" s="65">
        <v>14241.9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9"/>
      <c r="B194" s="380"/>
      <c r="C194" s="380"/>
      <c r="D194" s="380"/>
      <c r="E194" s="380"/>
      <c r="F194" s="54"/>
      <c r="G194" s="55" t="s">
        <v>28</v>
      </c>
      <c r="H194" s="118"/>
      <c r="I194" s="57"/>
      <c r="J194" s="57"/>
      <c r="K194" s="43"/>
      <c r="L194" s="44"/>
      <c r="M194" s="43">
        <f t="shared" si="12"/>
        <v>0</v>
      </c>
      <c r="N194" s="43"/>
      <c r="O194" s="41"/>
      <c r="P194" s="113">
        <v>1</v>
      </c>
      <c r="Q194" s="114">
        <v>0</v>
      </c>
      <c r="R194" s="44"/>
      <c r="S194" s="43">
        <f t="shared" si="14"/>
        <v>0</v>
      </c>
      <c r="T194" s="43"/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2"/>
      <c r="B195" s="374" t="s">
        <v>157</v>
      </c>
      <c r="C195" s="390"/>
      <c r="D195" s="374"/>
      <c r="E195" s="374"/>
      <c r="F195" s="22"/>
      <c r="G195" s="23" t="s">
        <v>24</v>
      </c>
      <c r="H195" s="104"/>
      <c r="I195" s="25"/>
      <c r="J195" s="25"/>
      <c r="K195" s="26"/>
      <c r="L195" s="27"/>
      <c r="M195" s="26">
        <f t="shared" si="12"/>
        <v>0</v>
      </c>
      <c r="N195" s="26"/>
      <c r="O195" s="31"/>
      <c r="P195" s="120"/>
      <c r="Q195" s="26"/>
      <c r="R195" s="27"/>
      <c r="S195" s="26">
        <f t="shared" si="14"/>
        <v>0</v>
      </c>
      <c r="T195" s="26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34"/>
      <c r="G196" s="35" t="s">
        <v>28</v>
      </c>
      <c r="H196" s="106"/>
      <c r="I196" s="38"/>
      <c r="J196" s="38"/>
      <c r="K196" s="39"/>
      <c r="L196" s="40"/>
      <c r="M196" s="39">
        <f t="shared" si="12"/>
        <v>0</v>
      </c>
      <c r="N196" s="39"/>
      <c r="O196" s="41"/>
      <c r="P196" s="69"/>
      <c r="Q196" s="39"/>
      <c r="R196" s="40"/>
      <c r="S196" s="39">
        <f t="shared" si="14"/>
        <v>0</v>
      </c>
      <c r="T196" s="39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158</v>
      </c>
      <c r="C197" s="374" t="s">
        <v>39</v>
      </c>
      <c r="D197" s="374" t="s">
        <v>288</v>
      </c>
      <c r="E197" s="374" t="s">
        <v>27</v>
      </c>
      <c r="F197" s="204" t="s">
        <v>289</v>
      </c>
      <c r="G197" s="176" t="s">
        <v>24</v>
      </c>
      <c r="H197" s="48">
        <v>10</v>
      </c>
      <c r="I197" s="203">
        <v>9</v>
      </c>
      <c r="J197" s="203">
        <v>10</v>
      </c>
      <c r="K197" s="65">
        <v>26045.17</v>
      </c>
      <c r="L197" s="224">
        <v>9</v>
      </c>
      <c r="M197" s="50">
        <f t="shared" si="12"/>
        <v>22982.49</v>
      </c>
      <c r="N197" s="65">
        <v>22982.49</v>
      </c>
      <c r="O197" s="225"/>
      <c r="P197" s="108">
        <v>10</v>
      </c>
      <c r="Q197" s="65">
        <v>22956.16</v>
      </c>
      <c r="R197" s="224">
        <v>9</v>
      </c>
      <c r="S197" s="50">
        <f t="shared" si="14"/>
        <v>21932.59</v>
      </c>
      <c r="T197" s="65">
        <v>21932.59</v>
      </c>
      <c r="U197" s="225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75"/>
      <c r="F198" s="220" t="s">
        <v>334</v>
      </c>
      <c r="G198" s="229" t="s">
        <v>28</v>
      </c>
      <c r="H198" s="117">
        <v>4</v>
      </c>
      <c r="I198" s="37">
        <v>4</v>
      </c>
      <c r="J198" s="37">
        <v>4</v>
      </c>
      <c r="K198" s="68">
        <v>5874.79</v>
      </c>
      <c r="L198" s="285">
        <v>3</v>
      </c>
      <c r="M198" s="39">
        <f t="shared" si="12"/>
        <v>4329.3999999999996</v>
      </c>
      <c r="N198" s="39">
        <f>1921+1204.2+1204.2</f>
        <v>4329.3999999999996</v>
      </c>
      <c r="O198" s="41"/>
      <c r="P198" s="59"/>
      <c r="Q198" s="39"/>
      <c r="R198" s="40"/>
      <c r="S198" s="39">
        <f t="shared" si="14"/>
        <v>1152.5999999999999</v>
      </c>
      <c r="T198" s="68">
        <v>1152.5999999999999</v>
      </c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6"/>
      <c r="B199" s="377" t="s">
        <v>159</v>
      </c>
      <c r="C199" s="377" t="s">
        <v>22</v>
      </c>
      <c r="D199" s="377"/>
      <c r="E199" s="377" t="s">
        <v>160</v>
      </c>
      <c r="F199" s="232" t="s">
        <v>246</v>
      </c>
      <c r="G199" s="95" t="s">
        <v>24</v>
      </c>
      <c r="H199" s="48">
        <v>18</v>
      </c>
      <c r="I199" s="203">
        <v>18</v>
      </c>
      <c r="J199" s="203">
        <v>27</v>
      </c>
      <c r="K199" s="65">
        <v>50695.82</v>
      </c>
      <c r="L199" s="224">
        <v>24</v>
      </c>
      <c r="M199" s="50">
        <f t="shared" si="12"/>
        <v>46779.08</v>
      </c>
      <c r="N199" s="65">
        <v>46779.08</v>
      </c>
      <c r="O199" s="225"/>
      <c r="P199" s="108">
        <v>27</v>
      </c>
      <c r="Q199" s="65">
        <v>43490.11</v>
      </c>
      <c r="R199" s="224">
        <v>26</v>
      </c>
      <c r="S199" s="50">
        <f t="shared" si="14"/>
        <v>42356.26</v>
      </c>
      <c r="T199" s="65">
        <v>42356.26</v>
      </c>
      <c r="U199" s="225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3"/>
      <c r="B200" s="375"/>
      <c r="C200" s="375"/>
      <c r="D200" s="375"/>
      <c r="E200" s="375"/>
      <c r="F200" s="54"/>
      <c r="G200" s="55" t="s">
        <v>28</v>
      </c>
      <c r="H200" s="112">
        <v>6</v>
      </c>
      <c r="I200" s="130">
        <v>2</v>
      </c>
      <c r="J200" s="130">
        <v>2</v>
      </c>
      <c r="K200" s="114">
        <v>2401.25</v>
      </c>
      <c r="L200" s="316">
        <v>2</v>
      </c>
      <c r="M200" s="50">
        <f t="shared" si="12"/>
        <v>2401.25</v>
      </c>
      <c r="N200" s="43">
        <f>1056.55+1344.7</f>
        <v>2401.25</v>
      </c>
      <c r="O200" s="41"/>
      <c r="P200" s="113">
        <v>3</v>
      </c>
      <c r="Q200" s="114">
        <v>5551.69</v>
      </c>
      <c r="R200" s="270">
        <v>3</v>
      </c>
      <c r="S200" s="43">
        <f t="shared" si="14"/>
        <v>5551.69</v>
      </c>
      <c r="T200" s="43">
        <f>5551.69</f>
        <v>5551.69</v>
      </c>
      <c r="U200" s="4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2"/>
      <c r="B201" s="374" t="s">
        <v>161</v>
      </c>
      <c r="C201" s="377" t="s">
        <v>22</v>
      </c>
      <c r="D201" s="374"/>
      <c r="E201" s="374" t="s">
        <v>450</v>
      </c>
      <c r="F201" s="204" t="s">
        <v>451</v>
      </c>
      <c r="G201" s="23" t="s">
        <v>24</v>
      </c>
      <c r="H201" s="24">
        <v>10</v>
      </c>
      <c r="I201" s="62">
        <v>1</v>
      </c>
      <c r="J201" s="62">
        <v>2</v>
      </c>
      <c r="K201" s="30">
        <v>3016.65</v>
      </c>
      <c r="L201" s="205">
        <v>2</v>
      </c>
      <c r="M201" s="26">
        <f t="shared" si="12"/>
        <v>3016.65</v>
      </c>
      <c r="N201" s="30">
        <v>3016.65</v>
      </c>
      <c r="O201" s="31"/>
      <c r="P201" s="53">
        <v>11</v>
      </c>
      <c r="Q201" s="30">
        <v>35207.21</v>
      </c>
      <c r="R201" s="205">
        <v>11</v>
      </c>
      <c r="S201" s="26">
        <f t="shared" si="14"/>
        <v>35207.21</v>
      </c>
      <c r="T201" s="30">
        <v>35207.21</v>
      </c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3"/>
      <c r="B202" s="375"/>
      <c r="C202" s="375"/>
      <c r="D202" s="375"/>
      <c r="E202" s="392"/>
      <c r="F202" s="34"/>
      <c r="G202" s="35" t="s">
        <v>28</v>
      </c>
      <c r="H202" s="66">
        <v>4</v>
      </c>
      <c r="I202" s="38"/>
      <c r="J202" s="38"/>
      <c r="K202" s="39"/>
      <c r="L202" s="40"/>
      <c r="M202" s="39">
        <f t="shared" si="12"/>
        <v>0</v>
      </c>
      <c r="N202" s="39"/>
      <c r="O202" s="41"/>
      <c r="P202" s="59"/>
      <c r="Q202" s="39"/>
      <c r="R202" s="40"/>
      <c r="S202" s="39">
        <f t="shared" si="14"/>
        <v>0</v>
      </c>
      <c r="T202" s="39"/>
      <c r="U202" s="4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82"/>
      <c r="B203" s="381" t="s">
        <v>162</v>
      </c>
      <c r="C203" s="381" t="s">
        <v>39</v>
      </c>
      <c r="D203" s="381" t="s">
        <v>163</v>
      </c>
      <c r="E203" s="374" t="s">
        <v>27</v>
      </c>
      <c r="F203" s="135"/>
      <c r="G203" s="47" t="s">
        <v>24</v>
      </c>
      <c r="H203" s="98"/>
      <c r="I203" s="49"/>
      <c r="J203" s="49"/>
      <c r="K203" s="50"/>
      <c r="L203" s="51"/>
      <c r="M203" s="50">
        <f t="shared" si="12"/>
        <v>0</v>
      </c>
      <c r="N203" s="50"/>
      <c r="O203" s="31"/>
      <c r="P203" s="123"/>
      <c r="Q203" s="50"/>
      <c r="R203" s="51"/>
      <c r="S203" s="50">
        <f t="shared" si="14"/>
        <v>0</v>
      </c>
      <c r="T203" s="50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7"/>
      <c r="B204" s="386"/>
      <c r="C204" s="386"/>
      <c r="D204" s="386"/>
      <c r="E204" s="386"/>
      <c r="F204" s="54"/>
      <c r="G204" s="47" t="s">
        <v>25</v>
      </c>
      <c r="H204" s="98"/>
      <c r="I204" s="49"/>
      <c r="J204" s="49"/>
      <c r="K204" s="50"/>
      <c r="L204" s="51"/>
      <c r="M204" s="50">
        <f t="shared" si="12"/>
        <v>0</v>
      </c>
      <c r="N204" s="50"/>
      <c r="O204" s="45"/>
      <c r="P204" s="123"/>
      <c r="Q204" s="50"/>
      <c r="R204" s="51"/>
      <c r="S204" s="50">
        <f t="shared" si="14"/>
        <v>0</v>
      </c>
      <c r="T204" s="50"/>
      <c r="U204" s="4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9"/>
      <c r="B205" s="380"/>
      <c r="C205" s="380"/>
      <c r="D205" s="380"/>
      <c r="E205" s="380"/>
      <c r="F205" s="54"/>
      <c r="G205" s="55" t="s">
        <v>28</v>
      </c>
      <c r="H205" s="116"/>
      <c r="I205" s="57"/>
      <c r="J205" s="57"/>
      <c r="K205" s="43"/>
      <c r="L205" s="44"/>
      <c r="M205" s="43">
        <f t="shared" si="12"/>
        <v>0</v>
      </c>
      <c r="N205" s="43"/>
      <c r="O205" s="41"/>
      <c r="P205" s="113">
        <v>1</v>
      </c>
      <c r="Q205" s="114">
        <v>4602.5</v>
      </c>
      <c r="R205" s="270">
        <v>1</v>
      </c>
      <c r="S205" s="43">
        <f t="shared" si="14"/>
        <v>4602.5</v>
      </c>
      <c r="T205" s="114">
        <v>4602.5</v>
      </c>
      <c r="U205" s="23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164</v>
      </c>
      <c r="C206" s="374" t="s">
        <v>22</v>
      </c>
      <c r="D206" s="374"/>
      <c r="E206" s="374" t="s">
        <v>27</v>
      </c>
      <c r="F206" s="22"/>
      <c r="G206" s="23" t="s">
        <v>24</v>
      </c>
      <c r="H206" s="98"/>
      <c r="I206" s="25"/>
      <c r="J206" s="25"/>
      <c r="K206" s="26"/>
      <c r="L206" s="27"/>
      <c r="M206" s="26">
        <f t="shared" si="12"/>
        <v>0</v>
      </c>
      <c r="N206" s="26"/>
      <c r="O206" s="31"/>
      <c r="P206" s="99"/>
      <c r="Q206" s="26"/>
      <c r="R206" s="27"/>
      <c r="S206" s="26">
        <f t="shared" si="14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1" t="s">
        <v>335</v>
      </c>
      <c r="G207" s="55" t="s">
        <v>28</v>
      </c>
      <c r="H207" s="56">
        <v>4</v>
      </c>
      <c r="I207" s="57"/>
      <c r="J207" s="57"/>
      <c r="K207" s="43"/>
      <c r="L207" s="44"/>
      <c r="M207" s="43">
        <f t="shared" si="12"/>
        <v>0</v>
      </c>
      <c r="N207" s="43"/>
      <c r="O207" s="41"/>
      <c r="P207" s="113">
        <v>4</v>
      </c>
      <c r="Q207" s="114">
        <v>7395.85</v>
      </c>
      <c r="R207" s="270">
        <v>5</v>
      </c>
      <c r="S207" s="43">
        <f t="shared" si="14"/>
        <v>8452.4000000000015</v>
      </c>
      <c r="T207" s="114">
        <f>4034.1+1921+2497.3</f>
        <v>8452.4000000000015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165</v>
      </c>
      <c r="C208" s="374"/>
      <c r="D208" s="374"/>
      <c r="E208" s="374"/>
      <c r="F208" s="22"/>
      <c r="G208" s="23" t="s">
        <v>24</v>
      </c>
      <c r="H208" s="119"/>
      <c r="I208" s="25"/>
      <c r="J208" s="25"/>
      <c r="K208" s="26"/>
      <c r="L208" s="27"/>
      <c r="M208" s="26">
        <f t="shared" si="12"/>
        <v>0</v>
      </c>
      <c r="N208" s="26"/>
      <c r="O208" s="31"/>
      <c r="P208" s="99"/>
      <c r="Q208" s="26"/>
      <c r="R208" s="27"/>
      <c r="S208" s="26">
        <f t="shared" si="14"/>
        <v>0</v>
      </c>
      <c r="T208" s="26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34"/>
      <c r="G209" s="35" t="s">
        <v>25</v>
      </c>
      <c r="H209" s="66">
        <v>2</v>
      </c>
      <c r="I209" s="38"/>
      <c r="J209" s="38"/>
      <c r="K209" s="39"/>
      <c r="L209" s="40"/>
      <c r="M209" s="39">
        <f t="shared" si="12"/>
        <v>0</v>
      </c>
      <c r="N209" s="39"/>
      <c r="O209" s="41"/>
      <c r="P209" s="115">
        <v>2</v>
      </c>
      <c r="Q209" s="68">
        <v>288.14999999999998</v>
      </c>
      <c r="R209" s="285">
        <v>1</v>
      </c>
      <c r="S209" s="68">
        <v>288.14999999999998</v>
      </c>
      <c r="T209" s="68">
        <v>288.14999999999998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454</v>
      </c>
      <c r="C210" s="377" t="s">
        <v>39</v>
      </c>
      <c r="D210" s="405" t="s">
        <v>455</v>
      </c>
      <c r="E210" s="381" t="s">
        <v>27</v>
      </c>
      <c r="F210" s="204" t="s">
        <v>467</v>
      </c>
      <c r="G210" s="23" t="s">
        <v>24</v>
      </c>
      <c r="H210" s="328"/>
      <c r="I210" s="71"/>
      <c r="J210" s="71"/>
      <c r="K210" s="93"/>
      <c r="L210" s="92"/>
      <c r="M210" s="26">
        <f t="shared" si="12"/>
        <v>0</v>
      </c>
      <c r="N210" s="93"/>
      <c r="O210" s="94"/>
      <c r="P210" s="329"/>
      <c r="Q210" s="91"/>
      <c r="R210" s="330"/>
      <c r="S210" s="26">
        <f t="shared" ref="S210:S226" si="15">T210+U210</f>
        <v>0</v>
      </c>
      <c r="T210" s="79"/>
      <c r="U210" s="336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406"/>
      <c r="E211" s="375"/>
      <c r="F211" s="220"/>
      <c r="G211" s="345" t="s">
        <v>28</v>
      </c>
      <c r="H211" s="346">
        <v>3</v>
      </c>
      <c r="I211" s="38"/>
      <c r="J211" s="38"/>
      <c r="K211" s="39"/>
      <c r="L211" s="40"/>
      <c r="M211" s="87">
        <f t="shared" si="12"/>
        <v>0</v>
      </c>
      <c r="N211" s="39"/>
      <c r="O211" s="41"/>
      <c r="P211" s="217"/>
      <c r="Q211" s="68"/>
      <c r="R211" s="285"/>
      <c r="S211" s="87">
        <f t="shared" si="15"/>
        <v>0</v>
      </c>
      <c r="T211" s="339"/>
      <c r="U211" s="34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82"/>
      <c r="B212" s="381" t="s">
        <v>166</v>
      </c>
      <c r="C212" s="381" t="s">
        <v>22</v>
      </c>
      <c r="D212" s="377"/>
      <c r="E212" s="381" t="s">
        <v>27</v>
      </c>
      <c r="F212" s="232" t="s">
        <v>420</v>
      </c>
      <c r="G212" s="347" t="s">
        <v>24</v>
      </c>
      <c r="H212" s="348">
        <v>1</v>
      </c>
      <c r="I212" s="96"/>
      <c r="J212" s="96"/>
      <c r="K212" s="81"/>
      <c r="L212" s="80"/>
      <c r="M212" s="81">
        <f t="shared" si="12"/>
        <v>0</v>
      </c>
      <c r="N212" s="81"/>
      <c r="O212" s="82"/>
      <c r="P212" s="78">
        <v>4</v>
      </c>
      <c r="Q212" s="79">
        <v>17868.150000000001</v>
      </c>
      <c r="R212" s="268">
        <v>4</v>
      </c>
      <c r="S212" s="81">
        <f t="shared" si="15"/>
        <v>17868.150000000001</v>
      </c>
      <c r="T212" s="79">
        <v>17868.150000000001</v>
      </c>
      <c r="U212" s="26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6"/>
      <c r="G213" s="227" t="s">
        <v>28</v>
      </c>
      <c r="H213" s="334"/>
      <c r="I213" s="57"/>
      <c r="J213" s="57"/>
      <c r="K213" s="43"/>
      <c r="L213" s="44"/>
      <c r="M213" s="43">
        <f t="shared" si="12"/>
        <v>0</v>
      </c>
      <c r="N213" s="43"/>
      <c r="O213" s="45"/>
      <c r="P213" s="273"/>
      <c r="Q213" s="211"/>
      <c r="R213" s="210"/>
      <c r="S213" s="211">
        <f t="shared" si="15"/>
        <v>0</v>
      </c>
      <c r="T213" s="211"/>
      <c r="U213" s="21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167</v>
      </c>
      <c r="C214" s="374" t="s">
        <v>46</v>
      </c>
      <c r="D214" s="374" t="s">
        <v>168</v>
      </c>
      <c r="E214" s="374" t="s">
        <v>27</v>
      </c>
      <c r="F214" s="204" t="s">
        <v>421</v>
      </c>
      <c r="G214" s="176" t="s">
        <v>24</v>
      </c>
      <c r="H214" s="248">
        <v>4</v>
      </c>
      <c r="I214" s="62">
        <v>3</v>
      </c>
      <c r="J214" s="62">
        <v>3</v>
      </c>
      <c r="K214" s="30">
        <v>2022.81</v>
      </c>
      <c r="L214" s="205">
        <v>3</v>
      </c>
      <c r="M214" s="26">
        <f t="shared" si="12"/>
        <v>2022.81</v>
      </c>
      <c r="N214" s="30">
        <v>2022.81</v>
      </c>
      <c r="O214" s="308"/>
      <c r="P214" s="99"/>
      <c r="Q214" s="26"/>
      <c r="R214" s="27"/>
      <c r="S214" s="26">
        <f t="shared" si="15"/>
        <v>0</v>
      </c>
      <c r="T214" s="26"/>
      <c r="U214" s="28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247</v>
      </c>
      <c r="G215" s="229" t="s">
        <v>28</v>
      </c>
      <c r="H215" s="258">
        <v>6</v>
      </c>
      <c r="I215" s="37">
        <v>4</v>
      </c>
      <c r="J215" s="37">
        <v>4</v>
      </c>
      <c r="K215" s="68">
        <v>9389.9500000000007</v>
      </c>
      <c r="L215" s="285">
        <v>4</v>
      </c>
      <c r="M215" s="39">
        <f t="shared" si="12"/>
        <v>17899.98</v>
      </c>
      <c r="N215" s="39">
        <f>1985.09+7101.24+2689.4+4418.3+1705.95</f>
        <v>17899.98</v>
      </c>
      <c r="O215" s="309"/>
      <c r="P215" s="310">
        <v>6</v>
      </c>
      <c r="Q215" s="245">
        <v>28151.200000000001</v>
      </c>
      <c r="R215" s="285">
        <v>6</v>
      </c>
      <c r="S215" s="39">
        <f t="shared" si="15"/>
        <v>19124.87</v>
      </c>
      <c r="T215" s="68">
        <f>4034.1+1152.6+2881.5+2497.3+1921+6638.37</f>
        <v>19124.87</v>
      </c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6"/>
      <c r="B216" s="377" t="s">
        <v>169</v>
      </c>
      <c r="C216" s="377" t="s">
        <v>39</v>
      </c>
      <c r="D216" s="377"/>
      <c r="E216" s="377" t="s">
        <v>27</v>
      </c>
      <c r="F216" s="72"/>
      <c r="G216" s="291" t="s">
        <v>24</v>
      </c>
      <c r="H216" s="98"/>
      <c r="I216" s="49"/>
      <c r="J216" s="49"/>
      <c r="K216" s="50"/>
      <c r="L216" s="51"/>
      <c r="M216" s="50">
        <f t="shared" si="12"/>
        <v>0</v>
      </c>
      <c r="N216" s="50"/>
      <c r="O216" s="31"/>
      <c r="P216" s="277"/>
      <c r="Q216" s="81"/>
      <c r="R216" s="80"/>
      <c r="S216" s="81">
        <f t="shared" si="15"/>
        <v>0</v>
      </c>
      <c r="T216" s="81"/>
      <c r="U216" s="219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336</v>
      </c>
      <c r="G217" s="229" t="s">
        <v>28</v>
      </c>
      <c r="H217" s="153">
        <v>3</v>
      </c>
      <c r="I217" s="57"/>
      <c r="J217" s="57"/>
      <c r="K217" s="43"/>
      <c r="L217" s="44"/>
      <c r="M217" s="43">
        <f t="shared" si="12"/>
        <v>0</v>
      </c>
      <c r="N217" s="43"/>
      <c r="O217" s="41"/>
      <c r="P217" s="113">
        <v>1</v>
      </c>
      <c r="Q217" s="114">
        <v>3842</v>
      </c>
      <c r="R217" s="316">
        <v>1</v>
      </c>
      <c r="S217" s="50">
        <f t="shared" si="15"/>
        <v>3842</v>
      </c>
      <c r="T217" s="43">
        <f>3842</f>
        <v>3842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170</v>
      </c>
      <c r="C218" s="374" t="s">
        <v>22</v>
      </c>
      <c r="D218" s="374"/>
      <c r="E218" s="374" t="s">
        <v>160</v>
      </c>
      <c r="F218" s="232" t="s">
        <v>248</v>
      </c>
      <c r="G218" s="23" t="s">
        <v>24</v>
      </c>
      <c r="H218" s="48">
        <v>16</v>
      </c>
      <c r="I218" s="62">
        <v>14</v>
      </c>
      <c r="J218" s="62">
        <v>21</v>
      </c>
      <c r="K218" s="30">
        <v>48232.13</v>
      </c>
      <c r="L218" s="205">
        <v>21</v>
      </c>
      <c r="M218" s="26">
        <f t="shared" si="12"/>
        <v>48232.13</v>
      </c>
      <c r="N218" s="30">
        <v>48232.13</v>
      </c>
      <c r="O218" s="225"/>
      <c r="P218" s="53">
        <v>20</v>
      </c>
      <c r="Q218" s="30">
        <v>64727.57</v>
      </c>
      <c r="R218" s="205">
        <v>20</v>
      </c>
      <c r="S218" s="26">
        <f t="shared" si="15"/>
        <v>64727.57</v>
      </c>
      <c r="T218" s="30">
        <v>64727.57</v>
      </c>
      <c r="U218" s="225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105"/>
      <c r="G219" s="35" t="s">
        <v>28</v>
      </c>
      <c r="H219" s="116"/>
      <c r="I219" s="38"/>
      <c r="J219" s="38"/>
      <c r="K219" s="39"/>
      <c r="L219" s="40"/>
      <c r="M219" s="39">
        <f t="shared" si="12"/>
        <v>0</v>
      </c>
      <c r="N219" s="39"/>
      <c r="O219" s="41"/>
      <c r="P219" s="59"/>
      <c r="Q219" s="39"/>
      <c r="R219" s="40"/>
      <c r="S219" s="39">
        <f t="shared" si="15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171</v>
      </c>
      <c r="C220" s="374" t="s">
        <v>39</v>
      </c>
      <c r="D220" s="374" t="s">
        <v>374</v>
      </c>
      <c r="E220" s="374" t="s">
        <v>27</v>
      </c>
      <c r="F220" s="223" t="s">
        <v>375</v>
      </c>
      <c r="G220" s="176" t="s">
        <v>24</v>
      </c>
      <c r="H220" s="48">
        <v>4</v>
      </c>
      <c r="I220" s="203">
        <v>2</v>
      </c>
      <c r="J220" s="203">
        <v>2</v>
      </c>
      <c r="K220" s="65">
        <v>3169.65</v>
      </c>
      <c r="L220" s="224">
        <v>2</v>
      </c>
      <c r="M220" s="50">
        <f t="shared" si="12"/>
        <v>3169.65</v>
      </c>
      <c r="N220" s="65">
        <v>3169.65</v>
      </c>
      <c r="O220" s="31"/>
      <c r="P220" s="108">
        <v>6</v>
      </c>
      <c r="Q220" s="65">
        <v>16741.060000000001</v>
      </c>
      <c r="R220" s="224">
        <v>6</v>
      </c>
      <c r="S220" s="50">
        <f t="shared" si="15"/>
        <v>16741.060000000001</v>
      </c>
      <c r="T220" s="65">
        <v>16741.060000000001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337</v>
      </c>
      <c r="G221" s="229" t="s">
        <v>28</v>
      </c>
      <c r="H221" s="133">
        <v>3</v>
      </c>
      <c r="I221" s="130">
        <v>1</v>
      </c>
      <c r="J221" s="130">
        <v>1</v>
      </c>
      <c r="K221" s="114">
        <v>3457.8</v>
      </c>
      <c r="L221" s="316">
        <v>1</v>
      </c>
      <c r="M221" s="50">
        <f t="shared" si="12"/>
        <v>3457.8</v>
      </c>
      <c r="N221" s="43">
        <f>3457.8</f>
        <v>3457.8</v>
      </c>
      <c r="O221" s="41"/>
      <c r="P221" s="113">
        <v>2</v>
      </c>
      <c r="Q221" s="114">
        <v>7299.8</v>
      </c>
      <c r="R221" s="270">
        <v>2</v>
      </c>
      <c r="S221" s="43">
        <f t="shared" si="15"/>
        <v>7299.7999999999993</v>
      </c>
      <c r="T221" s="43">
        <f>3073.6+4226.2</f>
        <v>7299.7999999999993</v>
      </c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172</v>
      </c>
      <c r="C222" s="374" t="s">
        <v>39</v>
      </c>
      <c r="D222" s="374" t="s">
        <v>303</v>
      </c>
      <c r="E222" s="374" t="s">
        <v>121</v>
      </c>
      <c r="F222" s="204" t="s">
        <v>304</v>
      </c>
      <c r="G222" s="176" t="s">
        <v>24</v>
      </c>
      <c r="H222" s="48">
        <v>23</v>
      </c>
      <c r="I222" s="62">
        <v>10</v>
      </c>
      <c r="J222" s="62">
        <v>11</v>
      </c>
      <c r="K222" s="30">
        <v>9906.6299999999992</v>
      </c>
      <c r="L222" s="205">
        <v>10</v>
      </c>
      <c r="M222" s="26">
        <f t="shared" si="12"/>
        <v>7339.68</v>
      </c>
      <c r="N222" s="30">
        <v>7339.68</v>
      </c>
      <c r="O222" s="225"/>
      <c r="P222" s="53">
        <v>28</v>
      </c>
      <c r="Q222" s="30">
        <v>74352.649999999994</v>
      </c>
      <c r="R222" s="205">
        <v>26</v>
      </c>
      <c r="S222" s="26">
        <f t="shared" si="15"/>
        <v>73507.41</v>
      </c>
      <c r="T222" s="30">
        <v>73507.41</v>
      </c>
      <c r="U222" s="30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34"/>
      <c r="G223" s="229" t="s">
        <v>25</v>
      </c>
      <c r="H223" s="102"/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1</v>
      </c>
      <c r="Q223" s="114">
        <v>1728.9</v>
      </c>
      <c r="R223" s="270">
        <v>1</v>
      </c>
      <c r="S223" s="43">
        <f t="shared" si="15"/>
        <v>1728.9</v>
      </c>
      <c r="T223" s="114">
        <v>1728.9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173</v>
      </c>
      <c r="C224" s="374" t="s">
        <v>39</v>
      </c>
      <c r="D224" s="374" t="s">
        <v>338</v>
      </c>
      <c r="E224" s="374" t="s">
        <v>121</v>
      </c>
      <c r="F224" s="232" t="s">
        <v>376</v>
      </c>
      <c r="G224" s="23" t="s">
        <v>24</v>
      </c>
      <c r="H224" s="61">
        <v>36</v>
      </c>
      <c r="I224" s="25"/>
      <c r="J224" s="25"/>
      <c r="K224" s="26"/>
      <c r="L224" s="27"/>
      <c r="M224" s="26">
        <f t="shared" si="12"/>
        <v>0</v>
      </c>
      <c r="N224" s="26"/>
      <c r="O224" s="31"/>
      <c r="P224" s="53">
        <v>6</v>
      </c>
      <c r="Q224" s="30">
        <v>5292.88</v>
      </c>
      <c r="R224" s="205">
        <v>5</v>
      </c>
      <c r="S224" s="26">
        <f t="shared" si="15"/>
        <v>4887.8599999999997</v>
      </c>
      <c r="T224" s="30">
        <v>4887.8599999999997</v>
      </c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339</v>
      </c>
      <c r="G225" s="35" t="s">
        <v>25</v>
      </c>
      <c r="H225" s="117">
        <v>12</v>
      </c>
      <c r="I225" s="37">
        <v>1</v>
      </c>
      <c r="J225" s="37">
        <v>1</v>
      </c>
      <c r="K225" s="68">
        <v>1152.5999999999999</v>
      </c>
      <c r="L225" s="285">
        <v>1</v>
      </c>
      <c r="M225" s="39">
        <f t="shared" si="12"/>
        <v>1152.5999999999999</v>
      </c>
      <c r="N225" s="68">
        <v>1152.5999999999999</v>
      </c>
      <c r="O225" s="234"/>
      <c r="P225" s="115">
        <v>2</v>
      </c>
      <c r="Q225" s="68">
        <v>4942.5</v>
      </c>
      <c r="R225" s="285">
        <v>2</v>
      </c>
      <c r="S225" s="39">
        <f t="shared" si="15"/>
        <v>4942.5</v>
      </c>
      <c r="T225" s="68">
        <v>4942.5</v>
      </c>
      <c r="U225" s="23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174</v>
      </c>
      <c r="C226" s="374" t="s">
        <v>39</v>
      </c>
      <c r="D226" s="374" t="s">
        <v>175</v>
      </c>
      <c r="E226" s="374" t="s">
        <v>176</v>
      </c>
      <c r="F226" s="204" t="s">
        <v>377</v>
      </c>
      <c r="G226" s="176" t="s">
        <v>24</v>
      </c>
      <c r="H226" s="48">
        <v>15</v>
      </c>
      <c r="I226" s="203">
        <v>13</v>
      </c>
      <c r="J226" s="203">
        <v>14</v>
      </c>
      <c r="K226" s="65">
        <v>24081.66</v>
      </c>
      <c r="L226" s="224">
        <v>11</v>
      </c>
      <c r="M226" s="50">
        <f t="shared" si="12"/>
        <v>20832.330000000002</v>
      </c>
      <c r="N226" s="65">
        <v>20832.330000000002</v>
      </c>
      <c r="O226" s="225"/>
      <c r="P226" s="108">
        <v>18</v>
      </c>
      <c r="Q226" s="65">
        <v>56598.95</v>
      </c>
      <c r="R226" s="224">
        <v>18</v>
      </c>
      <c r="S226" s="50">
        <f t="shared" si="15"/>
        <v>56598.95</v>
      </c>
      <c r="T226" s="65">
        <v>56598.95</v>
      </c>
      <c r="U226" s="225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340</v>
      </c>
      <c r="G227" s="229" t="s">
        <v>25</v>
      </c>
      <c r="H227" s="153">
        <v>2</v>
      </c>
      <c r="I227" s="130">
        <v>2</v>
      </c>
      <c r="J227" s="130">
        <v>2</v>
      </c>
      <c r="K227" s="114">
        <v>11239.2</v>
      </c>
      <c r="L227" s="44"/>
      <c r="M227" s="43">
        <f t="shared" si="12"/>
        <v>0</v>
      </c>
      <c r="N227" s="43"/>
      <c r="O227" s="41"/>
      <c r="P227" s="113">
        <v>10</v>
      </c>
      <c r="Q227" s="114">
        <v>46701.760000000002</v>
      </c>
      <c r="R227" s="270">
        <v>9</v>
      </c>
      <c r="S227" s="114">
        <v>44675.6</v>
      </c>
      <c r="T227" s="114">
        <v>44675.6</v>
      </c>
      <c r="U227" s="23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177</v>
      </c>
      <c r="C228" s="377" t="s">
        <v>39</v>
      </c>
      <c r="D228" s="374" t="s">
        <v>226</v>
      </c>
      <c r="E228" s="374" t="s">
        <v>27</v>
      </c>
      <c r="F228" s="204" t="s">
        <v>227</v>
      </c>
      <c r="G228" s="23" t="s">
        <v>24</v>
      </c>
      <c r="H228" s="48">
        <v>5</v>
      </c>
      <c r="I228" s="62">
        <v>3</v>
      </c>
      <c r="J228" s="62">
        <v>3</v>
      </c>
      <c r="K228" s="30">
        <v>1969.94</v>
      </c>
      <c r="L228" s="205">
        <v>3</v>
      </c>
      <c r="M228" s="26">
        <f t="shared" si="12"/>
        <v>1969.94</v>
      </c>
      <c r="N228" s="30">
        <v>1969.94</v>
      </c>
      <c r="O228" s="225"/>
      <c r="P228" s="53">
        <v>16</v>
      </c>
      <c r="Q228" s="30">
        <v>53460.74</v>
      </c>
      <c r="R228" s="205">
        <v>16</v>
      </c>
      <c r="S228" s="26">
        <f t="shared" ref="S228:S231" si="16">T228+U228</f>
        <v>53460.74</v>
      </c>
      <c r="T228" s="30">
        <v>53460.74</v>
      </c>
      <c r="U228" s="225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80"/>
      <c r="D229" s="375"/>
      <c r="E229" s="375"/>
      <c r="F229" s="105"/>
      <c r="G229" s="55" t="s">
        <v>28</v>
      </c>
      <c r="H229" s="118"/>
      <c r="I229" s="57"/>
      <c r="J229" s="57"/>
      <c r="K229" s="43"/>
      <c r="L229" s="44"/>
      <c r="M229" s="43">
        <f t="shared" si="12"/>
        <v>0</v>
      </c>
      <c r="N229" s="43"/>
      <c r="O229" s="41"/>
      <c r="P229" s="103"/>
      <c r="Q229" s="43"/>
      <c r="R229" s="44"/>
      <c r="S229" s="43">
        <f t="shared" si="16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178</v>
      </c>
      <c r="C230" s="374" t="s">
        <v>22</v>
      </c>
      <c r="D230" s="374"/>
      <c r="E230" s="374" t="s">
        <v>27</v>
      </c>
      <c r="F230" s="232" t="s">
        <v>452</v>
      </c>
      <c r="G230" s="176" t="s">
        <v>24</v>
      </c>
      <c r="H230" s="61">
        <v>5</v>
      </c>
      <c r="I230" s="62">
        <v>3</v>
      </c>
      <c r="J230" s="62">
        <v>3</v>
      </c>
      <c r="K230" s="30">
        <v>3497.67</v>
      </c>
      <c r="L230" s="205">
        <v>2</v>
      </c>
      <c r="M230" s="26">
        <f t="shared" si="12"/>
        <v>2387.8000000000002</v>
      </c>
      <c r="N230" s="30">
        <v>2387.8000000000002</v>
      </c>
      <c r="O230" s="31"/>
      <c r="P230" s="29">
        <v>1</v>
      </c>
      <c r="Q230" s="30">
        <v>2466.56</v>
      </c>
      <c r="R230" s="205">
        <v>1</v>
      </c>
      <c r="S230" s="26">
        <f t="shared" si="16"/>
        <v>2466.56</v>
      </c>
      <c r="T230" s="30">
        <v>2466.56</v>
      </c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52" t="s">
        <v>28</v>
      </c>
      <c r="H231" s="106"/>
      <c r="I231" s="38"/>
      <c r="J231" s="38"/>
      <c r="K231" s="39"/>
      <c r="L231" s="40"/>
      <c r="M231" s="39">
        <f t="shared" si="12"/>
        <v>0</v>
      </c>
      <c r="N231" s="39"/>
      <c r="O231" s="41"/>
      <c r="P231" s="69"/>
      <c r="Q231" s="39"/>
      <c r="R231" s="40"/>
      <c r="S231" s="39">
        <f t="shared" si="16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445</v>
      </c>
      <c r="C232" s="374"/>
      <c r="D232" s="374"/>
      <c r="E232" s="374"/>
      <c r="F232" s="72"/>
      <c r="G232" s="176" t="s">
        <v>24</v>
      </c>
      <c r="H232" s="265"/>
      <c r="I232" s="266"/>
      <c r="J232" s="96"/>
      <c r="K232" s="81"/>
      <c r="L232" s="80"/>
      <c r="M232" s="81"/>
      <c r="N232" s="81"/>
      <c r="O232" s="82"/>
      <c r="P232" s="295"/>
      <c r="Q232" s="81"/>
      <c r="R232" s="80"/>
      <c r="S232" s="81"/>
      <c r="T232" s="81"/>
      <c r="U232" s="8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6"/>
      <c r="G233" s="252" t="s">
        <v>28</v>
      </c>
      <c r="H233" s="302">
        <v>1</v>
      </c>
      <c r="I233" s="261"/>
      <c r="J233" s="261"/>
      <c r="K233" s="211"/>
      <c r="L233" s="210"/>
      <c r="M233" s="211"/>
      <c r="N233" s="211"/>
      <c r="O233" s="212"/>
      <c r="P233" s="284"/>
      <c r="Q233" s="211"/>
      <c r="R233" s="210"/>
      <c r="S233" s="211"/>
      <c r="T233" s="211"/>
      <c r="U233" s="21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179</v>
      </c>
      <c r="C234" s="374"/>
      <c r="D234" s="374"/>
      <c r="E234" s="374" t="s">
        <v>27</v>
      </c>
      <c r="F234" s="22"/>
      <c r="G234" s="176" t="s">
        <v>24</v>
      </c>
      <c r="H234" s="61">
        <v>2</v>
      </c>
      <c r="I234" s="25"/>
      <c r="J234" s="25"/>
      <c r="K234" s="26"/>
      <c r="L234" s="27"/>
      <c r="M234" s="26">
        <f t="shared" ref="M234:M252" si="17">N234+O234</f>
        <v>0</v>
      </c>
      <c r="N234" s="26"/>
      <c r="O234" s="28"/>
      <c r="P234" s="120"/>
      <c r="Q234" s="26"/>
      <c r="R234" s="27"/>
      <c r="S234" s="26">
        <f t="shared" ref="S234:S252" si="18">T234+U234</f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105"/>
      <c r="G235" s="229" t="s">
        <v>28</v>
      </c>
      <c r="H235" s="298"/>
      <c r="I235" s="261"/>
      <c r="J235" s="261"/>
      <c r="K235" s="211"/>
      <c r="L235" s="210"/>
      <c r="M235" s="211">
        <f t="shared" si="17"/>
        <v>0</v>
      </c>
      <c r="N235" s="211"/>
      <c r="O235" s="212"/>
      <c r="P235" s="284"/>
      <c r="Q235" s="211"/>
      <c r="R235" s="210"/>
      <c r="S235" s="211">
        <f t="shared" si="18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378</v>
      </c>
      <c r="C236" s="374" t="s">
        <v>46</v>
      </c>
      <c r="D236" s="374" t="s">
        <v>422</v>
      </c>
      <c r="E236" s="374" t="s">
        <v>27</v>
      </c>
      <c r="F236" s="232" t="s">
        <v>423</v>
      </c>
      <c r="G236" s="213" t="s">
        <v>24</v>
      </c>
      <c r="H236" s="61">
        <v>12</v>
      </c>
      <c r="I236" s="62">
        <v>7</v>
      </c>
      <c r="J236" s="62">
        <v>8</v>
      </c>
      <c r="K236" s="30">
        <v>8606.68</v>
      </c>
      <c r="L236" s="205">
        <v>8</v>
      </c>
      <c r="M236" s="26">
        <f t="shared" si="17"/>
        <v>8606.68</v>
      </c>
      <c r="N236" s="30">
        <v>8606.68</v>
      </c>
      <c r="O236" s="28"/>
      <c r="P236" s="214"/>
      <c r="Q236" s="30"/>
      <c r="R236" s="205"/>
      <c r="S236" s="26">
        <f t="shared" si="18"/>
        <v>0</v>
      </c>
      <c r="T236" s="30"/>
      <c r="U236" s="2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/>
      <c r="G237" s="215" t="s">
        <v>28</v>
      </c>
      <c r="H237" s="117">
        <v>5</v>
      </c>
      <c r="I237" s="37">
        <v>1</v>
      </c>
      <c r="J237" s="37">
        <v>1</v>
      </c>
      <c r="K237" s="68">
        <v>1152.5999999999999</v>
      </c>
      <c r="L237" s="285">
        <v>1</v>
      </c>
      <c r="M237" s="39">
        <f t="shared" si="17"/>
        <v>1152.5999999999999</v>
      </c>
      <c r="N237" s="39">
        <f>1152.6</f>
        <v>1152.5999999999999</v>
      </c>
      <c r="O237" s="41"/>
      <c r="P237" s="217"/>
      <c r="Q237" s="68"/>
      <c r="R237" s="285"/>
      <c r="S237" s="39">
        <f t="shared" si="18"/>
        <v>0</v>
      </c>
      <c r="T237" s="68"/>
      <c r="U237" s="23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6"/>
      <c r="B238" s="377" t="s">
        <v>180</v>
      </c>
      <c r="C238" s="377" t="s">
        <v>46</v>
      </c>
      <c r="D238" s="377" t="s">
        <v>181</v>
      </c>
      <c r="E238" s="377" t="s">
        <v>27</v>
      </c>
      <c r="F238" s="232" t="s">
        <v>228</v>
      </c>
      <c r="G238" s="95" t="s">
        <v>24</v>
      </c>
      <c r="H238" s="265">
        <v>13</v>
      </c>
      <c r="I238" s="266">
        <v>7</v>
      </c>
      <c r="J238" s="266">
        <v>8</v>
      </c>
      <c r="K238" s="79">
        <v>5763.01</v>
      </c>
      <c r="L238" s="268">
        <v>8</v>
      </c>
      <c r="M238" s="81">
        <f t="shared" si="17"/>
        <v>5763.01</v>
      </c>
      <c r="N238" s="79">
        <v>5763.01</v>
      </c>
      <c r="O238" s="219"/>
      <c r="P238" s="267">
        <v>14</v>
      </c>
      <c r="Q238" s="79">
        <v>65943.149999999994</v>
      </c>
      <c r="R238" s="268">
        <v>14</v>
      </c>
      <c r="S238" s="26">
        <f t="shared" si="18"/>
        <v>65943.149999999994</v>
      </c>
      <c r="T238" s="79">
        <v>65943.149999999994</v>
      </c>
      <c r="U238" s="26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9"/>
      <c r="B239" s="380"/>
      <c r="C239" s="380"/>
      <c r="D239" s="380"/>
      <c r="E239" s="380"/>
      <c r="F239" s="54"/>
      <c r="G239" s="55" t="s">
        <v>28</v>
      </c>
      <c r="H239" s="116"/>
      <c r="I239" s="57"/>
      <c r="J239" s="57"/>
      <c r="K239" s="43"/>
      <c r="L239" s="128"/>
      <c r="M239" s="50">
        <f t="shared" si="17"/>
        <v>0</v>
      </c>
      <c r="N239" s="43"/>
      <c r="O239" s="41"/>
      <c r="P239" s="113">
        <v>3</v>
      </c>
      <c r="Q239" s="114">
        <v>15175.95</v>
      </c>
      <c r="R239" s="270">
        <v>3</v>
      </c>
      <c r="S239" s="43">
        <f t="shared" si="18"/>
        <v>2881.5499999999997</v>
      </c>
      <c r="T239" s="114">
        <f>2209.2+672.35</f>
        <v>2881.5499999999997</v>
      </c>
      <c r="U239" s="45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182</v>
      </c>
      <c r="C240" s="374" t="s">
        <v>46</v>
      </c>
      <c r="D240" s="374" t="s">
        <v>181</v>
      </c>
      <c r="E240" s="374" t="s">
        <v>27</v>
      </c>
      <c r="F240" s="204" t="s">
        <v>379</v>
      </c>
      <c r="G240" s="23" t="s">
        <v>24</v>
      </c>
      <c r="H240" s="48">
        <v>17</v>
      </c>
      <c r="I240" s="62">
        <v>16</v>
      </c>
      <c r="J240" s="62">
        <v>18</v>
      </c>
      <c r="K240" s="30">
        <v>24999.53</v>
      </c>
      <c r="L240" s="205">
        <v>18</v>
      </c>
      <c r="M240" s="26">
        <f t="shared" si="17"/>
        <v>24999.53</v>
      </c>
      <c r="N240" s="30">
        <v>24999.53</v>
      </c>
      <c r="O240" s="31"/>
      <c r="P240" s="53">
        <v>11</v>
      </c>
      <c r="Q240" s="30">
        <v>66117.05</v>
      </c>
      <c r="R240" s="205">
        <v>10</v>
      </c>
      <c r="S240" s="26">
        <f t="shared" si="18"/>
        <v>58580.480000000003</v>
      </c>
      <c r="T240" s="30">
        <v>58580.480000000003</v>
      </c>
      <c r="U240" s="100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35" t="s">
        <v>28</v>
      </c>
      <c r="H241" s="116"/>
      <c r="I241" s="38"/>
      <c r="J241" s="38"/>
      <c r="K241" s="39"/>
      <c r="L241" s="40"/>
      <c r="M241" s="39">
        <f t="shared" si="17"/>
        <v>0</v>
      </c>
      <c r="N241" s="39"/>
      <c r="O241" s="41"/>
      <c r="P241" s="115">
        <v>2</v>
      </c>
      <c r="Q241" s="68">
        <v>4418.3</v>
      </c>
      <c r="R241" s="285">
        <v>1</v>
      </c>
      <c r="S241" s="39">
        <f t="shared" si="18"/>
        <v>3073.6</v>
      </c>
      <c r="T241" s="39">
        <f>3073.6</f>
        <v>3073.6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82"/>
      <c r="B242" s="381" t="s">
        <v>183</v>
      </c>
      <c r="C242" s="381" t="s">
        <v>22</v>
      </c>
      <c r="D242" s="381"/>
      <c r="E242" s="381" t="s">
        <v>99</v>
      </c>
      <c r="F242" s="223" t="s">
        <v>380</v>
      </c>
      <c r="G242" s="23" t="s">
        <v>24</v>
      </c>
      <c r="H242" s="48">
        <v>9</v>
      </c>
      <c r="I242" s="203">
        <v>4</v>
      </c>
      <c r="J242" s="203">
        <v>5</v>
      </c>
      <c r="K242" s="65">
        <v>6598</v>
      </c>
      <c r="L242" s="224">
        <v>2</v>
      </c>
      <c r="M242" s="50">
        <f t="shared" si="17"/>
        <v>2320.1799999999998</v>
      </c>
      <c r="N242" s="65">
        <v>2320.1799999999998</v>
      </c>
      <c r="O242" s="31"/>
      <c r="P242" s="108">
        <v>12</v>
      </c>
      <c r="Q242" s="65">
        <v>23530.12</v>
      </c>
      <c r="R242" s="224">
        <v>11</v>
      </c>
      <c r="S242" s="50">
        <f t="shared" si="18"/>
        <v>20748.419999999998</v>
      </c>
      <c r="T242" s="65">
        <v>20748.419999999998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252</v>
      </c>
      <c r="G243" s="227" t="s">
        <v>28</v>
      </c>
      <c r="H243" s="292">
        <v>7</v>
      </c>
      <c r="I243" s="208">
        <v>1</v>
      </c>
      <c r="J243" s="208">
        <v>1</v>
      </c>
      <c r="K243" s="209">
        <v>3073.6</v>
      </c>
      <c r="L243" s="290">
        <v>2</v>
      </c>
      <c r="M243" s="211">
        <f t="shared" si="17"/>
        <v>4879.8999999999996</v>
      </c>
      <c r="N243" s="211">
        <f>1806.3+3073.6</f>
        <v>4879.8999999999996</v>
      </c>
      <c r="O243" s="212"/>
      <c r="P243" s="262">
        <v>3</v>
      </c>
      <c r="Q243" s="209">
        <v>7185.1</v>
      </c>
      <c r="R243" s="290">
        <v>2</v>
      </c>
      <c r="S243" s="211">
        <f t="shared" si="18"/>
        <v>5378.8</v>
      </c>
      <c r="T243" s="211">
        <f>4034.1+1344.7</f>
        <v>5378.8</v>
      </c>
      <c r="U243" s="21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425</v>
      </c>
      <c r="C244" s="374" t="s">
        <v>22</v>
      </c>
      <c r="D244" s="374"/>
      <c r="E244" s="374" t="s">
        <v>131</v>
      </c>
      <c r="F244" s="204" t="s">
        <v>426</v>
      </c>
      <c r="G244" s="176" t="s">
        <v>24</v>
      </c>
      <c r="H244" s="61">
        <v>7</v>
      </c>
      <c r="I244" s="62">
        <v>5</v>
      </c>
      <c r="J244" s="62">
        <v>5</v>
      </c>
      <c r="K244" s="30">
        <v>8440.4</v>
      </c>
      <c r="L244" s="205">
        <v>2</v>
      </c>
      <c r="M244" s="26">
        <f t="shared" si="17"/>
        <v>3486.32</v>
      </c>
      <c r="N244" s="30">
        <v>3486.32</v>
      </c>
      <c r="O244" s="28"/>
      <c r="P244" s="275"/>
      <c r="Q244" s="26"/>
      <c r="R244" s="27"/>
      <c r="S244" s="26">
        <f t="shared" si="18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3"/>
      <c r="B245" s="375"/>
      <c r="C245" s="375"/>
      <c r="D245" s="375"/>
      <c r="E245" s="375"/>
      <c r="F245" s="34"/>
      <c r="G245" s="229" t="s">
        <v>25</v>
      </c>
      <c r="H245" s="106"/>
      <c r="I245" s="38"/>
      <c r="J245" s="38"/>
      <c r="K245" s="39"/>
      <c r="L245" s="40"/>
      <c r="M245" s="39">
        <f t="shared" si="17"/>
        <v>0</v>
      </c>
      <c r="N245" s="39"/>
      <c r="O245" s="41"/>
      <c r="P245" s="276"/>
      <c r="Q245" s="39"/>
      <c r="R245" s="40"/>
      <c r="S245" s="39">
        <f t="shared" si="18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6"/>
      <c r="B246" s="377" t="s">
        <v>184</v>
      </c>
      <c r="C246" s="377" t="s">
        <v>22</v>
      </c>
      <c r="D246" s="377"/>
      <c r="E246" s="377" t="s">
        <v>27</v>
      </c>
      <c r="F246" s="223" t="s">
        <v>453</v>
      </c>
      <c r="G246" s="95" t="s">
        <v>24</v>
      </c>
      <c r="H246" s="265">
        <v>2</v>
      </c>
      <c r="I246" s="266">
        <v>2</v>
      </c>
      <c r="J246" s="266">
        <v>2</v>
      </c>
      <c r="K246" s="79">
        <v>3158.6</v>
      </c>
      <c r="L246" s="268">
        <v>2</v>
      </c>
      <c r="M246" s="81">
        <f t="shared" si="17"/>
        <v>3158.6</v>
      </c>
      <c r="N246" s="79">
        <v>3158.6</v>
      </c>
      <c r="O246" s="219"/>
      <c r="P246" s="277"/>
      <c r="Q246" s="81"/>
      <c r="R246" s="80"/>
      <c r="S246" s="81">
        <f t="shared" si="18"/>
        <v>0</v>
      </c>
      <c r="T246" s="81"/>
      <c r="U246" s="219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9"/>
      <c r="B247" s="380"/>
      <c r="C247" s="380"/>
      <c r="D247" s="380"/>
      <c r="E247" s="380"/>
      <c r="F247" s="233" t="s">
        <v>253</v>
      </c>
      <c r="G247" s="227" t="s">
        <v>28</v>
      </c>
      <c r="H247" s="153">
        <v>4</v>
      </c>
      <c r="I247" s="130">
        <v>3</v>
      </c>
      <c r="J247" s="130">
        <v>3</v>
      </c>
      <c r="K247" s="114">
        <v>8675.82</v>
      </c>
      <c r="L247" s="270">
        <v>3</v>
      </c>
      <c r="M247" s="43">
        <f t="shared" si="17"/>
        <v>9275.82</v>
      </c>
      <c r="N247" s="43">
        <f>1921+3380.96+3973.86</f>
        <v>9275.82</v>
      </c>
      <c r="O247" s="41"/>
      <c r="P247" s="113">
        <v>5</v>
      </c>
      <c r="Q247" s="114">
        <v>10565.5</v>
      </c>
      <c r="R247" s="270">
        <v>4</v>
      </c>
      <c r="S247" s="43">
        <f t="shared" si="18"/>
        <v>9989.2000000000007</v>
      </c>
      <c r="T247" s="114">
        <f>2958.34+3457.8+1267.86+2305.2</f>
        <v>9989.2000000000007</v>
      </c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2"/>
      <c r="B248" s="374" t="s">
        <v>185</v>
      </c>
      <c r="C248" s="374" t="s">
        <v>22</v>
      </c>
      <c r="D248" s="374"/>
      <c r="E248" s="374" t="s">
        <v>27</v>
      </c>
      <c r="F248" s="204" t="s">
        <v>341</v>
      </c>
      <c r="G248" s="176" t="s">
        <v>24</v>
      </c>
      <c r="H248" s="98"/>
      <c r="I248" s="25"/>
      <c r="J248" s="25"/>
      <c r="K248" s="26"/>
      <c r="L248" s="27"/>
      <c r="M248" s="26">
        <f t="shared" si="17"/>
        <v>0</v>
      </c>
      <c r="N248" s="26"/>
      <c r="O248" s="31"/>
      <c r="P248" s="53">
        <v>2</v>
      </c>
      <c r="Q248" s="30">
        <v>2633.4</v>
      </c>
      <c r="R248" s="205">
        <v>2</v>
      </c>
      <c r="S248" s="26">
        <f t="shared" si="18"/>
        <v>2633.4</v>
      </c>
      <c r="T248" s="30">
        <v>2633.4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342</v>
      </c>
      <c r="G249" s="229" t="s">
        <v>28</v>
      </c>
      <c r="H249" s="133">
        <v>3</v>
      </c>
      <c r="I249" s="57"/>
      <c r="J249" s="57"/>
      <c r="K249" s="43"/>
      <c r="L249" s="44"/>
      <c r="M249" s="43">
        <f t="shared" si="17"/>
        <v>0</v>
      </c>
      <c r="N249" s="43"/>
      <c r="O249" s="41"/>
      <c r="P249" s="113">
        <v>3</v>
      </c>
      <c r="Q249" s="114">
        <v>15773.67</v>
      </c>
      <c r="R249" s="270">
        <v>2</v>
      </c>
      <c r="S249" s="43">
        <f t="shared" si="18"/>
        <v>4198.67</v>
      </c>
      <c r="T249" s="43">
        <f>2994.47+1204.2</f>
        <v>4198.67</v>
      </c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186</v>
      </c>
      <c r="C250" s="374" t="s">
        <v>22</v>
      </c>
      <c r="D250" s="374"/>
      <c r="E250" s="374" t="s">
        <v>99</v>
      </c>
      <c r="F250" s="232" t="s">
        <v>315</v>
      </c>
      <c r="G250" s="23" t="s">
        <v>24</v>
      </c>
      <c r="H250" s="48">
        <v>8</v>
      </c>
      <c r="I250" s="62">
        <v>5</v>
      </c>
      <c r="J250" s="62">
        <v>7</v>
      </c>
      <c r="K250" s="30">
        <v>17012.53</v>
      </c>
      <c r="L250" s="205">
        <v>7</v>
      </c>
      <c r="M250" s="26">
        <f t="shared" si="17"/>
        <v>17012.53</v>
      </c>
      <c r="N250" s="30">
        <v>17012.53</v>
      </c>
      <c r="O250" s="31"/>
      <c r="P250" s="53">
        <v>12</v>
      </c>
      <c r="Q250" s="30">
        <v>25258.31</v>
      </c>
      <c r="R250" s="205">
        <v>12</v>
      </c>
      <c r="S250" s="26">
        <f t="shared" si="18"/>
        <v>25258.31</v>
      </c>
      <c r="T250" s="30">
        <v>25258.31</v>
      </c>
      <c r="U250" s="225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254</v>
      </c>
      <c r="G251" s="35" t="s">
        <v>28</v>
      </c>
      <c r="H251" s="153">
        <v>8</v>
      </c>
      <c r="I251" s="38"/>
      <c r="J251" s="38"/>
      <c r="K251" s="39"/>
      <c r="L251" s="40"/>
      <c r="M251" s="39">
        <f t="shared" si="17"/>
        <v>0</v>
      </c>
      <c r="N251" s="39"/>
      <c r="O251" s="41"/>
      <c r="P251" s="59"/>
      <c r="Q251" s="39"/>
      <c r="R251" s="40"/>
      <c r="S251" s="39">
        <f t="shared" si="18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187</v>
      </c>
      <c r="C252" s="381" t="s">
        <v>22</v>
      </c>
      <c r="D252" s="381"/>
      <c r="E252" s="381" t="s">
        <v>131</v>
      </c>
      <c r="F252" s="223" t="s">
        <v>343</v>
      </c>
      <c r="G252" s="23" t="s">
        <v>24</v>
      </c>
      <c r="H252" s="48">
        <v>13</v>
      </c>
      <c r="I252" s="203">
        <v>12</v>
      </c>
      <c r="J252" s="203">
        <v>17</v>
      </c>
      <c r="K252" s="65">
        <v>33407.07</v>
      </c>
      <c r="L252" s="224">
        <v>17</v>
      </c>
      <c r="M252" s="50">
        <f t="shared" si="17"/>
        <v>33407.07</v>
      </c>
      <c r="N252" s="65">
        <v>33407.07</v>
      </c>
      <c r="O252" s="225"/>
      <c r="P252" s="108">
        <v>18</v>
      </c>
      <c r="Q252" s="65">
        <v>50634.13</v>
      </c>
      <c r="R252" s="224">
        <v>18</v>
      </c>
      <c r="S252" s="50">
        <f t="shared" si="18"/>
        <v>50634.13</v>
      </c>
      <c r="T252" s="65">
        <v>50634.13</v>
      </c>
      <c r="U252" s="225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9"/>
      <c r="B253" s="380"/>
      <c r="C253" s="380"/>
      <c r="D253" s="380"/>
      <c r="E253" s="380"/>
      <c r="F253" s="247"/>
      <c r="G253" s="227" t="s">
        <v>25</v>
      </c>
      <c r="H253" s="153">
        <v>2</v>
      </c>
      <c r="I253" s="130">
        <v>1</v>
      </c>
      <c r="J253" s="130">
        <v>1</v>
      </c>
      <c r="K253" s="114">
        <v>1728.9</v>
      </c>
      <c r="L253" s="270">
        <v>1</v>
      </c>
      <c r="M253" s="114">
        <v>1728.9</v>
      </c>
      <c r="N253" s="114">
        <v>1728.9</v>
      </c>
      <c r="O253" s="41"/>
      <c r="P253" s="113">
        <v>4</v>
      </c>
      <c r="Q253" s="114">
        <v>30582.32</v>
      </c>
      <c r="R253" s="270">
        <v>4</v>
      </c>
      <c r="S253" s="114">
        <v>30582.32</v>
      </c>
      <c r="T253" s="114">
        <v>30582.32</v>
      </c>
      <c r="U253" s="2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429</v>
      </c>
      <c r="C254" s="374" t="s">
        <v>22</v>
      </c>
      <c r="D254" s="374"/>
      <c r="E254" s="374" t="s">
        <v>27</v>
      </c>
      <c r="F254" s="204" t="s">
        <v>446</v>
      </c>
      <c r="G254" s="176" t="s">
        <v>24</v>
      </c>
      <c r="H254" s="151"/>
      <c r="I254" s="25"/>
      <c r="J254" s="25"/>
      <c r="K254" s="26"/>
      <c r="L254" s="27"/>
      <c r="M254" s="26">
        <f t="shared" ref="M254:M287" si="19">N254+O254</f>
        <v>0</v>
      </c>
      <c r="N254" s="30"/>
      <c r="O254" s="31"/>
      <c r="P254" s="53">
        <v>1</v>
      </c>
      <c r="Q254" s="30">
        <v>36784.050000000003</v>
      </c>
      <c r="R254" s="205">
        <v>1</v>
      </c>
      <c r="S254" s="26">
        <f t="shared" ref="S254:S280" si="20">T254+U254</f>
        <v>36784.050000000003</v>
      </c>
      <c r="T254" s="30">
        <v>36784.050000000003</v>
      </c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/>
      <c r="G255" s="229" t="s">
        <v>28</v>
      </c>
      <c r="H255" s="133"/>
      <c r="I255" s="57"/>
      <c r="J255" s="57"/>
      <c r="K255" s="43"/>
      <c r="L255" s="44"/>
      <c r="M255" s="43">
        <f t="shared" si="19"/>
        <v>0</v>
      </c>
      <c r="N255" s="43"/>
      <c r="O255" s="41"/>
      <c r="P255" s="113"/>
      <c r="Q255" s="114"/>
      <c r="R255" s="44"/>
      <c r="S255" s="43">
        <f t="shared" si="20"/>
        <v>0</v>
      </c>
      <c r="T255" s="114"/>
      <c r="U255" s="2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188</v>
      </c>
      <c r="C256" s="374" t="s">
        <v>39</v>
      </c>
      <c r="D256" s="374"/>
      <c r="E256" s="374" t="s">
        <v>27</v>
      </c>
      <c r="F256" s="22"/>
      <c r="G256" s="176" t="s">
        <v>24</v>
      </c>
      <c r="H256" s="281">
        <v>2</v>
      </c>
      <c r="I256" s="25"/>
      <c r="J256" s="25"/>
      <c r="K256" s="26"/>
      <c r="L256" s="27"/>
      <c r="M256" s="26">
        <f t="shared" si="19"/>
        <v>0</v>
      </c>
      <c r="N256" s="26"/>
      <c r="O256" s="219"/>
      <c r="P256" s="53">
        <v>1</v>
      </c>
      <c r="Q256" s="30">
        <v>2000</v>
      </c>
      <c r="R256" s="27"/>
      <c r="S256" s="26">
        <f t="shared" si="20"/>
        <v>0</v>
      </c>
      <c r="T256" s="26"/>
      <c r="U256" s="219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20.25" customHeight="1">
      <c r="A257" s="373"/>
      <c r="B257" s="375"/>
      <c r="C257" s="375"/>
      <c r="D257" s="375"/>
      <c r="E257" s="375"/>
      <c r="F257" s="220" t="s">
        <v>344</v>
      </c>
      <c r="G257" s="229" t="s">
        <v>28</v>
      </c>
      <c r="H257" s="56">
        <v>3</v>
      </c>
      <c r="I257" s="130">
        <v>1</v>
      </c>
      <c r="J257" s="130">
        <v>1</v>
      </c>
      <c r="K257" s="114">
        <v>1052.5999999999999</v>
      </c>
      <c r="L257" s="44"/>
      <c r="M257" s="43">
        <f t="shared" si="19"/>
        <v>0</v>
      </c>
      <c r="N257" s="43"/>
      <c r="O257" s="222">
        <v>0</v>
      </c>
      <c r="P257" s="113">
        <v>13</v>
      </c>
      <c r="Q257" s="114">
        <v>15160.1</v>
      </c>
      <c r="R257" s="44"/>
      <c r="S257" s="43">
        <f t="shared" si="20"/>
        <v>4050.2</v>
      </c>
      <c r="T257" s="114">
        <v>4050.2</v>
      </c>
      <c r="U257" s="222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189</v>
      </c>
      <c r="C258" s="374" t="s">
        <v>39</v>
      </c>
      <c r="D258" s="374" t="s">
        <v>427</v>
      </c>
      <c r="E258" s="374" t="s">
        <v>27</v>
      </c>
      <c r="F258" s="232" t="s">
        <v>428</v>
      </c>
      <c r="G258" s="23" t="s">
        <v>24</v>
      </c>
      <c r="H258" s="24">
        <v>16</v>
      </c>
      <c r="I258" s="62">
        <v>12</v>
      </c>
      <c r="J258" s="62">
        <v>16</v>
      </c>
      <c r="K258" s="30">
        <v>30275.46</v>
      </c>
      <c r="L258" s="205">
        <v>16</v>
      </c>
      <c r="M258" s="26">
        <f t="shared" si="19"/>
        <v>30275.46</v>
      </c>
      <c r="N258" s="30">
        <v>30275.46</v>
      </c>
      <c r="O258" s="241"/>
      <c r="P258" s="29">
        <v>2</v>
      </c>
      <c r="Q258" s="30">
        <v>1870.81</v>
      </c>
      <c r="R258" s="205">
        <v>2</v>
      </c>
      <c r="S258" s="26">
        <f t="shared" si="20"/>
        <v>1870.81</v>
      </c>
      <c r="T258" s="30">
        <v>1870.81</v>
      </c>
      <c r="U258" s="2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256</v>
      </c>
      <c r="G259" s="35" t="s">
        <v>28</v>
      </c>
      <c r="H259" s="66">
        <v>4</v>
      </c>
      <c r="I259" s="37">
        <v>1</v>
      </c>
      <c r="J259" s="37">
        <v>1</v>
      </c>
      <c r="K259" s="68">
        <v>1921</v>
      </c>
      <c r="L259" s="285">
        <v>1</v>
      </c>
      <c r="M259" s="39">
        <f t="shared" si="19"/>
        <v>1921</v>
      </c>
      <c r="N259" s="39">
        <f>1921</f>
        <v>1921</v>
      </c>
      <c r="O259" s="41"/>
      <c r="P259" s="69"/>
      <c r="Q259" s="39"/>
      <c r="R259" s="40"/>
      <c r="S259" s="39">
        <f t="shared" si="20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190</v>
      </c>
      <c r="C260" s="381" t="s">
        <v>39</v>
      </c>
      <c r="D260" s="381" t="s">
        <v>191</v>
      </c>
      <c r="E260" s="381" t="s">
        <v>27</v>
      </c>
      <c r="F260" s="46"/>
      <c r="G260" s="47" t="s">
        <v>24</v>
      </c>
      <c r="H260" s="98"/>
      <c r="I260" s="49"/>
      <c r="J260" s="49"/>
      <c r="K260" s="50"/>
      <c r="L260" s="51"/>
      <c r="M260" s="50">
        <f t="shared" si="19"/>
        <v>0</v>
      </c>
      <c r="N260" s="50"/>
      <c r="O260" s="31"/>
      <c r="P260" s="123"/>
      <c r="Q260" s="50"/>
      <c r="R260" s="51"/>
      <c r="S260" s="50">
        <f t="shared" si="20"/>
        <v>0</v>
      </c>
      <c r="T260" s="50"/>
      <c r="U260" s="3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345</v>
      </c>
      <c r="G261" s="35" t="s">
        <v>28</v>
      </c>
      <c r="H261" s="112">
        <v>2</v>
      </c>
      <c r="I261" s="57"/>
      <c r="J261" s="57"/>
      <c r="K261" s="43"/>
      <c r="L261" s="44"/>
      <c r="M261" s="43">
        <f t="shared" si="19"/>
        <v>0</v>
      </c>
      <c r="N261" s="43"/>
      <c r="O261" s="45"/>
      <c r="P261" s="115">
        <v>4</v>
      </c>
      <c r="Q261" s="68">
        <v>5106.7</v>
      </c>
      <c r="R261" s="285">
        <v>5</v>
      </c>
      <c r="S261" s="39">
        <f t="shared" si="20"/>
        <v>6739.58</v>
      </c>
      <c r="T261" s="68">
        <f>3818+2921.58</f>
        <v>6739.58</v>
      </c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192</v>
      </c>
      <c r="C262" s="374" t="s">
        <v>22</v>
      </c>
      <c r="D262" s="374"/>
      <c r="E262" s="374" t="s">
        <v>193</v>
      </c>
      <c r="F262" s="204" t="s">
        <v>318</v>
      </c>
      <c r="G262" s="176" t="s">
        <v>24</v>
      </c>
      <c r="H262" s="61">
        <v>17</v>
      </c>
      <c r="I262" s="62">
        <v>16</v>
      </c>
      <c r="J262" s="62">
        <v>17</v>
      </c>
      <c r="K262" s="30">
        <v>18277.259999999998</v>
      </c>
      <c r="L262" s="205">
        <v>10</v>
      </c>
      <c r="M262" s="26">
        <f t="shared" si="19"/>
        <v>12465.79</v>
      </c>
      <c r="N262" s="30">
        <v>12465.79</v>
      </c>
      <c r="O262" s="100"/>
      <c r="P262" s="64">
        <v>21</v>
      </c>
      <c r="Q262" s="65">
        <v>54954.61</v>
      </c>
      <c r="R262" s="224">
        <v>20</v>
      </c>
      <c r="S262" s="50">
        <f t="shared" si="20"/>
        <v>52584.43</v>
      </c>
      <c r="T262" s="65">
        <v>52584.43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346</v>
      </c>
      <c r="G263" s="229" t="s">
        <v>28</v>
      </c>
      <c r="H263" s="133">
        <v>1</v>
      </c>
      <c r="I263" s="37">
        <v>1</v>
      </c>
      <c r="J263" s="37">
        <v>1</v>
      </c>
      <c r="K263" s="68">
        <v>1728.9</v>
      </c>
      <c r="L263" s="285">
        <v>1</v>
      </c>
      <c r="M263" s="39">
        <f t="shared" si="19"/>
        <v>1728.9</v>
      </c>
      <c r="N263" s="39">
        <f>1728.9</f>
        <v>1728.9</v>
      </c>
      <c r="O263" s="41"/>
      <c r="P263" s="42"/>
      <c r="Q263" s="43"/>
      <c r="R263" s="44"/>
      <c r="S263" s="43">
        <f t="shared" si="20"/>
        <v>0</v>
      </c>
      <c r="T263" s="43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194</v>
      </c>
      <c r="C264" s="377" t="s">
        <v>39</v>
      </c>
      <c r="D264" s="377" t="s">
        <v>319</v>
      </c>
      <c r="E264" s="374" t="s">
        <v>160</v>
      </c>
      <c r="F264" s="232" t="s">
        <v>320</v>
      </c>
      <c r="G264" s="23" t="s">
        <v>24</v>
      </c>
      <c r="H264" s="48">
        <v>5</v>
      </c>
      <c r="I264" s="203">
        <v>5</v>
      </c>
      <c r="J264" s="203">
        <v>5</v>
      </c>
      <c r="K264" s="65">
        <v>5617.57</v>
      </c>
      <c r="L264" s="316">
        <v>4</v>
      </c>
      <c r="M264" s="129">
        <f t="shared" si="19"/>
        <v>2968.33</v>
      </c>
      <c r="N264" s="65">
        <v>2968.33</v>
      </c>
      <c r="O264" s="225"/>
      <c r="P264" s="29">
        <v>3</v>
      </c>
      <c r="Q264" s="30">
        <v>6107.21</v>
      </c>
      <c r="R264" s="205">
        <v>3</v>
      </c>
      <c r="S264" s="26">
        <f t="shared" si="20"/>
        <v>6107.21</v>
      </c>
      <c r="T264" s="30">
        <v>6107.21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347</v>
      </c>
      <c r="G265" s="35" t="s">
        <v>28</v>
      </c>
      <c r="H265" s="117">
        <v>4</v>
      </c>
      <c r="I265" s="37"/>
      <c r="J265" s="37"/>
      <c r="K265" s="39"/>
      <c r="L265" s="44"/>
      <c r="M265" s="43">
        <f t="shared" si="19"/>
        <v>0</v>
      </c>
      <c r="N265" s="39"/>
      <c r="O265" s="41"/>
      <c r="P265" s="37">
        <v>8</v>
      </c>
      <c r="Q265" s="37">
        <v>21038.49</v>
      </c>
      <c r="R265" s="285">
        <v>4</v>
      </c>
      <c r="S265" s="39">
        <f t="shared" si="20"/>
        <v>8529.17</v>
      </c>
      <c r="T265" s="68">
        <f>576.3+4045.34+3273.6+633.93</f>
        <v>8529.17</v>
      </c>
      <c r="U265" s="2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195</v>
      </c>
      <c r="C266" s="377" t="s">
        <v>39</v>
      </c>
      <c r="D266" s="377" t="s">
        <v>231</v>
      </c>
      <c r="E266" s="381" t="s">
        <v>27</v>
      </c>
      <c r="F266" s="204" t="s">
        <v>232</v>
      </c>
      <c r="G266" s="47" t="s">
        <v>24</v>
      </c>
      <c r="H266" s="61">
        <v>2</v>
      </c>
      <c r="I266" s="25"/>
      <c r="J266" s="25"/>
      <c r="K266" s="26"/>
      <c r="L266" s="205"/>
      <c r="M266" s="26">
        <f t="shared" si="19"/>
        <v>0</v>
      </c>
      <c r="N266" s="26"/>
      <c r="O266" s="31"/>
      <c r="P266" s="64">
        <v>7</v>
      </c>
      <c r="Q266" s="65">
        <v>46859.35</v>
      </c>
      <c r="R266" s="224">
        <v>7</v>
      </c>
      <c r="S266" s="50">
        <f t="shared" si="20"/>
        <v>46859.35</v>
      </c>
      <c r="T266" s="65">
        <v>46859.35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1" t="s">
        <v>260</v>
      </c>
      <c r="G267" s="55" t="s">
        <v>28</v>
      </c>
      <c r="H267" s="178">
        <v>6</v>
      </c>
      <c r="I267" s="130">
        <v>3</v>
      </c>
      <c r="J267" s="130">
        <v>3</v>
      </c>
      <c r="K267" s="114">
        <v>8620.94</v>
      </c>
      <c r="L267" s="270">
        <v>2</v>
      </c>
      <c r="M267" s="43">
        <f t="shared" si="19"/>
        <v>1997.84</v>
      </c>
      <c r="N267" s="43">
        <f>1152.6+845.24</f>
        <v>1997.84</v>
      </c>
      <c r="O267" s="222"/>
      <c r="P267" s="130">
        <v>7</v>
      </c>
      <c r="Q267" s="130">
        <v>24706.45</v>
      </c>
      <c r="R267" s="270">
        <v>10</v>
      </c>
      <c r="S267" s="43">
        <f t="shared" si="20"/>
        <v>34770.1</v>
      </c>
      <c r="T267" s="114">
        <f>4994.6+12678.6+576.3+6915.6+6915.6+576.3+2113.1</f>
        <v>34770.1</v>
      </c>
      <c r="U267" s="222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196</v>
      </c>
      <c r="C268" s="381" t="s">
        <v>22</v>
      </c>
      <c r="D268" s="374"/>
      <c r="E268" s="381" t="s">
        <v>27</v>
      </c>
      <c r="F268" s="22"/>
      <c r="G268" s="23" t="s">
        <v>24</v>
      </c>
      <c r="H268" s="119"/>
      <c r="I268" s="25"/>
      <c r="J268" s="25"/>
      <c r="K268" s="26"/>
      <c r="L268" s="27"/>
      <c r="M268" s="26">
        <f t="shared" si="19"/>
        <v>0</v>
      </c>
      <c r="N268" s="26"/>
      <c r="O268" s="28"/>
      <c r="P268" s="120"/>
      <c r="Q268" s="26"/>
      <c r="R268" s="27"/>
      <c r="S268" s="26">
        <f t="shared" si="20"/>
        <v>0</v>
      </c>
      <c r="T268" s="26"/>
      <c r="U268" s="28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348</v>
      </c>
      <c r="G269" s="35" t="s">
        <v>28</v>
      </c>
      <c r="H269" s="66">
        <v>5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67">
        <v>4</v>
      </c>
      <c r="Q269" s="68">
        <v>11282.42</v>
      </c>
      <c r="R269" s="285">
        <v>4</v>
      </c>
      <c r="S269" s="39">
        <f t="shared" si="20"/>
        <v>11576</v>
      </c>
      <c r="T269" s="39">
        <f>2547.3+4226.2+2881.5+1921</f>
        <v>11576</v>
      </c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197</v>
      </c>
      <c r="C270" s="381" t="s">
        <v>39</v>
      </c>
      <c r="D270" s="381" t="s">
        <v>381</v>
      </c>
      <c r="E270" s="381" t="s">
        <v>27</v>
      </c>
      <c r="F270" s="204" t="s">
        <v>382</v>
      </c>
      <c r="G270" s="47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08">
        <v>1</v>
      </c>
      <c r="Q270" s="65">
        <v>748.24</v>
      </c>
      <c r="R270" s="224">
        <v>1</v>
      </c>
      <c r="S270" s="50">
        <f t="shared" si="20"/>
        <v>748.24</v>
      </c>
      <c r="T270" s="65">
        <v>748.24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221" t="s">
        <v>349</v>
      </c>
      <c r="G271" s="55" t="s">
        <v>28</v>
      </c>
      <c r="H271" s="153">
        <v>4</v>
      </c>
      <c r="I271" s="130">
        <v>2</v>
      </c>
      <c r="J271" s="130">
        <v>2</v>
      </c>
      <c r="K271" s="114">
        <v>3265.7</v>
      </c>
      <c r="L271" s="270">
        <v>2</v>
      </c>
      <c r="M271" s="43">
        <f t="shared" si="19"/>
        <v>2977.55</v>
      </c>
      <c r="N271" s="43">
        <f>1056.55+1921</f>
        <v>2977.55</v>
      </c>
      <c r="O271" s="41"/>
      <c r="P271" s="103"/>
      <c r="Q271" s="43"/>
      <c r="R271" s="270">
        <v>2</v>
      </c>
      <c r="S271" s="43">
        <f t="shared" si="20"/>
        <v>3765.16</v>
      </c>
      <c r="T271" s="114">
        <f>1440.75+2324.41</f>
        <v>3765.16</v>
      </c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198</v>
      </c>
      <c r="C272" s="374" t="s">
        <v>39</v>
      </c>
      <c r="D272" s="374" t="s">
        <v>469</v>
      </c>
      <c r="E272" s="374" t="s">
        <v>112</v>
      </c>
      <c r="F272" s="204" t="s">
        <v>470</v>
      </c>
      <c r="G272" s="23" t="s">
        <v>24</v>
      </c>
      <c r="H272" s="48">
        <v>10</v>
      </c>
      <c r="I272" s="62">
        <v>9</v>
      </c>
      <c r="J272" s="62">
        <v>9</v>
      </c>
      <c r="K272" s="30">
        <v>9703.07</v>
      </c>
      <c r="L272" s="205">
        <v>4</v>
      </c>
      <c r="M272" s="26">
        <f t="shared" si="19"/>
        <v>2486.73</v>
      </c>
      <c r="N272" s="30">
        <v>2486.73</v>
      </c>
      <c r="O272" s="31"/>
      <c r="P272" s="53">
        <v>13</v>
      </c>
      <c r="Q272" s="30">
        <v>48930.55</v>
      </c>
      <c r="R272" s="205">
        <v>11</v>
      </c>
      <c r="S272" s="26">
        <f t="shared" si="20"/>
        <v>44151.34</v>
      </c>
      <c r="T272" s="30">
        <v>44151.34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 t="s">
        <v>350</v>
      </c>
      <c r="G273" s="35" t="s">
        <v>28</v>
      </c>
      <c r="H273" s="153">
        <v>2</v>
      </c>
      <c r="I273" s="37">
        <v>1</v>
      </c>
      <c r="J273" s="37">
        <v>1</v>
      </c>
      <c r="K273" s="68">
        <v>602.1</v>
      </c>
      <c r="L273" s="40"/>
      <c r="M273" s="39">
        <f t="shared" si="19"/>
        <v>0</v>
      </c>
      <c r="N273" s="39"/>
      <c r="O273" s="41"/>
      <c r="P273" s="59"/>
      <c r="Q273" s="39"/>
      <c r="R273" s="40"/>
      <c r="S273" s="39">
        <f t="shared" si="20"/>
        <v>0</v>
      </c>
      <c r="T273" s="39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199</v>
      </c>
      <c r="C274" s="381" t="s">
        <v>22</v>
      </c>
      <c r="D274" s="381"/>
      <c r="E274" s="381" t="s">
        <v>131</v>
      </c>
      <c r="F274" s="46"/>
      <c r="G274" s="23" t="s">
        <v>24</v>
      </c>
      <c r="H274" s="98"/>
      <c r="I274" s="49"/>
      <c r="J274" s="49"/>
      <c r="K274" s="50"/>
      <c r="L274" s="51"/>
      <c r="M274" s="50">
        <f t="shared" si="19"/>
        <v>0</v>
      </c>
      <c r="N274" s="50"/>
      <c r="O274" s="31"/>
      <c r="P274" s="123"/>
      <c r="Q274" s="50"/>
      <c r="R274" s="51"/>
      <c r="S274" s="50">
        <f t="shared" si="20"/>
        <v>0</v>
      </c>
      <c r="T274" s="50"/>
      <c r="U274" s="3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9"/>
      <c r="B275" s="380"/>
      <c r="C275" s="380"/>
      <c r="D275" s="380"/>
      <c r="E275" s="380"/>
      <c r="F275" s="126"/>
      <c r="G275" s="55" t="s">
        <v>25</v>
      </c>
      <c r="H275" s="118"/>
      <c r="I275" s="57"/>
      <c r="J275" s="57"/>
      <c r="K275" s="43"/>
      <c r="L275" s="44"/>
      <c r="M275" s="43">
        <f t="shared" si="19"/>
        <v>0</v>
      </c>
      <c r="N275" s="43"/>
      <c r="O275" s="41"/>
      <c r="P275" s="103"/>
      <c r="Q275" s="43"/>
      <c r="R275" s="44"/>
      <c r="S275" s="43">
        <f t="shared" si="20"/>
        <v>0</v>
      </c>
      <c r="T275" s="43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200</v>
      </c>
      <c r="C276" s="374" t="s">
        <v>39</v>
      </c>
      <c r="D276" s="374" t="s">
        <v>456</v>
      </c>
      <c r="E276" s="374" t="s">
        <v>27</v>
      </c>
      <c r="F276" s="204" t="s">
        <v>457</v>
      </c>
      <c r="G276" s="23" t="s">
        <v>24</v>
      </c>
      <c r="H276" s="61">
        <v>4</v>
      </c>
      <c r="I276" s="62">
        <v>4</v>
      </c>
      <c r="J276" s="62">
        <v>5</v>
      </c>
      <c r="K276" s="30">
        <v>6859.34</v>
      </c>
      <c r="L276" s="205">
        <v>5</v>
      </c>
      <c r="M276" s="26">
        <f t="shared" si="19"/>
        <v>6859.34</v>
      </c>
      <c r="N276" s="30">
        <v>6859.34</v>
      </c>
      <c r="O276" s="31"/>
      <c r="P276" s="29">
        <v>6</v>
      </c>
      <c r="Q276" s="30">
        <v>21652.240000000002</v>
      </c>
      <c r="R276" s="205">
        <v>6</v>
      </c>
      <c r="S276" s="26">
        <f t="shared" si="20"/>
        <v>21652.240000000002</v>
      </c>
      <c r="T276" s="30">
        <v>21652.240000000002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33" t="s">
        <v>466</v>
      </c>
      <c r="G277" s="227" t="s">
        <v>28</v>
      </c>
      <c r="H277" s="207">
        <v>4</v>
      </c>
      <c r="I277" s="208">
        <v>2</v>
      </c>
      <c r="J277" s="208">
        <v>2</v>
      </c>
      <c r="K277" s="209">
        <v>3364.6</v>
      </c>
      <c r="L277" s="290">
        <v>1</v>
      </c>
      <c r="M277" s="211">
        <f t="shared" si="19"/>
        <v>1056.55</v>
      </c>
      <c r="N277" s="211">
        <f>1056.55</f>
        <v>1056.55</v>
      </c>
      <c r="O277" s="212"/>
      <c r="P277" s="284"/>
      <c r="Q277" s="211"/>
      <c r="R277" s="290">
        <v>1</v>
      </c>
      <c r="S277" s="211">
        <f t="shared" si="20"/>
        <v>1921</v>
      </c>
      <c r="T277" s="209">
        <v>1921</v>
      </c>
      <c r="U277" s="212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430</v>
      </c>
      <c r="C278" s="374" t="s">
        <v>39</v>
      </c>
      <c r="D278" s="374" t="s">
        <v>439</v>
      </c>
      <c r="E278" s="374" t="s">
        <v>27</v>
      </c>
      <c r="F278" s="204" t="s">
        <v>440</v>
      </c>
      <c r="G278" s="213" t="s">
        <v>24</v>
      </c>
      <c r="H278" s="61"/>
      <c r="I278" s="62"/>
      <c r="J278" s="62"/>
      <c r="K278" s="30"/>
      <c r="L278" s="27"/>
      <c r="M278" s="26">
        <f t="shared" si="19"/>
        <v>0</v>
      </c>
      <c r="N278" s="26"/>
      <c r="O278" s="241"/>
      <c r="P278" s="214"/>
      <c r="Q278" s="30"/>
      <c r="R278" s="205"/>
      <c r="S278" s="26">
        <f t="shared" si="20"/>
        <v>0</v>
      </c>
      <c r="T278" s="30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0"/>
      <c r="G279" s="215" t="s">
        <v>28</v>
      </c>
      <c r="H279" s="117"/>
      <c r="I279" s="37"/>
      <c r="J279" s="37"/>
      <c r="K279" s="68"/>
      <c r="L279" s="40"/>
      <c r="M279" s="39">
        <f t="shared" si="19"/>
        <v>0</v>
      </c>
      <c r="N279" s="39"/>
      <c r="O279" s="234"/>
      <c r="P279" s="217"/>
      <c r="Q279" s="68"/>
      <c r="R279" s="285"/>
      <c r="S279" s="39">
        <f t="shared" si="20"/>
        <v>0</v>
      </c>
      <c r="T279" s="68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6"/>
      <c r="B280" s="377" t="s">
        <v>201</v>
      </c>
      <c r="C280" s="377" t="s">
        <v>39</v>
      </c>
      <c r="D280" s="377" t="s">
        <v>385</v>
      </c>
      <c r="E280" s="377" t="s">
        <v>386</v>
      </c>
      <c r="F280" s="232" t="s">
        <v>387</v>
      </c>
      <c r="G280" s="95" t="s">
        <v>24</v>
      </c>
      <c r="H280" s="265">
        <v>16</v>
      </c>
      <c r="I280" s="266">
        <v>12</v>
      </c>
      <c r="J280" s="266">
        <v>19</v>
      </c>
      <c r="K280" s="79">
        <v>27305.66</v>
      </c>
      <c r="L280" s="268">
        <v>19</v>
      </c>
      <c r="M280" s="81">
        <f t="shared" si="19"/>
        <v>27305.66</v>
      </c>
      <c r="N280" s="79">
        <v>27305.66</v>
      </c>
      <c r="O280" s="313"/>
      <c r="P280" s="267">
        <v>2</v>
      </c>
      <c r="Q280" s="79">
        <v>4356.83</v>
      </c>
      <c r="R280" s="268">
        <v>2</v>
      </c>
      <c r="S280" s="81">
        <f t="shared" si="20"/>
        <v>4356.83</v>
      </c>
      <c r="T280" s="79">
        <v>4356.83</v>
      </c>
      <c r="U280" s="82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105"/>
      <c r="G281" s="35" t="s">
        <v>25</v>
      </c>
      <c r="H281" s="117">
        <v>1</v>
      </c>
      <c r="I281" s="38"/>
      <c r="J281" s="38"/>
      <c r="K281" s="39"/>
      <c r="L281" s="40"/>
      <c r="M281" s="39">
        <f t="shared" si="19"/>
        <v>0</v>
      </c>
      <c r="N281" s="39"/>
      <c r="O281" s="58"/>
      <c r="P281" s="115">
        <v>2</v>
      </c>
      <c r="Q281" s="68">
        <v>4418.3</v>
      </c>
      <c r="R281" s="285">
        <v>2</v>
      </c>
      <c r="S281" s="68">
        <v>4418.3</v>
      </c>
      <c r="T281" s="68">
        <v>4418.3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202</v>
      </c>
      <c r="C282" s="381" t="s">
        <v>39</v>
      </c>
      <c r="D282" s="377" t="s">
        <v>441</v>
      </c>
      <c r="E282" s="381" t="s">
        <v>27</v>
      </c>
      <c r="F282" s="204" t="s">
        <v>442</v>
      </c>
      <c r="G282" s="47" t="s">
        <v>24</v>
      </c>
      <c r="H282" s="48">
        <v>2</v>
      </c>
      <c r="I282" s="203">
        <v>2</v>
      </c>
      <c r="J282" s="203">
        <v>2</v>
      </c>
      <c r="K282" s="65">
        <v>2382.04</v>
      </c>
      <c r="L282" s="224">
        <v>2</v>
      </c>
      <c r="M282" s="50">
        <f t="shared" si="19"/>
        <v>2382.04</v>
      </c>
      <c r="N282" s="65">
        <v>2382.04</v>
      </c>
      <c r="O282" s="31"/>
      <c r="P282" s="108">
        <v>2</v>
      </c>
      <c r="Q282" s="65">
        <v>4082.51</v>
      </c>
      <c r="R282" s="224">
        <v>2</v>
      </c>
      <c r="S282" s="50">
        <f t="shared" ref="S282:S286" si="21">T282+U282</f>
        <v>4082.51</v>
      </c>
      <c r="T282" s="65">
        <v>4082.51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221" t="s">
        <v>262</v>
      </c>
      <c r="G283" s="55" t="s">
        <v>28</v>
      </c>
      <c r="H283" s="112">
        <v>2</v>
      </c>
      <c r="I283" s="130">
        <v>1</v>
      </c>
      <c r="J283" s="130">
        <v>1</v>
      </c>
      <c r="K283" s="114">
        <v>1479.17</v>
      </c>
      <c r="L283" s="316">
        <v>1</v>
      </c>
      <c r="M283" s="129">
        <f t="shared" si="19"/>
        <v>1479.17</v>
      </c>
      <c r="N283" s="43">
        <f>1479.17</f>
        <v>1479.17</v>
      </c>
      <c r="O283" s="45"/>
      <c r="P283" s="113">
        <v>4</v>
      </c>
      <c r="Q283" s="114">
        <v>17905.400000000001</v>
      </c>
      <c r="R283" s="316">
        <v>5</v>
      </c>
      <c r="S283" s="129">
        <f t="shared" si="21"/>
        <v>21555.3</v>
      </c>
      <c r="T283" s="114">
        <f>3649.9+1344.7+7107.7+4034.1+5418.9</f>
        <v>21555.3</v>
      </c>
      <c r="U283" s="4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2"/>
      <c r="B284" s="374" t="s">
        <v>203</v>
      </c>
      <c r="C284" s="377" t="s">
        <v>46</v>
      </c>
      <c r="D284" s="377" t="s">
        <v>459</v>
      </c>
      <c r="E284" s="374" t="s">
        <v>27</v>
      </c>
      <c r="F284" s="60"/>
      <c r="G284" s="23" t="s">
        <v>24</v>
      </c>
      <c r="H284" s="61">
        <v>2</v>
      </c>
      <c r="I284" s="25"/>
      <c r="J284" s="25"/>
      <c r="K284" s="26"/>
      <c r="L284" s="27"/>
      <c r="M284" s="26">
        <f t="shared" si="19"/>
        <v>0</v>
      </c>
      <c r="N284" s="26"/>
      <c r="O284" s="28"/>
      <c r="P284" s="120"/>
      <c r="Q284" s="26"/>
      <c r="R284" s="27"/>
      <c r="S284" s="26">
        <f t="shared" si="21"/>
        <v>0</v>
      </c>
      <c r="T284" s="26"/>
      <c r="U284" s="28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3"/>
      <c r="B285" s="375"/>
      <c r="C285" s="375"/>
      <c r="D285" s="375"/>
      <c r="E285" s="375"/>
      <c r="F285" s="34"/>
      <c r="G285" s="35" t="s">
        <v>28</v>
      </c>
      <c r="H285" s="117"/>
      <c r="I285" s="38"/>
      <c r="J285" s="38"/>
      <c r="K285" s="39"/>
      <c r="L285" s="40"/>
      <c r="M285" s="39">
        <f t="shared" si="19"/>
        <v>0</v>
      </c>
      <c r="N285" s="39"/>
      <c r="O285" s="41"/>
      <c r="P285" s="69"/>
      <c r="Q285" s="39"/>
      <c r="R285" s="40"/>
      <c r="S285" s="39">
        <f t="shared" si="21"/>
        <v>0</v>
      </c>
      <c r="T285" s="39"/>
      <c r="U285" s="4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82"/>
      <c r="B286" s="381" t="s">
        <v>204</v>
      </c>
      <c r="C286" s="377" t="s">
        <v>22</v>
      </c>
      <c r="D286" s="377"/>
      <c r="E286" s="381" t="s">
        <v>23</v>
      </c>
      <c r="F286" s="204" t="s">
        <v>431</v>
      </c>
      <c r="G286" s="47" t="s">
        <v>24</v>
      </c>
      <c r="H286" s="48">
        <v>10</v>
      </c>
      <c r="I286" s="203">
        <v>5</v>
      </c>
      <c r="J286" s="203">
        <v>6</v>
      </c>
      <c r="K286" s="65">
        <v>8254.93</v>
      </c>
      <c r="L286" s="224">
        <v>6</v>
      </c>
      <c r="M286" s="50">
        <f t="shared" si="19"/>
        <v>8254.93</v>
      </c>
      <c r="N286" s="65">
        <v>8254.93</v>
      </c>
      <c r="O286" s="225"/>
      <c r="P286" s="108">
        <v>4</v>
      </c>
      <c r="Q286" s="65">
        <v>3363.11</v>
      </c>
      <c r="R286" s="224">
        <v>4</v>
      </c>
      <c r="S286" s="50">
        <f t="shared" si="21"/>
        <v>3363.11</v>
      </c>
      <c r="T286" s="65">
        <v>3363.11</v>
      </c>
      <c r="U286" s="225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3"/>
      <c r="B287" s="375"/>
      <c r="C287" s="375"/>
      <c r="D287" s="375"/>
      <c r="E287" s="375"/>
      <c r="F287" s="34"/>
      <c r="G287" s="35" t="s">
        <v>25</v>
      </c>
      <c r="H287" s="111"/>
      <c r="I287" s="38"/>
      <c r="J287" s="38"/>
      <c r="K287" s="39"/>
      <c r="L287" s="40"/>
      <c r="M287" s="39">
        <f t="shared" si="19"/>
        <v>0</v>
      </c>
      <c r="N287" s="39"/>
      <c r="O287" s="41"/>
      <c r="P287" s="115">
        <v>1</v>
      </c>
      <c r="Q287" s="68">
        <v>2305.1999999999998</v>
      </c>
      <c r="R287" s="285">
        <v>1</v>
      </c>
      <c r="S287" s="68">
        <v>2305.1999999999998</v>
      </c>
      <c r="T287" s="68">
        <v>2305.1999999999998</v>
      </c>
      <c r="U287" s="41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179"/>
      <c r="B288" s="180" t="s">
        <v>205</v>
      </c>
      <c r="C288" s="180"/>
      <c r="D288" s="180"/>
      <c r="E288" s="180"/>
      <c r="F288" s="180"/>
      <c r="G288" s="181"/>
      <c r="H288" s="182">
        <f t="shared" ref="H288:U288" si="22">SUM(H9:H287)</f>
        <v>1417</v>
      </c>
      <c r="I288" s="183">
        <f t="shared" si="22"/>
        <v>848</v>
      </c>
      <c r="J288" s="183">
        <f t="shared" si="22"/>
        <v>1023</v>
      </c>
      <c r="K288" s="184">
        <f t="shared" si="22"/>
        <v>1819955.3199999991</v>
      </c>
      <c r="L288" s="185">
        <f t="shared" si="22"/>
        <v>900</v>
      </c>
      <c r="M288" s="184">
        <f t="shared" si="22"/>
        <v>1602550.16</v>
      </c>
      <c r="N288" s="184">
        <f t="shared" si="22"/>
        <v>1602550.16</v>
      </c>
      <c r="O288" s="186">
        <f t="shared" si="22"/>
        <v>0</v>
      </c>
      <c r="P288" s="187">
        <f t="shared" si="22"/>
        <v>1253</v>
      </c>
      <c r="Q288" s="188">
        <f t="shared" si="22"/>
        <v>4256368.3499999996</v>
      </c>
      <c r="R288" s="185">
        <f t="shared" si="22"/>
        <v>1182</v>
      </c>
      <c r="S288" s="188">
        <f t="shared" si="22"/>
        <v>4065653.8099999973</v>
      </c>
      <c r="T288" s="188">
        <f t="shared" si="22"/>
        <v>4065653.8099999973</v>
      </c>
      <c r="U288" s="189">
        <f t="shared" si="22"/>
        <v>0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I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 t="s">
        <v>206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27.75" customHeight="1">
      <c r="A292" s="4"/>
      <c r="B292" s="4"/>
      <c r="C292" s="4"/>
      <c r="D292" s="4"/>
      <c r="E292" s="4"/>
      <c r="F292" s="394"/>
      <c r="G292" s="395" t="s">
        <v>5</v>
      </c>
      <c r="H292" s="396"/>
      <c r="I292" s="396"/>
      <c r="J292" s="396"/>
      <c r="K292" s="396"/>
      <c r="L292" s="396"/>
      <c r="M292" s="396"/>
      <c r="N292" s="397"/>
      <c r="O292" s="395" t="s">
        <v>6</v>
      </c>
      <c r="P292" s="396"/>
      <c r="Q292" s="396"/>
      <c r="R292" s="396"/>
      <c r="S292" s="396"/>
      <c r="T292" s="397"/>
      <c r="U292" s="393" t="s">
        <v>207</v>
      </c>
      <c r="V292" s="393" t="s">
        <v>208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386"/>
      <c r="G293" s="190" t="s">
        <v>13</v>
      </c>
      <c r="H293" s="190" t="s">
        <v>14</v>
      </c>
      <c r="I293" s="190" t="s">
        <v>15</v>
      </c>
      <c r="J293" s="190" t="s">
        <v>16</v>
      </c>
      <c r="K293" s="191" t="s">
        <v>17</v>
      </c>
      <c r="L293" s="190" t="s">
        <v>18</v>
      </c>
      <c r="M293" s="190" t="s">
        <v>19</v>
      </c>
      <c r="N293" s="190" t="s">
        <v>20</v>
      </c>
      <c r="O293" s="190" t="s">
        <v>15</v>
      </c>
      <c r="P293" s="190" t="s">
        <v>16</v>
      </c>
      <c r="Q293" s="191" t="s">
        <v>17</v>
      </c>
      <c r="R293" s="190" t="s">
        <v>18</v>
      </c>
      <c r="S293" s="190" t="s">
        <v>19</v>
      </c>
      <c r="T293" s="190" t="s">
        <v>20</v>
      </c>
      <c r="U293" s="392"/>
      <c r="V293" s="392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192" t="s">
        <v>24</v>
      </c>
      <c r="G294" s="193">
        <f t="shared" ref="G294:I294" si="23">SUMIF($G$9:$G$287,$F$294,H9:H287)</f>
        <v>1028</v>
      </c>
      <c r="H294" s="193">
        <f t="shared" si="23"/>
        <v>701</v>
      </c>
      <c r="I294" s="193">
        <f t="shared" si="23"/>
        <v>875</v>
      </c>
      <c r="J294" s="194">
        <f t="shared" ref="J294:J296" si="24">SUMIF($G$9:$G$287,F294,$K$9:$K$287)</f>
        <v>1543676.98</v>
      </c>
      <c r="K294" s="195">
        <f t="shared" ref="K294:K296" si="25">SUMIF($G$9:$G$287,F294,$L$9:$L$287)</f>
        <v>774</v>
      </c>
      <c r="L294" s="194">
        <f t="shared" ref="L294:L296" si="26">SUMIF($G$9:$G$287,F294,$M$9:$M$287)</f>
        <v>1380691.6600000001</v>
      </c>
      <c r="M294" s="194">
        <f t="shared" ref="M294:O294" si="27">SUMIF($G$9:$G$287,$F$294,N9:N287)</f>
        <v>1380691.6600000001</v>
      </c>
      <c r="N294" s="194">
        <f t="shared" si="27"/>
        <v>0</v>
      </c>
      <c r="O294" s="193">
        <f t="shared" si="27"/>
        <v>1015</v>
      </c>
      <c r="P294" s="194">
        <f t="shared" ref="P294:P296" si="28">SUMIF($G$9:$G$287,F294,$Q$9:$Q$287)</f>
        <v>3517388.0299999984</v>
      </c>
      <c r="Q294" s="195">
        <f t="shared" ref="Q294:Q296" si="29">SUMIF($G$9:$G$287,F294,$R$9:$R$287)</f>
        <v>954</v>
      </c>
      <c r="R294" s="194">
        <f t="shared" ref="R294:R296" si="30">SUMIF($G$9:$G$287,F294,$S$9:$S$287)</f>
        <v>3342086.7599999984</v>
      </c>
      <c r="S294" s="194">
        <f t="shared" ref="S294:T294" si="31">SUMIF($G$9:$G$287,$F$294,T9:T287)</f>
        <v>3342086.7599999984</v>
      </c>
      <c r="T294" s="194">
        <f t="shared" si="31"/>
        <v>0</v>
      </c>
      <c r="U294" s="194">
        <f t="shared" ref="U294:U296" si="32">S294+M294</f>
        <v>4722778.4199999981</v>
      </c>
      <c r="V294" s="196">
        <f t="shared" ref="V294:V296" si="33">J294-M294+P294-S294</f>
        <v>338286.58999999985</v>
      </c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192" t="s">
        <v>28</v>
      </c>
      <c r="G295" s="349">
        <v>322</v>
      </c>
      <c r="H295" s="193">
        <f t="shared" ref="H295:I295" si="34">SUMIF($G$9:$G$287,$F$295,I9:I287)</f>
        <v>114</v>
      </c>
      <c r="I295" s="193">
        <f t="shared" si="34"/>
        <v>115</v>
      </c>
      <c r="J295" s="194">
        <f t="shared" si="24"/>
        <v>216464.2900000001</v>
      </c>
      <c r="K295" s="195">
        <f t="shared" si="25"/>
        <v>96</v>
      </c>
      <c r="L295" s="194">
        <f t="shared" si="26"/>
        <v>174186.79999999996</v>
      </c>
      <c r="M295" s="194">
        <f t="shared" ref="M295:O295" si="35">SUMIF($G$9:$G$287,$F$295,N9:N287)</f>
        <v>174186.79999999996</v>
      </c>
      <c r="N295" s="194">
        <f t="shared" si="35"/>
        <v>0</v>
      </c>
      <c r="O295" s="193">
        <f t="shared" si="35"/>
        <v>181</v>
      </c>
      <c r="P295" s="194">
        <f t="shared" si="28"/>
        <v>530544.73999999987</v>
      </c>
      <c r="Q295" s="195">
        <f t="shared" si="29"/>
        <v>175</v>
      </c>
      <c r="R295" s="194">
        <f t="shared" si="30"/>
        <v>523801.9499999999</v>
      </c>
      <c r="S295" s="194">
        <f t="shared" ref="S295:T295" si="36">SUMIF($G$9:$G$287,$F$295,T9:T287)</f>
        <v>523801.9499999999</v>
      </c>
      <c r="T295" s="194">
        <f t="shared" si="36"/>
        <v>0</v>
      </c>
      <c r="U295" s="194">
        <f t="shared" si="32"/>
        <v>697988.74999999988</v>
      </c>
      <c r="V295" s="196">
        <f t="shared" si="33"/>
        <v>49020.280000000086</v>
      </c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192" t="s">
        <v>25</v>
      </c>
      <c r="G296" s="193">
        <f t="shared" ref="G296:I296" si="37">SUMIF($G$9:$G$287,$F$296,H9:H287)</f>
        <v>67</v>
      </c>
      <c r="H296" s="193">
        <f t="shared" si="37"/>
        <v>33</v>
      </c>
      <c r="I296" s="193">
        <f t="shared" si="37"/>
        <v>33</v>
      </c>
      <c r="J296" s="194">
        <f t="shared" si="24"/>
        <v>59814.049999999996</v>
      </c>
      <c r="K296" s="195">
        <f t="shared" si="25"/>
        <v>30</v>
      </c>
      <c r="L296" s="194">
        <f t="shared" si="26"/>
        <v>47671.7</v>
      </c>
      <c r="M296" s="194">
        <f t="shared" ref="M296:O296" si="38">SUMIF($G$9:$G$287,$F$296,N9:N287)</f>
        <v>47671.7</v>
      </c>
      <c r="N296" s="194">
        <f t="shared" si="38"/>
        <v>0</v>
      </c>
      <c r="O296" s="193">
        <f t="shared" si="38"/>
        <v>57</v>
      </c>
      <c r="P296" s="194">
        <f t="shared" si="28"/>
        <v>208435.58</v>
      </c>
      <c r="Q296" s="195">
        <f t="shared" si="29"/>
        <v>53</v>
      </c>
      <c r="R296" s="194">
        <f t="shared" si="30"/>
        <v>199765.1</v>
      </c>
      <c r="S296" s="194">
        <f t="shared" ref="S296:T296" si="39">SUMIF($G$9:$G$287,$F$296,T9:T287)</f>
        <v>199765.1</v>
      </c>
      <c r="T296" s="194">
        <f t="shared" si="39"/>
        <v>0</v>
      </c>
      <c r="U296" s="194">
        <f t="shared" si="32"/>
        <v>247436.79999999999</v>
      </c>
      <c r="V296" s="196">
        <f t="shared" si="33"/>
        <v>20812.829999999987</v>
      </c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197">
        <f t="shared" ref="G297:V297" si="40">G296+G295+G294</f>
        <v>1417</v>
      </c>
      <c r="H297" s="197">
        <f t="shared" si="40"/>
        <v>848</v>
      </c>
      <c r="I297" s="197">
        <f t="shared" si="40"/>
        <v>1023</v>
      </c>
      <c r="J297" s="198">
        <f t="shared" si="40"/>
        <v>1819955.32</v>
      </c>
      <c r="K297" s="199">
        <f t="shared" si="40"/>
        <v>900</v>
      </c>
      <c r="L297" s="198">
        <f t="shared" si="40"/>
        <v>1602550.1600000001</v>
      </c>
      <c r="M297" s="198">
        <f t="shared" si="40"/>
        <v>1602550.1600000001</v>
      </c>
      <c r="N297" s="198">
        <f t="shared" si="40"/>
        <v>0</v>
      </c>
      <c r="O297" s="197">
        <f t="shared" si="40"/>
        <v>1253</v>
      </c>
      <c r="P297" s="198">
        <f t="shared" si="40"/>
        <v>4256368.3499999978</v>
      </c>
      <c r="Q297" s="200">
        <f t="shared" si="40"/>
        <v>1182</v>
      </c>
      <c r="R297" s="198">
        <f t="shared" si="40"/>
        <v>4065653.8099999982</v>
      </c>
      <c r="S297" s="198">
        <f t="shared" si="40"/>
        <v>4065653.8099999982</v>
      </c>
      <c r="T297" s="198">
        <f t="shared" si="40"/>
        <v>0</v>
      </c>
      <c r="U297" s="198">
        <f t="shared" si="40"/>
        <v>5668203.9699999979</v>
      </c>
      <c r="V297" s="198">
        <f t="shared" si="40"/>
        <v>408119.69999999995</v>
      </c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L450" s="2"/>
      <c r="R450" s="2"/>
    </row>
    <row r="451" spans="11:18" ht="15.75" customHeight="1">
      <c r="L451" s="2"/>
      <c r="R451" s="2"/>
    </row>
    <row r="452" spans="11:18" ht="15.75" customHeight="1">
      <c r="L452" s="2"/>
      <c r="R452" s="2"/>
    </row>
    <row r="453" spans="11:18" ht="15.75" customHeight="1">
      <c r="L453" s="2"/>
      <c r="R453" s="2"/>
    </row>
    <row r="454" spans="11:18" ht="15.75" customHeight="1">
      <c r="L454" s="2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</sheetData>
  <mergeCells count="696">
    <mergeCell ref="A203:A205"/>
    <mergeCell ref="A206:A207"/>
    <mergeCell ref="B206:B207"/>
    <mergeCell ref="C206:C207"/>
    <mergeCell ref="A208:A209"/>
    <mergeCell ref="B208:B209"/>
    <mergeCell ref="C208:C209"/>
    <mergeCell ref="D224:D225"/>
    <mergeCell ref="E224:E225"/>
    <mergeCell ref="B224:B225"/>
    <mergeCell ref="C224:C225"/>
    <mergeCell ref="B203:B205"/>
    <mergeCell ref="C203:C205"/>
    <mergeCell ref="D206:D207"/>
    <mergeCell ref="D208:D209"/>
    <mergeCell ref="D199:D200"/>
    <mergeCell ref="E199:E200"/>
    <mergeCell ref="D201:D202"/>
    <mergeCell ref="E201:E202"/>
    <mergeCell ref="D203:D205"/>
    <mergeCell ref="E203:E205"/>
    <mergeCell ref="E206:E207"/>
    <mergeCell ref="E208:E209"/>
    <mergeCell ref="A197:A198"/>
    <mergeCell ref="B197:B198"/>
    <mergeCell ref="C197:C198"/>
    <mergeCell ref="D197:D198"/>
    <mergeCell ref="E197:E198"/>
    <mergeCell ref="A199:A200"/>
    <mergeCell ref="B199:B200"/>
    <mergeCell ref="C199:C200"/>
    <mergeCell ref="A201:A202"/>
    <mergeCell ref="B201:B202"/>
    <mergeCell ref="C201:C202"/>
    <mergeCell ref="C195:C196"/>
    <mergeCell ref="D195:D196"/>
    <mergeCell ref="A193:A194"/>
    <mergeCell ref="B193:B194"/>
    <mergeCell ref="C193:C194"/>
    <mergeCell ref="D193:D194"/>
    <mergeCell ref="E193:E194"/>
    <mergeCell ref="B195:B196"/>
    <mergeCell ref="E195:E196"/>
    <mergeCell ref="A195:A196"/>
    <mergeCell ref="D179:D180"/>
    <mergeCell ref="E179:E180"/>
    <mergeCell ref="A181:A182"/>
    <mergeCell ref="B189:B190"/>
    <mergeCell ref="C189:C190"/>
    <mergeCell ref="A191:A192"/>
    <mergeCell ref="B191:B192"/>
    <mergeCell ref="C191:C192"/>
    <mergeCell ref="D191:D192"/>
    <mergeCell ref="E191:E192"/>
    <mergeCell ref="A175:A176"/>
    <mergeCell ref="B175:B176"/>
    <mergeCell ref="C175:C176"/>
    <mergeCell ref="B177:B178"/>
    <mergeCell ref="C177:C178"/>
    <mergeCell ref="A177:A178"/>
    <mergeCell ref="A179:A180"/>
    <mergeCell ref="B179:B180"/>
    <mergeCell ref="C179:C180"/>
    <mergeCell ref="A169:A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89:D190"/>
    <mergeCell ref="E189:E190"/>
    <mergeCell ref="A185:A186"/>
    <mergeCell ref="A187:A188"/>
    <mergeCell ref="B187:B188"/>
    <mergeCell ref="C187:C188"/>
    <mergeCell ref="D187:D188"/>
    <mergeCell ref="E187:E188"/>
    <mergeCell ref="A189:A190"/>
    <mergeCell ref="D185:D186"/>
    <mergeCell ref="E185:E186"/>
    <mergeCell ref="B181:B182"/>
    <mergeCell ref="C181:C182"/>
    <mergeCell ref="A183:A184"/>
    <mergeCell ref="B183:B184"/>
    <mergeCell ref="C183:C184"/>
    <mergeCell ref="B185:B186"/>
    <mergeCell ref="C185:C186"/>
    <mergeCell ref="A165:A166"/>
    <mergeCell ref="B165:B166"/>
    <mergeCell ref="C165:C166"/>
    <mergeCell ref="D165:D166"/>
    <mergeCell ref="E165:E166"/>
    <mergeCell ref="D181:D182"/>
    <mergeCell ref="E181:E182"/>
    <mergeCell ref="D183:D184"/>
    <mergeCell ref="E183:E184"/>
    <mergeCell ref="C169:C170"/>
    <mergeCell ref="D169:D170"/>
    <mergeCell ref="A167:A168"/>
    <mergeCell ref="B167:B168"/>
    <mergeCell ref="C167:C168"/>
    <mergeCell ref="D167:D168"/>
    <mergeCell ref="E167:E168"/>
    <mergeCell ref="B169:B170"/>
    <mergeCell ref="E169:E170"/>
    <mergeCell ref="D173:D174"/>
    <mergeCell ref="E173:E174"/>
    <mergeCell ref="D175:D176"/>
    <mergeCell ref="E175:E176"/>
    <mergeCell ref="D177:D178"/>
    <mergeCell ref="E177:E178"/>
    <mergeCell ref="A153:A154"/>
    <mergeCell ref="B153:B154"/>
    <mergeCell ref="C153:C154"/>
    <mergeCell ref="D153:D154"/>
    <mergeCell ref="E153:E154"/>
    <mergeCell ref="B147:B148"/>
    <mergeCell ref="C147:C148"/>
    <mergeCell ref="A149:A150"/>
    <mergeCell ref="B149:B150"/>
    <mergeCell ref="C149:C150"/>
    <mergeCell ref="B151:B152"/>
    <mergeCell ref="C151:C152"/>
    <mergeCell ref="D147:D148"/>
    <mergeCell ref="E147:E148"/>
    <mergeCell ref="D149:D150"/>
    <mergeCell ref="E149:E150"/>
    <mergeCell ref="D151:D152"/>
    <mergeCell ref="E151:E152"/>
    <mergeCell ref="A142:A143"/>
    <mergeCell ref="A144:A146"/>
    <mergeCell ref="B144:B146"/>
    <mergeCell ref="C144:C146"/>
    <mergeCell ref="D144:D146"/>
    <mergeCell ref="E144:E146"/>
    <mergeCell ref="A147:A148"/>
    <mergeCell ref="A151:A152"/>
    <mergeCell ref="C142:C143"/>
    <mergeCell ref="D142:D143"/>
    <mergeCell ref="A140:A141"/>
    <mergeCell ref="B140:B141"/>
    <mergeCell ref="C140:C141"/>
    <mergeCell ref="D140:D141"/>
    <mergeCell ref="E140:E141"/>
    <mergeCell ref="B142:B143"/>
    <mergeCell ref="E142:E143"/>
    <mergeCell ref="D163:D164"/>
    <mergeCell ref="E163:E164"/>
    <mergeCell ref="A158:A159"/>
    <mergeCell ref="A160:A162"/>
    <mergeCell ref="B160:B162"/>
    <mergeCell ref="C160:C162"/>
    <mergeCell ref="D160:D162"/>
    <mergeCell ref="E160:E162"/>
    <mergeCell ref="A163:A164"/>
    <mergeCell ref="B163:B164"/>
    <mergeCell ref="C163:C164"/>
    <mergeCell ref="A274:A275"/>
    <mergeCell ref="B274:B275"/>
    <mergeCell ref="C274:C275"/>
    <mergeCell ref="D274:D275"/>
    <mergeCell ref="E274:E275"/>
    <mergeCell ref="A276:A277"/>
    <mergeCell ref="B284:B285"/>
    <mergeCell ref="C284:C285"/>
    <mergeCell ref="A286:A287"/>
    <mergeCell ref="B286:B287"/>
    <mergeCell ref="C286:C287"/>
    <mergeCell ref="D286:D287"/>
    <mergeCell ref="E286:E287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D284:D285"/>
    <mergeCell ref="E284:E285"/>
    <mergeCell ref="F292:F293"/>
    <mergeCell ref="G292:N292"/>
    <mergeCell ref="O292:T292"/>
    <mergeCell ref="U292:U293"/>
    <mergeCell ref="V292:V293"/>
    <mergeCell ref="A280:A281"/>
    <mergeCell ref="A282:A283"/>
    <mergeCell ref="B282:B283"/>
    <mergeCell ref="C282:C283"/>
    <mergeCell ref="D282:D283"/>
    <mergeCell ref="E282:E283"/>
    <mergeCell ref="A284:A285"/>
    <mergeCell ref="D276:D277"/>
    <mergeCell ref="E276:E277"/>
    <mergeCell ref="D278:D279"/>
    <mergeCell ref="E278:E279"/>
    <mergeCell ref="D280:D281"/>
    <mergeCell ref="E280:E281"/>
    <mergeCell ref="B276:B277"/>
    <mergeCell ref="C276:C277"/>
    <mergeCell ref="A278:A279"/>
    <mergeCell ref="B278:B279"/>
    <mergeCell ref="C278:C279"/>
    <mergeCell ref="B280:B281"/>
    <mergeCell ref="C280:C281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6:D227"/>
    <mergeCell ref="E226:E227"/>
    <mergeCell ref="D228:D229"/>
    <mergeCell ref="E228:E229"/>
    <mergeCell ref="A226:A227"/>
    <mergeCell ref="B226:B227"/>
    <mergeCell ref="C226:C227"/>
    <mergeCell ref="B228:B229"/>
    <mergeCell ref="C228:C229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E212:E213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158:C159"/>
    <mergeCell ref="D158:D159"/>
    <mergeCell ref="A155:A157"/>
    <mergeCell ref="B155:B157"/>
    <mergeCell ref="C155:C157"/>
    <mergeCell ref="D155:D157"/>
    <mergeCell ref="E155:E157"/>
    <mergeCell ref="B158:B159"/>
    <mergeCell ref="E158:E159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19:D121"/>
    <mergeCell ref="E119:E121"/>
    <mergeCell ref="D122:D123"/>
    <mergeCell ref="E122:E123"/>
    <mergeCell ref="D124:D125"/>
    <mergeCell ref="E124:E125"/>
    <mergeCell ref="A115:A116"/>
    <mergeCell ref="A117:A118"/>
    <mergeCell ref="B117:B118"/>
    <mergeCell ref="C117:C118"/>
    <mergeCell ref="D117:D118"/>
    <mergeCell ref="E117:E118"/>
    <mergeCell ref="A119:A121"/>
    <mergeCell ref="B119:B121"/>
    <mergeCell ref="C119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6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14</v>
      </c>
      <c r="K13" s="79">
        <v>28664.04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20</v>
      </c>
      <c r="I15" s="62">
        <v>19</v>
      </c>
      <c r="J15" s="62">
        <v>27</v>
      </c>
      <c r="K15" s="30">
        <v>68231.570000000007</v>
      </c>
      <c r="L15" s="205">
        <v>21</v>
      </c>
      <c r="M15" s="26">
        <f t="shared" si="0"/>
        <v>55399.29</v>
      </c>
      <c r="N15" s="30">
        <v>55399.29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4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1</v>
      </c>
      <c r="M18" s="211">
        <f t="shared" si="0"/>
        <v>576.29999999999995</v>
      </c>
      <c r="N18" s="211">
        <f>576.3</f>
        <v>576.29999999999995</v>
      </c>
      <c r="O18" s="212"/>
      <c r="P18" s="262">
        <v>7</v>
      </c>
      <c r="Q18" s="209">
        <v>24148.51</v>
      </c>
      <c r="R18" s="290">
        <v>3</v>
      </c>
      <c r="S18" s="211">
        <f t="shared" si="1"/>
        <v>11446</v>
      </c>
      <c r="T18" s="209">
        <f>7027.7+4418.3</f>
        <v>11446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13</v>
      </c>
      <c r="I19" s="62">
        <v>6</v>
      </c>
      <c r="J19" s="62">
        <v>6</v>
      </c>
      <c r="K19" s="30">
        <v>11306.13</v>
      </c>
      <c r="L19" s="205">
        <v>4</v>
      </c>
      <c r="M19" s="26">
        <f t="shared" si="0"/>
        <v>4141.68</v>
      </c>
      <c r="N19" s="30">
        <v>4141.68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5</v>
      </c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9</v>
      </c>
      <c r="I21" s="266">
        <v>8</v>
      </c>
      <c r="J21" s="266">
        <v>11</v>
      </c>
      <c r="K21" s="79">
        <v>18693.64</v>
      </c>
      <c r="L21" s="268">
        <v>11</v>
      </c>
      <c r="M21" s="81">
        <f t="shared" si="0"/>
        <v>18693.64</v>
      </c>
      <c r="N21" s="79">
        <v>18693.64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15</v>
      </c>
      <c r="I23" s="203">
        <v>13</v>
      </c>
      <c r="J23" s="203">
        <v>21</v>
      </c>
      <c r="K23" s="65">
        <v>29344.78</v>
      </c>
      <c r="L23" s="224">
        <v>18</v>
      </c>
      <c r="M23" s="50">
        <f t="shared" si="0"/>
        <v>25744.23</v>
      </c>
      <c r="N23" s="65">
        <v>25744.23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13</v>
      </c>
      <c r="I25" s="62">
        <v>8</v>
      </c>
      <c r="J25" s="62">
        <v>8</v>
      </c>
      <c r="K25" s="62">
        <v>6378.29</v>
      </c>
      <c r="L25" s="205">
        <v>6</v>
      </c>
      <c r="M25" s="26">
        <f t="shared" si="0"/>
        <v>4262.51</v>
      </c>
      <c r="N25" s="30">
        <v>4262.51</v>
      </c>
      <c r="O25" s="225"/>
      <c r="P25" s="53">
        <v>8</v>
      </c>
      <c r="Q25" s="30">
        <v>10662.31</v>
      </c>
      <c r="R25" s="205">
        <v>5</v>
      </c>
      <c r="S25" s="26">
        <f t="shared" si="1"/>
        <v>8390.39</v>
      </c>
      <c r="T25" s="30">
        <v>8390.39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12</v>
      </c>
      <c r="J27" s="203">
        <v>19</v>
      </c>
      <c r="K27" s="65">
        <v>36183.18</v>
      </c>
      <c r="L27" s="224">
        <v>19</v>
      </c>
      <c r="M27" s="50">
        <f t="shared" si="0"/>
        <v>36183.18</v>
      </c>
      <c r="N27" s="65">
        <v>36183.18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4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7</v>
      </c>
      <c r="Q28" s="68">
        <v>24423.7</v>
      </c>
      <c r="R28" s="285">
        <v>5</v>
      </c>
      <c r="S28" s="39">
        <f t="shared" si="1"/>
        <v>18263.100000000002</v>
      </c>
      <c r="T28" s="68">
        <f>4302+3533.6+960.5+5240.8+4226.2</f>
        <v>18263.100000000002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4</v>
      </c>
      <c r="S30" s="43">
        <f t="shared" si="1"/>
        <v>20471.98</v>
      </c>
      <c r="T30" s="114">
        <f>14247.38+1921+2497.3+1806.3</f>
        <v>20471.98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8</v>
      </c>
      <c r="I33" s="203">
        <v>4</v>
      </c>
      <c r="J33" s="203">
        <v>5</v>
      </c>
      <c r="K33" s="65">
        <v>8549.15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7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95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8</v>
      </c>
      <c r="I37" s="203">
        <v>6</v>
      </c>
      <c r="J37" s="203">
        <v>6</v>
      </c>
      <c r="K37" s="65">
        <v>7209.83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5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1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2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3</v>
      </c>
      <c r="Q43" s="30">
        <v>4264.95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13</v>
      </c>
      <c r="I45" s="266">
        <v>13</v>
      </c>
      <c r="J45" s="266">
        <v>15</v>
      </c>
      <c r="K45" s="79">
        <v>22284.3</v>
      </c>
      <c r="L45" s="268">
        <v>14</v>
      </c>
      <c r="M45" s="81">
        <f t="shared" si="2"/>
        <v>18895.68</v>
      </c>
      <c r="N45" s="79">
        <v>18895.68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21</v>
      </c>
      <c r="I47" s="62">
        <v>8</v>
      </c>
      <c r="J47" s="62">
        <v>10</v>
      </c>
      <c r="K47" s="30">
        <v>11785.71</v>
      </c>
      <c r="L47" s="205">
        <v>10</v>
      </c>
      <c r="M47" s="26">
        <f t="shared" si="2"/>
        <v>11785.71</v>
      </c>
      <c r="N47" s="30">
        <v>11785.71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80"/>
      <c r="F48" s="233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390</v>
      </c>
      <c r="C49" s="374" t="s">
        <v>22</v>
      </c>
      <c r="D49" s="374"/>
      <c r="E49" s="374" t="s">
        <v>391</v>
      </c>
      <c r="F49" s="204" t="s">
        <v>392</v>
      </c>
      <c r="G49" s="213" t="s">
        <v>24</v>
      </c>
      <c r="H49" s="61">
        <v>6</v>
      </c>
      <c r="I49" s="62">
        <v>2</v>
      </c>
      <c r="J49" s="62">
        <v>2</v>
      </c>
      <c r="K49" s="30">
        <v>3766.34</v>
      </c>
      <c r="L49" s="205">
        <v>1</v>
      </c>
      <c r="M49" s="26">
        <f t="shared" si="2"/>
        <v>1324.62</v>
      </c>
      <c r="N49" s="30">
        <v>1324.62</v>
      </c>
      <c r="O49" s="28"/>
      <c r="P49" s="275"/>
      <c r="Q49" s="26"/>
      <c r="R49" s="27"/>
      <c r="S49" s="26">
        <f t="shared" si="3"/>
        <v>0</v>
      </c>
      <c r="T49" s="26"/>
      <c r="U49" s="2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06"/>
      <c r="I50" s="38"/>
      <c r="J50" s="38"/>
      <c r="K50" s="39"/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6"/>
      <c r="B51" s="377" t="s">
        <v>358</v>
      </c>
      <c r="C51" s="377"/>
      <c r="D51" s="377"/>
      <c r="E51" s="377"/>
      <c r="F51" s="76"/>
      <c r="G51" s="73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82"/>
      <c r="P51" s="303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34"/>
      <c r="G52" s="215" t="s">
        <v>28</v>
      </c>
      <c r="H52" s="117">
        <v>1</v>
      </c>
      <c r="I52" s="37">
        <v>1</v>
      </c>
      <c r="J52" s="37">
        <v>1</v>
      </c>
      <c r="K52" s="68">
        <v>576.29999999999995</v>
      </c>
      <c r="L52" s="40"/>
      <c r="M52" s="39">
        <f t="shared" si="2"/>
        <v>0</v>
      </c>
      <c r="N52" s="39"/>
      <c r="O52" s="41"/>
      <c r="P52" s="276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60</v>
      </c>
      <c r="C53" s="374" t="s">
        <v>39</v>
      </c>
      <c r="D53" s="374" t="s">
        <v>61</v>
      </c>
      <c r="E53" s="383" t="s">
        <v>27</v>
      </c>
      <c r="F53" s="204" t="s">
        <v>463</v>
      </c>
      <c r="G53" s="176" t="s">
        <v>24</v>
      </c>
      <c r="H53" s="74"/>
      <c r="I53" s="96"/>
      <c r="J53" s="96"/>
      <c r="K53" s="81"/>
      <c r="L53" s="80"/>
      <c r="M53" s="81">
        <f t="shared" si="2"/>
        <v>0</v>
      </c>
      <c r="N53" s="81"/>
      <c r="O53" s="97"/>
      <c r="P53" s="277"/>
      <c r="Q53" s="81"/>
      <c r="R53" s="80"/>
      <c r="S53" s="81">
        <f t="shared" si="3"/>
        <v>0</v>
      </c>
      <c r="T53" s="81"/>
      <c r="U53" s="8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401"/>
      <c r="F54" s="34"/>
      <c r="G54" s="229" t="s">
        <v>28</v>
      </c>
      <c r="H54" s="112">
        <v>5</v>
      </c>
      <c r="I54" s="130">
        <v>2</v>
      </c>
      <c r="J54" s="130">
        <v>2</v>
      </c>
      <c r="K54" s="114">
        <v>3411.9</v>
      </c>
      <c r="L54" s="270">
        <v>2</v>
      </c>
      <c r="M54" s="43">
        <f t="shared" si="2"/>
        <v>3411.8999999999996</v>
      </c>
      <c r="N54" s="43">
        <f>1605.6+1806.3</f>
        <v>3411.8999999999996</v>
      </c>
      <c r="O54" s="58"/>
      <c r="P54" s="59"/>
      <c r="Q54" s="39"/>
      <c r="R54" s="40"/>
      <c r="S54" s="39">
        <f t="shared" si="3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62</v>
      </c>
      <c r="C55" s="374" t="s">
        <v>39</v>
      </c>
      <c r="D55" s="374" t="s">
        <v>63</v>
      </c>
      <c r="E55" s="374" t="s">
        <v>27</v>
      </c>
      <c r="F55" s="232" t="s">
        <v>359</v>
      </c>
      <c r="G55" s="23" t="s">
        <v>24</v>
      </c>
      <c r="H55" s="24">
        <v>6</v>
      </c>
      <c r="I55" s="62">
        <v>2</v>
      </c>
      <c r="J55" s="62">
        <v>2</v>
      </c>
      <c r="K55" s="30">
        <v>1754.47</v>
      </c>
      <c r="L55" s="205">
        <v>2</v>
      </c>
      <c r="M55" s="26">
        <f t="shared" si="2"/>
        <v>1754.47</v>
      </c>
      <c r="N55" s="30">
        <v>1754.47</v>
      </c>
      <c r="O55" s="31"/>
      <c r="P55" s="108">
        <v>7</v>
      </c>
      <c r="Q55" s="65">
        <v>15242.58</v>
      </c>
      <c r="R55" s="224">
        <v>7</v>
      </c>
      <c r="S55" s="50">
        <f t="shared" si="3"/>
        <v>15242.58</v>
      </c>
      <c r="T55" s="65">
        <v>15242.58</v>
      </c>
      <c r="U55" s="3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34"/>
      <c r="G56" s="35" t="s">
        <v>28</v>
      </c>
      <c r="H56" s="66">
        <v>4</v>
      </c>
      <c r="I56" s="37">
        <v>1</v>
      </c>
      <c r="J56" s="37">
        <v>1</v>
      </c>
      <c r="K56" s="68">
        <v>2007</v>
      </c>
      <c r="L56" s="285">
        <v>1</v>
      </c>
      <c r="M56" s="39">
        <f t="shared" si="2"/>
        <v>2007</v>
      </c>
      <c r="N56" s="39">
        <f>2007</f>
        <v>2007</v>
      </c>
      <c r="O56" s="41"/>
      <c r="P56" s="115">
        <v>7</v>
      </c>
      <c r="Q56" s="68">
        <v>14652.43</v>
      </c>
      <c r="R56" s="285">
        <v>12</v>
      </c>
      <c r="S56" s="39">
        <f t="shared" si="3"/>
        <v>26971.13</v>
      </c>
      <c r="T56" s="68">
        <f>2209.2+576.3+13639.1+1921+1921+3438.83+3265.7</f>
        <v>26971.13</v>
      </c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66</v>
      </c>
      <c r="C57" s="374" t="s">
        <v>22</v>
      </c>
      <c r="D57" s="374"/>
      <c r="E57" s="374" t="s">
        <v>67</v>
      </c>
      <c r="F57" s="223" t="s">
        <v>360</v>
      </c>
      <c r="G57" s="176" t="s">
        <v>24</v>
      </c>
      <c r="H57" s="278">
        <v>4</v>
      </c>
      <c r="I57" s="203">
        <v>4</v>
      </c>
      <c r="J57" s="203">
        <v>6</v>
      </c>
      <c r="K57" s="65">
        <v>9306.16</v>
      </c>
      <c r="L57" s="224">
        <v>5</v>
      </c>
      <c r="M57" s="50">
        <f t="shared" si="2"/>
        <v>6927.86</v>
      </c>
      <c r="N57" s="65">
        <v>6927.86</v>
      </c>
      <c r="O57" s="31"/>
      <c r="P57" s="53">
        <v>4</v>
      </c>
      <c r="Q57" s="30">
        <v>12223.84</v>
      </c>
      <c r="R57" s="205">
        <v>4</v>
      </c>
      <c r="S57" s="26">
        <f t="shared" si="3"/>
        <v>12223.84</v>
      </c>
      <c r="T57" s="30">
        <v>12223.84</v>
      </c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105"/>
      <c r="G58" s="229" t="s">
        <v>28</v>
      </c>
      <c r="H58" s="230"/>
      <c r="I58" s="57"/>
      <c r="J58" s="57"/>
      <c r="K58" s="43"/>
      <c r="L58" s="44"/>
      <c r="M58" s="43">
        <f t="shared" si="2"/>
        <v>0</v>
      </c>
      <c r="N58" s="43"/>
      <c r="O58" s="41"/>
      <c r="P58" s="59"/>
      <c r="Q58" s="39"/>
      <c r="R58" s="40"/>
      <c r="S58" s="39">
        <f t="shared" si="3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6"/>
      <c r="B59" s="377" t="s">
        <v>68</v>
      </c>
      <c r="C59" s="377" t="s">
        <v>39</v>
      </c>
      <c r="D59" s="377" t="s">
        <v>69</v>
      </c>
      <c r="E59" s="377" t="s">
        <v>65</v>
      </c>
      <c r="F59" s="223" t="s">
        <v>263</v>
      </c>
      <c r="G59" s="95" t="s">
        <v>24</v>
      </c>
      <c r="H59" s="61">
        <v>13</v>
      </c>
      <c r="I59" s="62">
        <v>12</v>
      </c>
      <c r="J59" s="62">
        <v>13</v>
      </c>
      <c r="K59" s="30">
        <v>23872.07</v>
      </c>
      <c r="L59" s="205">
        <v>13</v>
      </c>
      <c r="M59" s="26">
        <f t="shared" si="2"/>
        <v>23872.07</v>
      </c>
      <c r="N59" s="30">
        <v>23872.07</v>
      </c>
      <c r="O59" s="225"/>
      <c r="P59" s="53">
        <v>6</v>
      </c>
      <c r="Q59" s="30">
        <v>45189.01</v>
      </c>
      <c r="R59" s="205">
        <v>6</v>
      </c>
      <c r="S59" s="26">
        <f t="shared" si="3"/>
        <v>45189.01</v>
      </c>
      <c r="T59" s="30">
        <v>45189.01</v>
      </c>
      <c r="U59" s="225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05" t="s">
        <v>222</v>
      </c>
      <c r="G60" s="35" t="s">
        <v>28</v>
      </c>
      <c r="H60" s="117">
        <v>4</v>
      </c>
      <c r="I60" s="37">
        <v>3</v>
      </c>
      <c r="J60" s="37">
        <v>3</v>
      </c>
      <c r="K60" s="68">
        <v>3099.46</v>
      </c>
      <c r="L60" s="285">
        <v>3</v>
      </c>
      <c r="M60" s="39">
        <f t="shared" si="2"/>
        <v>3099.4</v>
      </c>
      <c r="N60" s="39">
        <f>1921+576.3+602.1</f>
        <v>3099.4</v>
      </c>
      <c r="O60" s="41"/>
      <c r="P60" s="115">
        <v>1</v>
      </c>
      <c r="Q60" s="68">
        <v>576.29999999999995</v>
      </c>
      <c r="R60" s="285">
        <v>1</v>
      </c>
      <c r="S60" s="39">
        <f t="shared" si="3"/>
        <v>144.08000000000001</v>
      </c>
      <c r="T60" s="39">
        <f>144.08</f>
        <v>144.08000000000001</v>
      </c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70</v>
      </c>
      <c r="C61" s="374" t="s">
        <v>39</v>
      </c>
      <c r="D61" s="374" t="s">
        <v>284</v>
      </c>
      <c r="E61" s="374" t="s">
        <v>55</v>
      </c>
      <c r="F61" s="204" t="s">
        <v>285</v>
      </c>
      <c r="G61" s="176" t="s">
        <v>24</v>
      </c>
      <c r="H61" s="48">
        <v>24</v>
      </c>
      <c r="I61" s="203">
        <v>12</v>
      </c>
      <c r="J61" s="203">
        <v>18</v>
      </c>
      <c r="K61" s="65">
        <v>40586.410000000003</v>
      </c>
      <c r="L61" s="224">
        <v>17</v>
      </c>
      <c r="M61" s="50">
        <f t="shared" si="2"/>
        <v>39743.47</v>
      </c>
      <c r="N61" s="65">
        <v>39743.47</v>
      </c>
      <c r="O61" s="225"/>
      <c r="P61" s="53">
        <v>35</v>
      </c>
      <c r="Q61" s="30">
        <v>84174.76</v>
      </c>
      <c r="R61" s="205">
        <v>34</v>
      </c>
      <c r="S61" s="26">
        <f t="shared" si="3"/>
        <v>83293.759999999995</v>
      </c>
      <c r="T61" s="30">
        <v>83293.759999999995</v>
      </c>
      <c r="U61" s="243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229" t="s">
        <v>25</v>
      </c>
      <c r="H62" s="272"/>
      <c r="I62" s="261"/>
      <c r="J62" s="261"/>
      <c r="K62" s="211"/>
      <c r="L62" s="210"/>
      <c r="M62" s="211">
        <f t="shared" si="2"/>
        <v>0</v>
      </c>
      <c r="N62" s="211"/>
      <c r="O62" s="212"/>
      <c r="P62" s="273"/>
      <c r="Q62" s="211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361</v>
      </c>
      <c r="C63" s="374" t="s">
        <v>39</v>
      </c>
      <c r="D63" s="374" t="s">
        <v>393</v>
      </c>
      <c r="E63" s="377" t="s">
        <v>27</v>
      </c>
      <c r="F63" s="204" t="s">
        <v>394</v>
      </c>
      <c r="G63" s="213" t="s">
        <v>24</v>
      </c>
      <c r="H63" s="24">
        <v>12</v>
      </c>
      <c r="I63" s="62">
        <v>9</v>
      </c>
      <c r="J63" s="62">
        <v>10</v>
      </c>
      <c r="K63" s="30">
        <v>13332.05</v>
      </c>
      <c r="L63" s="205">
        <v>3</v>
      </c>
      <c r="M63" s="26">
        <f t="shared" si="2"/>
        <v>5443.83</v>
      </c>
      <c r="N63" s="30">
        <v>5443.83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247"/>
      <c r="G64" s="279" t="s">
        <v>28</v>
      </c>
      <c r="H64" s="207">
        <v>5</v>
      </c>
      <c r="I64" s="208"/>
      <c r="J64" s="208"/>
      <c r="K64" s="209"/>
      <c r="L64" s="210"/>
      <c r="M64" s="211">
        <f t="shared" si="2"/>
        <v>0</v>
      </c>
      <c r="N64" s="211"/>
      <c r="O64" s="212"/>
      <c r="P64" s="280"/>
      <c r="Q64" s="209"/>
      <c r="R64" s="210"/>
      <c r="S64" s="211">
        <f t="shared" si="3"/>
        <v>0</v>
      </c>
      <c r="T64" s="211"/>
      <c r="U64" s="212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362</v>
      </c>
      <c r="C65" s="374" t="s">
        <v>39</v>
      </c>
      <c r="D65" s="374" t="s">
        <v>395</v>
      </c>
      <c r="E65" s="374" t="s">
        <v>27</v>
      </c>
      <c r="F65" s="204" t="s">
        <v>396</v>
      </c>
      <c r="G65" s="176" t="s">
        <v>24</v>
      </c>
      <c r="H65" s="248">
        <v>7</v>
      </c>
      <c r="I65" s="62">
        <v>3</v>
      </c>
      <c r="J65" s="62">
        <v>4</v>
      </c>
      <c r="K65" s="30">
        <v>8451.36</v>
      </c>
      <c r="L65" s="205">
        <v>4</v>
      </c>
      <c r="M65" s="26">
        <f t="shared" si="2"/>
        <v>8451.36</v>
      </c>
      <c r="N65" s="30">
        <v>8451.36</v>
      </c>
      <c r="O65" s="28"/>
      <c r="P65" s="214"/>
      <c r="Q65" s="30"/>
      <c r="R65" s="27"/>
      <c r="S65" s="26">
        <f t="shared" si="3"/>
        <v>0</v>
      </c>
      <c r="T65" s="26"/>
      <c r="U65" s="2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34"/>
      <c r="G66" s="229" t="s">
        <v>28</v>
      </c>
      <c r="H66" s="258">
        <v>6</v>
      </c>
      <c r="I66" s="37">
        <v>1</v>
      </c>
      <c r="J66" s="37">
        <v>1</v>
      </c>
      <c r="K66" s="68">
        <v>2207.6999999999998</v>
      </c>
      <c r="L66" s="40"/>
      <c r="M66" s="39">
        <f t="shared" si="2"/>
        <v>0</v>
      </c>
      <c r="N66" s="39"/>
      <c r="O66" s="41"/>
      <c r="P66" s="217"/>
      <c r="Q66" s="68"/>
      <c r="R66" s="40"/>
      <c r="S66" s="39">
        <f t="shared" si="3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6"/>
      <c r="B67" s="377" t="s">
        <v>72</v>
      </c>
      <c r="C67" s="377" t="s">
        <v>39</v>
      </c>
      <c r="D67" s="377" t="s">
        <v>363</v>
      </c>
      <c r="E67" s="377" t="s">
        <v>27</v>
      </c>
      <c r="F67" s="232" t="s">
        <v>364</v>
      </c>
      <c r="G67" s="95" t="s">
        <v>24</v>
      </c>
      <c r="H67" s="281">
        <v>7</v>
      </c>
      <c r="I67" s="266">
        <v>4</v>
      </c>
      <c r="J67" s="266">
        <v>4</v>
      </c>
      <c r="K67" s="79">
        <v>11251.64</v>
      </c>
      <c r="L67" s="268">
        <v>3</v>
      </c>
      <c r="M67" s="81">
        <f t="shared" si="2"/>
        <v>10543.17</v>
      </c>
      <c r="N67" s="79">
        <v>10543.17</v>
      </c>
      <c r="O67" s="219"/>
      <c r="P67" s="267">
        <v>3</v>
      </c>
      <c r="Q67" s="79">
        <v>4835.93</v>
      </c>
      <c r="R67" s="268">
        <v>3</v>
      </c>
      <c r="S67" s="81">
        <f t="shared" si="3"/>
        <v>4835.93</v>
      </c>
      <c r="T67" s="79">
        <v>4835.93</v>
      </c>
      <c r="U67" s="269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9"/>
      <c r="B68" s="380"/>
      <c r="C68" s="380"/>
      <c r="D68" s="380"/>
      <c r="E68" s="380"/>
      <c r="F68" s="233" t="s">
        <v>223</v>
      </c>
      <c r="G68" s="227" t="s">
        <v>28</v>
      </c>
      <c r="H68" s="112">
        <v>6</v>
      </c>
      <c r="I68" s="130">
        <v>4</v>
      </c>
      <c r="J68" s="130">
        <v>4</v>
      </c>
      <c r="K68" s="114">
        <v>6601.18</v>
      </c>
      <c r="L68" s="316">
        <v>4</v>
      </c>
      <c r="M68" s="129">
        <f t="shared" si="2"/>
        <v>6601.18</v>
      </c>
      <c r="N68" s="43">
        <f>1344.7+1738.48+2113.1+1404.9</f>
        <v>6601.18</v>
      </c>
      <c r="O68" s="45"/>
      <c r="P68" s="103"/>
      <c r="Q68" s="43"/>
      <c r="R68" s="128"/>
      <c r="S68" s="129">
        <f t="shared" si="3"/>
        <v>0</v>
      </c>
      <c r="T68" s="43"/>
      <c r="U68" s="45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73</v>
      </c>
      <c r="C69" s="374" t="s">
        <v>22</v>
      </c>
      <c r="D69" s="374"/>
      <c r="E69" s="374" t="s">
        <v>27</v>
      </c>
      <c r="F69" s="204" t="s">
        <v>209</v>
      </c>
      <c r="G69" s="176" t="s">
        <v>24</v>
      </c>
      <c r="H69" s="61">
        <v>5</v>
      </c>
      <c r="I69" s="62">
        <v>4</v>
      </c>
      <c r="J69" s="62">
        <v>4</v>
      </c>
      <c r="K69" s="30">
        <v>5904.82</v>
      </c>
      <c r="L69" s="205">
        <v>4</v>
      </c>
      <c r="M69" s="26">
        <f t="shared" si="2"/>
        <v>5904.82</v>
      </c>
      <c r="N69" s="30">
        <v>5904.82</v>
      </c>
      <c r="O69" s="28"/>
      <c r="P69" s="29">
        <v>9</v>
      </c>
      <c r="Q69" s="30">
        <v>16995.990000000002</v>
      </c>
      <c r="R69" s="205">
        <v>9</v>
      </c>
      <c r="S69" s="26">
        <f t="shared" si="3"/>
        <v>16995.990000000002</v>
      </c>
      <c r="T69" s="30">
        <v>16995.990000000002</v>
      </c>
      <c r="U69" s="2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05"/>
      <c r="G70" s="229" t="s">
        <v>28</v>
      </c>
      <c r="H70" s="106"/>
      <c r="I70" s="38"/>
      <c r="J70" s="38"/>
      <c r="K70" s="39"/>
      <c r="L70" s="40"/>
      <c r="M70" s="39">
        <f t="shared" si="2"/>
        <v>0</v>
      </c>
      <c r="N70" s="39"/>
      <c r="O70" s="41"/>
      <c r="P70" s="69"/>
      <c r="Q70" s="39"/>
      <c r="R70" s="40"/>
      <c r="S70" s="39">
        <f t="shared" si="3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74</v>
      </c>
      <c r="C71" s="374" t="s">
        <v>39</v>
      </c>
      <c r="D71" s="374" t="s">
        <v>264</v>
      </c>
      <c r="E71" s="374" t="s">
        <v>27</v>
      </c>
      <c r="F71" s="204" t="s">
        <v>265</v>
      </c>
      <c r="G71" s="176" t="s">
        <v>24</v>
      </c>
      <c r="H71" s="48">
        <v>2</v>
      </c>
      <c r="I71" s="49"/>
      <c r="J71" s="49"/>
      <c r="K71" s="50"/>
      <c r="L71" s="51"/>
      <c r="M71" s="50">
        <f t="shared" si="2"/>
        <v>0</v>
      </c>
      <c r="N71" s="50"/>
      <c r="O71" s="31"/>
      <c r="P71" s="108">
        <v>20</v>
      </c>
      <c r="Q71" s="65">
        <v>107069.27</v>
      </c>
      <c r="R71" s="224">
        <v>15</v>
      </c>
      <c r="S71" s="50">
        <f t="shared" si="3"/>
        <v>73353.95</v>
      </c>
      <c r="T71" s="65">
        <v>73353.95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286</v>
      </c>
      <c r="G72" s="229" t="s">
        <v>28</v>
      </c>
      <c r="H72" s="56">
        <v>5</v>
      </c>
      <c r="I72" s="130">
        <v>1</v>
      </c>
      <c r="J72" s="130">
        <v>1</v>
      </c>
      <c r="K72" s="114">
        <v>1056.5999999999999</v>
      </c>
      <c r="L72" s="270">
        <v>1</v>
      </c>
      <c r="M72" s="43">
        <f t="shared" si="2"/>
        <v>1152.5999999999999</v>
      </c>
      <c r="N72" s="43">
        <f>1152.6</f>
        <v>1152.5999999999999</v>
      </c>
      <c r="O72" s="41"/>
      <c r="P72" s="113">
        <v>1</v>
      </c>
      <c r="Q72" s="114">
        <v>2881.5</v>
      </c>
      <c r="R72" s="270">
        <v>1</v>
      </c>
      <c r="S72" s="43">
        <f t="shared" si="3"/>
        <v>2881.5</v>
      </c>
      <c r="T72" s="114">
        <v>2881.5</v>
      </c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76</v>
      </c>
      <c r="C73" s="374" t="s">
        <v>39</v>
      </c>
      <c r="D73" s="374" t="s">
        <v>397</v>
      </c>
      <c r="E73" s="374" t="s">
        <v>77</v>
      </c>
      <c r="F73" s="232" t="s">
        <v>398</v>
      </c>
      <c r="G73" s="23" t="s">
        <v>24</v>
      </c>
      <c r="H73" s="61">
        <v>10</v>
      </c>
      <c r="I73" s="62">
        <v>9</v>
      </c>
      <c r="J73" s="62">
        <v>12</v>
      </c>
      <c r="K73" s="30">
        <v>34420.35</v>
      </c>
      <c r="L73" s="205">
        <v>12</v>
      </c>
      <c r="M73" s="26">
        <f t="shared" si="2"/>
        <v>34420.35</v>
      </c>
      <c r="N73" s="30">
        <v>34420.35</v>
      </c>
      <c r="O73" s="225"/>
      <c r="P73" s="29">
        <v>5</v>
      </c>
      <c r="Q73" s="30">
        <v>10539.19</v>
      </c>
      <c r="R73" s="205">
        <v>5</v>
      </c>
      <c r="S73" s="26">
        <f t="shared" si="3"/>
        <v>10539.19</v>
      </c>
      <c r="T73" s="30">
        <v>10539.19</v>
      </c>
      <c r="U73" s="225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220" t="s">
        <v>287</v>
      </c>
      <c r="G74" s="35" t="s">
        <v>28</v>
      </c>
      <c r="H74" s="117">
        <v>4</v>
      </c>
      <c r="I74" s="38"/>
      <c r="J74" s="38"/>
      <c r="K74" s="39"/>
      <c r="L74" s="40"/>
      <c r="M74" s="39">
        <f t="shared" si="2"/>
        <v>0</v>
      </c>
      <c r="N74" s="39"/>
      <c r="O74" s="41"/>
      <c r="P74" s="69"/>
      <c r="Q74" s="39"/>
      <c r="R74" s="40"/>
      <c r="S74" s="39">
        <f t="shared" si="3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78</v>
      </c>
      <c r="C75" s="381" t="s">
        <v>22</v>
      </c>
      <c r="D75" s="381"/>
      <c r="E75" s="374" t="s">
        <v>77</v>
      </c>
      <c r="F75" s="204" t="s">
        <v>408</v>
      </c>
      <c r="G75" s="47" t="s">
        <v>24</v>
      </c>
      <c r="H75" s="48">
        <v>2</v>
      </c>
      <c r="I75" s="203">
        <v>2</v>
      </c>
      <c r="J75" s="203">
        <v>3</v>
      </c>
      <c r="K75" s="65">
        <v>1661.67</v>
      </c>
      <c r="L75" s="224">
        <v>1</v>
      </c>
      <c r="M75" s="50">
        <f t="shared" si="2"/>
        <v>633.92999999999995</v>
      </c>
      <c r="N75" s="65">
        <v>633.92999999999995</v>
      </c>
      <c r="O75" s="225"/>
      <c r="P75" s="123"/>
      <c r="Q75" s="50"/>
      <c r="R75" s="51"/>
      <c r="S75" s="50">
        <f t="shared" si="3"/>
        <v>0</v>
      </c>
      <c r="T75" s="50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26"/>
      <c r="G76" s="55" t="s">
        <v>28</v>
      </c>
      <c r="H76" s="131"/>
      <c r="I76" s="57"/>
      <c r="J76" s="57"/>
      <c r="K76" s="43"/>
      <c r="L76" s="44"/>
      <c r="M76" s="43">
        <f t="shared" si="2"/>
        <v>0</v>
      </c>
      <c r="N76" s="43"/>
      <c r="O76" s="41"/>
      <c r="P76" s="103"/>
      <c r="Q76" s="43"/>
      <c r="R76" s="44"/>
      <c r="S76" s="43">
        <f t="shared" si="3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79</v>
      </c>
      <c r="C77" s="374" t="s">
        <v>22</v>
      </c>
      <c r="D77" s="374"/>
      <c r="E77" s="374" t="s">
        <v>50</v>
      </c>
      <c r="F77" s="204" t="s">
        <v>444</v>
      </c>
      <c r="G77" s="23" t="s">
        <v>24</v>
      </c>
      <c r="H77" s="61">
        <v>8</v>
      </c>
      <c r="I77" s="62">
        <v>6</v>
      </c>
      <c r="J77" s="62">
        <v>9</v>
      </c>
      <c r="K77" s="30">
        <v>14971.8</v>
      </c>
      <c r="L77" s="205">
        <v>9</v>
      </c>
      <c r="M77" s="26">
        <f t="shared" si="2"/>
        <v>14971.8</v>
      </c>
      <c r="N77" s="30">
        <v>14971.8</v>
      </c>
      <c r="O77" s="31"/>
      <c r="P77" s="53">
        <v>3</v>
      </c>
      <c r="Q77" s="30">
        <v>6335.58</v>
      </c>
      <c r="R77" s="205">
        <v>2</v>
      </c>
      <c r="S77" s="26">
        <f t="shared" si="3"/>
        <v>4729.9799999999996</v>
      </c>
      <c r="T77" s="30">
        <v>4729.9799999999996</v>
      </c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35" t="s">
        <v>25</v>
      </c>
      <c r="H78" s="117">
        <v>3</v>
      </c>
      <c r="I78" s="37">
        <v>2</v>
      </c>
      <c r="J78" s="37">
        <v>2</v>
      </c>
      <c r="K78" s="68">
        <v>1479.45</v>
      </c>
      <c r="L78" s="285">
        <v>2</v>
      </c>
      <c r="M78" s="68">
        <v>1479.45</v>
      </c>
      <c r="N78" s="68">
        <v>1479.45</v>
      </c>
      <c r="O78" s="41"/>
      <c r="P78" s="59"/>
      <c r="Q78" s="39"/>
      <c r="R78" s="40"/>
      <c r="S78" s="39">
        <f t="shared" si="3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82"/>
      <c r="B79" s="381" t="s">
        <v>80</v>
      </c>
      <c r="C79" s="381" t="s">
        <v>22</v>
      </c>
      <c r="D79" s="381"/>
      <c r="E79" s="381" t="s">
        <v>67</v>
      </c>
      <c r="F79" s="223" t="s">
        <v>399</v>
      </c>
      <c r="G79" s="47" t="s">
        <v>24</v>
      </c>
      <c r="H79" s="48">
        <v>11</v>
      </c>
      <c r="I79" s="203">
        <v>6</v>
      </c>
      <c r="J79" s="203">
        <v>9</v>
      </c>
      <c r="K79" s="158">
        <v>12064.84</v>
      </c>
      <c r="L79" s="224">
        <v>9</v>
      </c>
      <c r="M79" s="50">
        <f t="shared" ref="M79:M95" si="4">N79+O79</f>
        <v>12064.84</v>
      </c>
      <c r="N79" s="65">
        <v>12064.84</v>
      </c>
      <c r="O79" s="225"/>
      <c r="P79" s="108">
        <v>10</v>
      </c>
      <c r="Q79" s="65">
        <v>40632.5</v>
      </c>
      <c r="R79" s="224">
        <v>10</v>
      </c>
      <c r="S79" s="50">
        <f t="shared" si="3"/>
        <v>40632.5</v>
      </c>
      <c r="T79" s="65">
        <v>40632.5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9"/>
      <c r="B80" s="380"/>
      <c r="C80" s="380"/>
      <c r="D80" s="380"/>
      <c r="E80" s="380"/>
      <c r="F80" s="226"/>
      <c r="G80" s="227" t="s">
        <v>28</v>
      </c>
      <c r="H80" s="118"/>
      <c r="I80" s="57"/>
      <c r="J80" s="57"/>
      <c r="L80" s="44"/>
      <c r="M80" s="43">
        <f t="shared" si="4"/>
        <v>0</v>
      </c>
      <c r="N80" s="43"/>
      <c r="O80" s="41"/>
      <c r="P80" s="103"/>
      <c r="Q80" s="43"/>
      <c r="R80" s="44"/>
      <c r="S80" s="43">
        <f t="shared" si="3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81</v>
      </c>
      <c r="C81" s="374" t="s">
        <v>39</v>
      </c>
      <c r="D81" s="374" t="s">
        <v>224</v>
      </c>
      <c r="E81" s="374" t="s">
        <v>65</v>
      </c>
      <c r="F81" s="204" t="s">
        <v>225</v>
      </c>
      <c r="G81" s="176" t="s">
        <v>24</v>
      </c>
      <c r="H81" s="248">
        <v>36</v>
      </c>
      <c r="I81" s="62">
        <v>32</v>
      </c>
      <c r="J81" s="62">
        <v>48</v>
      </c>
      <c r="K81" s="30">
        <v>91477.55</v>
      </c>
      <c r="L81" s="205">
        <v>48</v>
      </c>
      <c r="M81" s="26">
        <f t="shared" si="4"/>
        <v>91477.55</v>
      </c>
      <c r="N81" s="30">
        <v>91477.55</v>
      </c>
      <c r="O81" s="225"/>
      <c r="P81" s="29">
        <v>24</v>
      </c>
      <c r="Q81" s="30">
        <v>80699.88</v>
      </c>
      <c r="R81" s="205">
        <v>24</v>
      </c>
      <c r="S81" s="26">
        <f t="shared" si="3"/>
        <v>80699.88</v>
      </c>
      <c r="T81" s="30">
        <v>80699.88</v>
      </c>
      <c r="U81" s="225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282" t="s">
        <v>28</v>
      </c>
      <c r="H82" s="283"/>
      <c r="I82" s="261"/>
      <c r="J82" s="261"/>
      <c r="K82" s="211"/>
      <c r="L82" s="210"/>
      <c r="M82" s="211">
        <f t="shared" si="4"/>
        <v>0</v>
      </c>
      <c r="N82" s="211"/>
      <c r="O82" s="212"/>
      <c r="P82" s="284"/>
      <c r="Q82" s="211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365</v>
      </c>
      <c r="C83" s="374" t="s">
        <v>39</v>
      </c>
      <c r="D83" s="378" t="s">
        <v>409</v>
      </c>
      <c r="E83" s="374" t="s">
        <v>65</v>
      </c>
      <c r="F83" s="232" t="s">
        <v>410</v>
      </c>
      <c r="G83" s="213" t="s">
        <v>24</v>
      </c>
      <c r="H83" s="24">
        <v>6</v>
      </c>
      <c r="I83" s="62">
        <v>4</v>
      </c>
      <c r="J83" s="62">
        <v>4</v>
      </c>
      <c r="K83" s="30">
        <v>6490.05</v>
      </c>
      <c r="L83" s="205">
        <v>3</v>
      </c>
      <c r="M83" s="26">
        <f t="shared" si="4"/>
        <v>4115.55</v>
      </c>
      <c r="N83" s="30">
        <v>4115.55</v>
      </c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47"/>
      <c r="G84" s="279" t="s">
        <v>28</v>
      </c>
      <c r="H84" s="207">
        <v>4</v>
      </c>
      <c r="I84" s="208">
        <v>1</v>
      </c>
      <c r="J84" s="208">
        <v>1</v>
      </c>
      <c r="K84" s="209">
        <v>2305.1999999999998</v>
      </c>
      <c r="L84" s="290">
        <v>1</v>
      </c>
      <c r="M84" s="211">
        <f t="shared" si="4"/>
        <v>2305.1999999999998</v>
      </c>
      <c r="N84" s="211">
        <f>2305.2</f>
        <v>2305.1999999999998</v>
      </c>
      <c r="O84" s="212"/>
      <c r="P84" s="280"/>
      <c r="Q84" s="209"/>
      <c r="R84" s="210"/>
      <c r="S84" s="211">
        <f t="shared" si="3"/>
        <v>0</v>
      </c>
      <c r="T84" s="211"/>
      <c r="U84" s="212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400</v>
      </c>
      <c r="C85" s="374" t="s">
        <v>22</v>
      </c>
      <c r="D85" s="378"/>
      <c r="E85" s="374" t="s">
        <v>401</v>
      </c>
      <c r="F85" s="204" t="s">
        <v>402</v>
      </c>
      <c r="G85" s="213" t="s">
        <v>24</v>
      </c>
      <c r="H85" s="24"/>
      <c r="I85" s="62"/>
      <c r="J85" s="62"/>
      <c r="K85" s="30"/>
      <c r="L85" s="27"/>
      <c r="M85" s="26">
        <f t="shared" si="4"/>
        <v>0</v>
      </c>
      <c r="N85" s="26"/>
      <c r="O85" s="28"/>
      <c r="P85" s="214"/>
      <c r="Q85" s="30"/>
      <c r="R85" s="27"/>
      <c r="S85" s="26">
        <f t="shared" si="3"/>
        <v>0</v>
      </c>
      <c r="T85" s="26"/>
      <c r="U85" s="2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34"/>
      <c r="G86" s="215" t="s">
        <v>28</v>
      </c>
      <c r="H86" s="66"/>
      <c r="I86" s="37"/>
      <c r="J86" s="37"/>
      <c r="K86" s="68"/>
      <c r="L86" s="40"/>
      <c r="M86" s="39">
        <f t="shared" si="4"/>
        <v>0</v>
      </c>
      <c r="N86" s="39"/>
      <c r="O86" s="41"/>
      <c r="P86" s="217"/>
      <c r="Q86" s="68"/>
      <c r="R86" s="40"/>
      <c r="S86" s="39">
        <f t="shared" si="3"/>
        <v>0</v>
      </c>
      <c r="T86" s="39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6"/>
      <c r="B87" s="377" t="s">
        <v>82</v>
      </c>
      <c r="C87" s="377" t="s">
        <v>22</v>
      </c>
      <c r="D87" s="400"/>
      <c r="E87" s="377" t="s">
        <v>83</v>
      </c>
      <c r="F87" s="223" t="s">
        <v>404</v>
      </c>
      <c r="G87" s="95" t="s">
        <v>24</v>
      </c>
      <c r="H87" s="281">
        <v>10</v>
      </c>
      <c r="I87" s="266">
        <v>8</v>
      </c>
      <c r="J87" s="266">
        <v>13</v>
      </c>
      <c r="K87" s="79">
        <v>22197.56</v>
      </c>
      <c r="L87" s="268">
        <v>13</v>
      </c>
      <c r="M87" s="81">
        <f t="shared" si="4"/>
        <v>22197.56</v>
      </c>
      <c r="N87" s="79">
        <v>22197.56</v>
      </c>
      <c r="O87" s="269"/>
      <c r="P87" s="267">
        <v>10</v>
      </c>
      <c r="Q87" s="79">
        <v>23116.35</v>
      </c>
      <c r="R87" s="268">
        <v>9</v>
      </c>
      <c r="S87" s="81">
        <f t="shared" si="3"/>
        <v>22011.75</v>
      </c>
      <c r="T87" s="79">
        <v>22011.75</v>
      </c>
      <c r="U87" s="269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54"/>
      <c r="G88" s="55" t="s">
        <v>25</v>
      </c>
      <c r="H88" s="121">
        <v>2</v>
      </c>
      <c r="I88" s="130">
        <v>1</v>
      </c>
      <c r="J88" s="130">
        <v>1</v>
      </c>
      <c r="K88" s="114">
        <v>1344.7</v>
      </c>
      <c r="L88" s="270">
        <v>1</v>
      </c>
      <c r="M88" s="43">
        <f t="shared" si="4"/>
        <v>1344.7</v>
      </c>
      <c r="N88" s="114">
        <v>1344.7</v>
      </c>
      <c r="O88" s="234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84</v>
      </c>
      <c r="C89" s="374"/>
      <c r="D89" s="378"/>
      <c r="E89" s="374"/>
      <c r="F89" s="60"/>
      <c r="G89" s="23" t="s">
        <v>24</v>
      </c>
      <c r="H89" s="119"/>
      <c r="I89" s="25"/>
      <c r="J89" s="25"/>
      <c r="K89" s="26"/>
      <c r="L89" s="27"/>
      <c r="M89" s="26">
        <f t="shared" si="4"/>
        <v>0</v>
      </c>
      <c r="N89" s="26"/>
      <c r="O89" s="31"/>
      <c r="P89" s="120"/>
      <c r="Q89" s="26"/>
      <c r="R89" s="27"/>
      <c r="S89" s="26">
        <f t="shared" si="3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132"/>
      <c r="G90" s="35" t="s">
        <v>28</v>
      </c>
      <c r="H90" s="36"/>
      <c r="I90" s="38"/>
      <c r="J90" s="38"/>
      <c r="K90" s="39"/>
      <c r="L90" s="40"/>
      <c r="M90" s="39">
        <f t="shared" si="4"/>
        <v>0</v>
      </c>
      <c r="N90" s="39"/>
      <c r="O90" s="41"/>
      <c r="P90" s="69"/>
      <c r="Q90" s="39"/>
      <c r="R90" s="40"/>
      <c r="S90" s="39">
        <f t="shared" si="3"/>
        <v>0</v>
      </c>
      <c r="T90" s="39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82"/>
      <c r="B91" s="381" t="s">
        <v>85</v>
      </c>
      <c r="C91" s="381" t="s">
        <v>22</v>
      </c>
      <c r="D91" s="385"/>
      <c r="E91" s="381" t="s">
        <v>27</v>
      </c>
      <c r="F91" s="127"/>
      <c r="G91" s="47" t="s">
        <v>24</v>
      </c>
      <c r="H91" s="98"/>
      <c r="I91" s="49"/>
      <c r="J91" s="49"/>
      <c r="K91" s="50"/>
      <c r="L91" s="51"/>
      <c r="M91" s="50">
        <f t="shared" si="4"/>
        <v>0</v>
      </c>
      <c r="N91" s="50"/>
      <c r="O91" s="31"/>
      <c r="P91" s="108">
        <v>1</v>
      </c>
      <c r="Q91" s="65">
        <v>405.02</v>
      </c>
      <c r="R91" s="51"/>
      <c r="S91" s="50">
        <f t="shared" si="3"/>
        <v>0</v>
      </c>
      <c r="T91" s="50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26"/>
      <c r="G92" s="227" t="s">
        <v>28</v>
      </c>
      <c r="H92" s="116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86</v>
      </c>
      <c r="C93" s="374" t="s">
        <v>39</v>
      </c>
      <c r="D93" s="374" t="s">
        <v>266</v>
      </c>
      <c r="E93" s="374" t="s">
        <v>23</v>
      </c>
      <c r="F93" s="204" t="s">
        <v>267</v>
      </c>
      <c r="G93" s="176" t="s">
        <v>24</v>
      </c>
      <c r="H93" s="151">
        <v>2</v>
      </c>
      <c r="I93" s="25"/>
      <c r="J93" s="25"/>
      <c r="K93" s="26"/>
      <c r="L93" s="27"/>
      <c r="M93" s="26">
        <f t="shared" si="4"/>
        <v>0</v>
      </c>
      <c r="N93" s="26"/>
      <c r="O93" s="31"/>
      <c r="P93" s="53">
        <v>8</v>
      </c>
      <c r="Q93" s="30">
        <v>23413.73</v>
      </c>
      <c r="R93" s="205">
        <v>8</v>
      </c>
      <c r="S93" s="26">
        <f t="shared" si="3"/>
        <v>23413.73</v>
      </c>
      <c r="T93" s="30">
        <v>23413.73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25</v>
      </c>
      <c r="H94" s="118"/>
      <c r="I94" s="57"/>
      <c r="J94" s="57"/>
      <c r="K94" s="43"/>
      <c r="L94" s="44"/>
      <c r="M94" s="43">
        <f t="shared" si="4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87</v>
      </c>
      <c r="C95" s="374" t="s">
        <v>39</v>
      </c>
      <c r="D95" s="374" t="s">
        <v>88</v>
      </c>
      <c r="E95" s="374" t="s">
        <v>89</v>
      </c>
      <c r="F95" s="232" t="s">
        <v>268</v>
      </c>
      <c r="G95" s="23" t="s">
        <v>24</v>
      </c>
      <c r="H95" s="61">
        <v>15</v>
      </c>
      <c r="I95" s="62">
        <v>12</v>
      </c>
      <c r="J95" s="62">
        <v>17</v>
      </c>
      <c r="K95" s="30">
        <v>29987.31</v>
      </c>
      <c r="L95" s="205">
        <v>17</v>
      </c>
      <c r="M95" s="26">
        <f t="shared" si="4"/>
        <v>29987.31</v>
      </c>
      <c r="N95" s="30">
        <v>29987.31</v>
      </c>
      <c r="O95" s="31"/>
      <c r="P95" s="53">
        <v>10</v>
      </c>
      <c r="Q95" s="30">
        <v>37366.67</v>
      </c>
      <c r="R95" s="205">
        <v>10</v>
      </c>
      <c r="S95" s="26">
        <f t="shared" si="3"/>
        <v>37366.67</v>
      </c>
      <c r="T95" s="30">
        <v>37366.67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290</v>
      </c>
      <c r="G96" s="35" t="s">
        <v>25</v>
      </c>
      <c r="H96" s="117">
        <v>7</v>
      </c>
      <c r="I96" s="37">
        <v>5</v>
      </c>
      <c r="J96" s="37">
        <v>5</v>
      </c>
      <c r="K96" s="68">
        <v>8538.9599999999991</v>
      </c>
      <c r="L96" s="285">
        <v>5</v>
      </c>
      <c r="M96" s="68">
        <v>8538.9599999999991</v>
      </c>
      <c r="N96" s="68">
        <v>8538.9599999999991</v>
      </c>
      <c r="O96" s="234"/>
      <c r="P96" s="115">
        <v>7</v>
      </c>
      <c r="Q96" s="68">
        <v>19517.39</v>
      </c>
      <c r="R96" s="285">
        <v>7</v>
      </c>
      <c r="S96" s="68">
        <v>19517.36</v>
      </c>
      <c r="T96" s="68">
        <v>19517.36</v>
      </c>
      <c r="U96" s="23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90</v>
      </c>
      <c r="C97" s="374" t="s">
        <v>39</v>
      </c>
      <c r="D97" s="374" t="s">
        <v>91</v>
      </c>
      <c r="E97" s="374" t="s">
        <v>27</v>
      </c>
      <c r="F97" s="204" t="s">
        <v>291</v>
      </c>
      <c r="G97" s="176" t="s">
        <v>24</v>
      </c>
      <c r="H97" s="48">
        <v>5</v>
      </c>
      <c r="I97" s="203">
        <v>2</v>
      </c>
      <c r="J97" s="203">
        <v>2</v>
      </c>
      <c r="K97" s="65">
        <v>2539.56</v>
      </c>
      <c r="L97" s="224">
        <v>2</v>
      </c>
      <c r="M97" s="50">
        <f>N97+O97</f>
        <v>2539.56</v>
      </c>
      <c r="N97" s="65">
        <v>2539.56</v>
      </c>
      <c r="O97" s="31"/>
      <c r="P97" s="108">
        <v>8</v>
      </c>
      <c r="Q97" s="65">
        <v>93924.24</v>
      </c>
      <c r="R97" s="224">
        <v>8</v>
      </c>
      <c r="S97" s="50">
        <f t="shared" ref="S97:S103" si="5">T97+U97</f>
        <v>93924.24</v>
      </c>
      <c r="T97" s="65">
        <v>93924.24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229</v>
      </c>
      <c r="G98" s="229" t="s">
        <v>28</v>
      </c>
      <c r="H98" s="133">
        <v>4</v>
      </c>
      <c r="I98" s="130">
        <v>1</v>
      </c>
      <c r="J98" s="130">
        <v>1</v>
      </c>
      <c r="K98" s="114">
        <v>1344.7</v>
      </c>
      <c r="L98" s="270">
        <v>1</v>
      </c>
      <c r="M98" s="114">
        <v>1344.7</v>
      </c>
      <c r="N98" s="114">
        <v>1344.7</v>
      </c>
      <c r="O98" s="41"/>
      <c r="P98" s="113">
        <v>1</v>
      </c>
      <c r="Q98" s="114">
        <v>1404.9</v>
      </c>
      <c r="R98" s="44"/>
      <c r="S98" s="43">
        <f t="shared" si="5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92</v>
      </c>
      <c r="C99" s="374" t="s">
        <v>22</v>
      </c>
      <c r="D99" s="374"/>
      <c r="E99" s="374" t="s">
        <v>27</v>
      </c>
      <c r="F99" s="232" t="s">
        <v>269</v>
      </c>
      <c r="G99" s="23" t="s">
        <v>24</v>
      </c>
      <c r="H99" s="151">
        <v>4</v>
      </c>
      <c r="I99" s="62">
        <v>3</v>
      </c>
      <c r="J99" s="62">
        <v>3</v>
      </c>
      <c r="K99" s="30">
        <v>7389.22</v>
      </c>
      <c r="L99" s="205">
        <v>2</v>
      </c>
      <c r="M99" s="26">
        <f t="shared" ref="M99:M103" si="6">N99+O99</f>
        <v>6064.6</v>
      </c>
      <c r="N99" s="30">
        <v>6064.6</v>
      </c>
      <c r="O99" s="31"/>
      <c r="P99" s="53">
        <v>8</v>
      </c>
      <c r="Q99" s="30">
        <v>39013.760000000002</v>
      </c>
      <c r="R99" s="205">
        <v>7</v>
      </c>
      <c r="S99" s="26">
        <f t="shared" si="5"/>
        <v>37669.07</v>
      </c>
      <c r="T99" s="30">
        <v>37669.07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9"/>
      <c r="B100" s="380"/>
      <c r="C100" s="380"/>
      <c r="D100" s="380"/>
      <c r="E100" s="380"/>
      <c r="F100" s="233" t="s">
        <v>230</v>
      </c>
      <c r="G100" s="227" t="s">
        <v>28</v>
      </c>
      <c r="H100" s="133">
        <v>2</v>
      </c>
      <c r="I100" s="130">
        <v>2</v>
      </c>
      <c r="J100" s="130">
        <v>2</v>
      </c>
      <c r="K100" s="114">
        <v>1756.5</v>
      </c>
      <c r="L100" s="270">
        <v>2</v>
      </c>
      <c r="M100" s="43">
        <f t="shared" si="6"/>
        <v>1780.5</v>
      </c>
      <c r="N100" s="43">
        <f>576.3+1204.2</f>
        <v>1780.5</v>
      </c>
      <c r="O100" s="41"/>
      <c r="P100" s="103"/>
      <c r="Q100" s="43"/>
      <c r="R100" s="44"/>
      <c r="S100" s="43">
        <f t="shared" si="5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93</v>
      </c>
      <c r="C101" s="374" t="s">
        <v>22</v>
      </c>
      <c r="D101" s="374"/>
      <c r="E101" s="374" t="s">
        <v>27</v>
      </c>
      <c r="F101" s="204" t="s">
        <v>412</v>
      </c>
      <c r="G101" s="176" t="s">
        <v>24</v>
      </c>
      <c r="H101" s="151">
        <v>3</v>
      </c>
      <c r="I101" s="62">
        <v>2</v>
      </c>
      <c r="J101" s="62">
        <v>3</v>
      </c>
      <c r="K101" s="30">
        <v>4738.63</v>
      </c>
      <c r="L101" s="205">
        <v>3</v>
      </c>
      <c r="M101" s="26">
        <f t="shared" si="6"/>
        <v>4738.63</v>
      </c>
      <c r="N101" s="30">
        <v>4738.63</v>
      </c>
      <c r="O101" s="225"/>
      <c r="P101" s="53">
        <v>3</v>
      </c>
      <c r="Q101" s="30">
        <v>15479.57</v>
      </c>
      <c r="R101" s="205">
        <v>3</v>
      </c>
      <c r="S101" s="26">
        <f t="shared" si="5"/>
        <v>15479.57</v>
      </c>
      <c r="T101" s="30">
        <v>15479.57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105"/>
      <c r="G102" s="229" t="s">
        <v>28</v>
      </c>
      <c r="H102" s="116"/>
      <c r="I102" s="57"/>
      <c r="J102" s="57"/>
      <c r="K102" s="43"/>
      <c r="L102" s="44"/>
      <c r="M102" s="43">
        <f t="shared" si="6"/>
        <v>0</v>
      </c>
      <c r="N102" s="43"/>
      <c r="O102" s="41"/>
      <c r="P102" s="103"/>
      <c r="Q102" s="43"/>
      <c r="R102" s="44"/>
      <c r="S102" s="43">
        <f t="shared" si="5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94</v>
      </c>
      <c r="C103" s="374" t="s">
        <v>39</v>
      </c>
      <c r="D103" s="374" t="s">
        <v>95</v>
      </c>
      <c r="E103" s="374" t="s">
        <v>96</v>
      </c>
      <c r="F103" s="204" t="s">
        <v>292</v>
      </c>
      <c r="G103" s="176" t="s">
        <v>24</v>
      </c>
      <c r="H103" s="48">
        <v>6</v>
      </c>
      <c r="I103" s="62">
        <v>4</v>
      </c>
      <c r="J103" s="62">
        <v>5</v>
      </c>
      <c r="K103" s="30">
        <v>15598.88</v>
      </c>
      <c r="L103" s="205">
        <v>5</v>
      </c>
      <c r="M103" s="26">
        <f t="shared" si="6"/>
        <v>15598.88</v>
      </c>
      <c r="N103" s="30">
        <v>15598.88</v>
      </c>
      <c r="O103" s="31"/>
      <c r="P103" s="53">
        <v>23</v>
      </c>
      <c r="Q103" s="30">
        <v>58950.239999999998</v>
      </c>
      <c r="R103" s="205">
        <v>23</v>
      </c>
      <c r="S103" s="26">
        <f t="shared" si="5"/>
        <v>58950.239999999998</v>
      </c>
      <c r="T103" s="30">
        <v>58950.239999999998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293</v>
      </c>
      <c r="G104" s="307" t="s">
        <v>25</v>
      </c>
      <c r="H104" s="112">
        <v>7</v>
      </c>
      <c r="I104" s="130">
        <v>7</v>
      </c>
      <c r="J104" s="130">
        <v>7</v>
      </c>
      <c r="K104" s="114">
        <v>9494.5</v>
      </c>
      <c r="L104" s="270">
        <v>7</v>
      </c>
      <c r="M104" s="114">
        <v>9494.5</v>
      </c>
      <c r="N104" s="114">
        <v>9494.5</v>
      </c>
      <c r="O104" s="234"/>
      <c r="P104" s="113">
        <v>9</v>
      </c>
      <c r="Q104" s="114">
        <v>22167.34</v>
      </c>
      <c r="R104" s="270">
        <v>8</v>
      </c>
      <c r="S104" s="114">
        <v>20762.439999999999</v>
      </c>
      <c r="T104" s="114">
        <v>20762.439999999999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97</v>
      </c>
      <c r="C105" s="374" t="s">
        <v>22</v>
      </c>
      <c r="D105" s="374"/>
      <c r="E105" s="374" t="s">
        <v>27</v>
      </c>
      <c r="F105" s="232" t="s">
        <v>406</v>
      </c>
      <c r="G105" s="176" t="s">
        <v>24</v>
      </c>
      <c r="H105" s="248">
        <v>7</v>
      </c>
      <c r="I105" s="62">
        <v>6</v>
      </c>
      <c r="J105" s="62">
        <v>6</v>
      </c>
      <c r="K105" s="30">
        <v>4786.25</v>
      </c>
      <c r="L105" s="205">
        <v>6</v>
      </c>
      <c r="M105" s="26">
        <f t="shared" ref="M105:M120" si="7">N105+O105</f>
        <v>4786.25</v>
      </c>
      <c r="N105" s="30">
        <v>4786.25</v>
      </c>
      <c r="O105" s="225"/>
      <c r="P105" s="53">
        <v>7</v>
      </c>
      <c r="Q105" s="30">
        <v>12035.94</v>
      </c>
      <c r="R105" s="205">
        <v>7</v>
      </c>
      <c r="S105" s="26">
        <f t="shared" ref="S105:S136" si="8">T105+U105</f>
        <v>12035.94</v>
      </c>
      <c r="T105" s="30">
        <v>12035.94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294</v>
      </c>
      <c r="G106" s="229" t="s">
        <v>28</v>
      </c>
      <c r="H106" s="251">
        <v>6</v>
      </c>
      <c r="I106" s="208">
        <v>4</v>
      </c>
      <c r="J106" s="208">
        <v>4</v>
      </c>
      <c r="K106" s="209">
        <v>5955.1</v>
      </c>
      <c r="L106" s="290">
        <v>4</v>
      </c>
      <c r="M106" s="211">
        <f t="shared" si="7"/>
        <v>5955.0999999999995</v>
      </c>
      <c r="N106" s="209">
        <f>1344.7+3265.7+1344.7</f>
        <v>5955.0999999999995</v>
      </c>
      <c r="O106" s="212"/>
      <c r="P106" s="103"/>
      <c r="Q106" s="43"/>
      <c r="R106" s="270">
        <v>1</v>
      </c>
      <c r="S106" s="43">
        <f t="shared" si="8"/>
        <v>2209.15</v>
      </c>
      <c r="T106" s="114">
        <v>2209.15</v>
      </c>
      <c r="U106" s="23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6"/>
      <c r="B107" s="377" t="s">
        <v>98</v>
      </c>
      <c r="C107" s="377" t="s">
        <v>39</v>
      </c>
      <c r="D107" s="377" t="s">
        <v>270</v>
      </c>
      <c r="E107" s="377" t="s">
        <v>99</v>
      </c>
      <c r="F107" s="232" t="s">
        <v>271</v>
      </c>
      <c r="G107" s="73" t="s">
        <v>24</v>
      </c>
      <c r="H107" s="24">
        <v>11</v>
      </c>
      <c r="I107" s="62">
        <v>8</v>
      </c>
      <c r="J107" s="62">
        <v>11</v>
      </c>
      <c r="K107" s="30">
        <v>21963.53</v>
      </c>
      <c r="L107" s="205">
        <v>9</v>
      </c>
      <c r="M107" s="26">
        <f t="shared" si="7"/>
        <v>18370.830000000002</v>
      </c>
      <c r="N107" s="30">
        <v>18370.830000000002</v>
      </c>
      <c r="O107" s="241"/>
      <c r="P107" s="214">
        <v>13</v>
      </c>
      <c r="Q107" s="30">
        <v>57575.81</v>
      </c>
      <c r="R107" s="205">
        <v>12</v>
      </c>
      <c r="S107" s="26">
        <f t="shared" si="8"/>
        <v>50650.69</v>
      </c>
      <c r="T107" s="30">
        <v>50650.69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295</v>
      </c>
      <c r="G108" s="215" t="s">
        <v>28</v>
      </c>
      <c r="H108" s="66">
        <v>7</v>
      </c>
      <c r="I108" s="286">
        <v>5</v>
      </c>
      <c r="J108" s="286">
        <v>5</v>
      </c>
      <c r="K108" s="287">
        <v>11331</v>
      </c>
      <c r="L108" s="315">
        <v>5</v>
      </c>
      <c r="M108" s="39">
        <f t="shared" si="7"/>
        <v>11331</v>
      </c>
      <c r="N108" s="39">
        <f>1921+3073.6+1921+3010.5+1404.9</f>
        <v>11331</v>
      </c>
      <c r="O108" s="41"/>
      <c r="P108" s="217">
        <v>3</v>
      </c>
      <c r="Q108" s="37">
        <v>7587.95</v>
      </c>
      <c r="R108" s="285">
        <v>3</v>
      </c>
      <c r="S108" s="39">
        <f t="shared" si="8"/>
        <v>8740.5499999999993</v>
      </c>
      <c r="T108" s="68">
        <f>1056.55+3457.8+4226.2</f>
        <v>8740.5499999999993</v>
      </c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100</v>
      </c>
      <c r="C109" s="374" t="s">
        <v>39</v>
      </c>
      <c r="D109" s="381" t="s">
        <v>296</v>
      </c>
      <c r="E109" s="381" t="s">
        <v>27</v>
      </c>
      <c r="F109" s="223" t="s">
        <v>297</v>
      </c>
      <c r="G109" s="47" t="s">
        <v>24</v>
      </c>
      <c r="H109" s="218"/>
      <c r="I109" s="96"/>
      <c r="J109" s="96"/>
      <c r="K109" s="81"/>
      <c r="L109" s="80"/>
      <c r="M109" s="81">
        <f t="shared" si="7"/>
        <v>0</v>
      </c>
      <c r="N109" s="81"/>
      <c r="O109" s="219"/>
      <c r="P109" s="108">
        <v>5</v>
      </c>
      <c r="Q109" s="65">
        <v>33607.81</v>
      </c>
      <c r="R109" s="224">
        <v>4</v>
      </c>
      <c r="S109" s="50">
        <f t="shared" si="8"/>
        <v>17684.7</v>
      </c>
      <c r="T109" s="65">
        <v>17684.7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3"/>
      <c r="B110" s="375"/>
      <c r="C110" s="375"/>
      <c r="D110" s="375"/>
      <c r="E110" s="375"/>
      <c r="F110" s="220" t="s">
        <v>298</v>
      </c>
      <c r="G110" s="35" t="s">
        <v>28</v>
      </c>
      <c r="H110" s="133">
        <v>5</v>
      </c>
      <c r="I110" s="37">
        <v>1</v>
      </c>
      <c r="J110" s="37">
        <v>1</v>
      </c>
      <c r="K110" s="68">
        <v>864.45</v>
      </c>
      <c r="L110" s="285">
        <v>1</v>
      </c>
      <c r="M110" s="39">
        <f t="shared" si="7"/>
        <v>864.15</v>
      </c>
      <c r="N110" s="39">
        <f>864.15</f>
        <v>864.15</v>
      </c>
      <c r="O110" s="41"/>
      <c r="P110" s="115">
        <v>1</v>
      </c>
      <c r="Q110" s="68">
        <v>1152.5999999999999</v>
      </c>
      <c r="R110" s="40"/>
      <c r="S110" s="39">
        <f t="shared" si="8"/>
        <v>0</v>
      </c>
      <c r="T110" s="39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82"/>
      <c r="B111" s="381" t="s">
        <v>102</v>
      </c>
      <c r="C111" s="381" t="s">
        <v>22</v>
      </c>
      <c r="D111" s="381"/>
      <c r="E111" s="381" t="s">
        <v>67</v>
      </c>
      <c r="F111" s="223" t="s">
        <v>272</v>
      </c>
      <c r="G111" s="23" t="s">
        <v>24</v>
      </c>
      <c r="H111" s="48">
        <v>7</v>
      </c>
      <c r="I111" s="203">
        <v>5</v>
      </c>
      <c r="J111" s="203">
        <v>6</v>
      </c>
      <c r="K111" s="65">
        <v>10235.59</v>
      </c>
      <c r="L111" s="224">
        <v>6</v>
      </c>
      <c r="M111" s="50">
        <f t="shared" si="7"/>
        <v>10235.59</v>
      </c>
      <c r="N111" s="65">
        <v>10235.59</v>
      </c>
      <c r="O111" s="225"/>
      <c r="P111" s="108">
        <v>9</v>
      </c>
      <c r="Q111" s="65">
        <v>19656.830000000002</v>
      </c>
      <c r="R111" s="224">
        <v>9</v>
      </c>
      <c r="S111" s="50">
        <f t="shared" si="8"/>
        <v>19656.830000000002</v>
      </c>
      <c r="T111" s="65">
        <v>19656.830000000002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9"/>
      <c r="B112" s="380"/>
      <c r="C112" s="380"/>
      <c r="D112" s="380"/>
      <c r="E112" s="380"/>
      <c r="F112" s="220" t="s">
        <v>299</v>
      </c>
      <c r="G112" s="55" t="s">
        <v>28</v>
      </c>
      <c r="H112" s="153">
        <v>8</v>
      </c>
      <c r="I112" s="130">
        <v>2</v>
      </c>
      <c r="J112" s="130">
        <v>2</v>
      </c>
      <c r="K112" s="114">
        <v>2443.1999999999998</v>
      </c>
      <c r="L112" s="316">
        <v>4</v>
      </c>
      <c r="M112" s="50">
        <f t="shared" si="7"/>
        <v>4428.0999999999995</v>
      </c>
      <c r="N112" s="43">
        <f>1290.6+1152.6+1290.6+694.3</f>
        <v>4428.0999999999995</v>
      </c>
      <c r="O112" s="41"/>
      <c r="P112" s="113">
        <v>3</v>
      </c>
      <c r="Q112" s="114">
        <v>14347.1</v>
      </c>
      <c r="R112" s="270">
        <v>4</v>
      </c>
      <c r="S112" s="43">
        <f t="shared" si="8"/>
        <v>19149.900000000001</v>
      </c>
      <c r="T112" s="114">
        <f>4358.2+3649.9+4802.5+6339.3</f>
        <v>19149.900000000001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103</v>
      </c>
      <c r="C113" s="374" t="s">
        <v>22</v>
      </c>
      <c r="D113" s="374"/>
      <c r="E113" s="374" t="s">
        <v>67</v>
      </c>
      <c r="F113" s="232" t="s">
        <v>407</v>
      </c>
      <c r="G113" s="23" t="s">
        <v>24</v>
      </c>
      <c r="H113" s="48">
        <v>6</v>
      </c>
      <c r="I113" s="62">
        <v>4</v>
      </c>
      <c r="J113" s="62">
        <v>5</v>
      </c>
      <c r="K113" s="30">
        <v>8528</v>
      </c>
      <c r="L113" s="205">
        <v>5</v>
      </c>
      <c r="M113" s="26">
        <f t="shared" si="7"/>
        <v>8528</v>
      </c>
      <c r="N113" s="30">
        <v>8528</v>
      </c>
      <c r="O113" s="225"/>
      <c r="P113" s="53">
        <v>6</v>
      </c>
      <c r="Q113" s="30">
        <v>12782.06</v>
      </c>
      <c r="R113" s="205">
        <v>6</v>
      </c>
      <c r="S113" s="26">
        <f t="shared" si="8"/>
        <v>12782.06</v>
      </c>
      <c r="T113" s="30">
        <v>12782.06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220" t="s">
        <v>300</v>
      </c>
      <c r="G114" s="35" t="s">
        <v>28</v>
      </c>
      <c r="H114" s="133">
        <v>6</v>
      </c>
      <c r="I114" s="37">
        <v>5</v>
      </c>
      <c r="J114" s="37">
        <v>6</v>
      </c>
      <c r="K114" s="68">
        <v>12151</v>
      </c>
      <c r="L114" s="285">
        <v>2</v>
      </c>
      <c r="M114" s="39">
        <f t="shared" si="7"/>
        <v>4934.5</v>
      </c>
      <c r="N114" s="39">
        <f>1580.8+3353.7</f>
        <v>4934.5</v>
      </c>
      <c r="O114" s="41"/>
      <c r="P114" s="115">
        <v>2</v>
      </c>
      <c r="Q114" s="68">
        <v>3490.8</v>
      </c>
      <c r="R114" s="285">
        <v>3</v>
      </c>
      <c r="S114" s="39">
        <f t="shared" si="8"/>
        <v>8836.6</v>
      </c>
      <c r="T114" s="39">
        <f>5378.8+1344.7+2113.1</f>
        <v>8836.6</v>
      </c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104</v>
      </c>
      <c r="C115" s="374" t="s">
        <v>39</v>
      </c>
      <c r="D115" s="374" t="s">
        <v>301</v>
      </c>
      <c r="E115" s="374" t="s">
        <v>27</v>
      </c>
      <c r="F115" s="204" t="s">
        <v>302</v>
      </c>
      <c r="G115" s="176" t="s">
        <v>24</v>
      </c>
      <c r="H115" s="48">
        <v>22</v>
      </c>
      <c r="I115" s="203">
        <v>14</v>
      </c>
      <c r="J115" s="203">
        <v>15</v>
      </c>
      <c r="K115" s="65">
        <v>38208.519999999997</v>
      </c>
      <c r="L115" s="224">
        <v>9</v>
      </c>
      <c r="M115" s="50">
        <f t="shared" si="7"/>
        <v>21370</v>
      </c>
      <c r="N115" s="65">
        <v>21370</v>
      </c>
      <c r="O115" s="225"/>
      <c r="P115" s="108">
        <v>20</v>
      </c>
      <c r="Q115" s="65">
        <v>59066.38</v>
      </c>
      <c r="R115" s="224">
        <v>16</v>
      </c>
      <c r="S115" s="50">
        <f t="shared" si="8"/>
        <v>54023.4</v>
      </c>
      <c r="T115" s="65">
        <v>54023.4</v>
      </c>
      <c r="U115" s="225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3"/>
      <c r="B116" s="375"/>
      <c r="C116" s="375"/>
      <c r="D116" s="375"/>
      <c r="E116" s="375"/>
      <c r="F116" s="34"/>
      <c r="G116" s="229" t="s">
        <v>28</v>
      </c>
      <c r="H116" s="116"/>
      <c r="I116" s="57"/>
      <c r="J116" s="57"/>
      <c r="K116" s="43"/>
      <c r="L116" s="44"/>
      <c r="M116" s="43">
        <f t="shared" si="7"/>
        <v>0</v>
      </c>
      <c r="N116" s="43"/>
      <c r="O116" s="41"/>
      <c r="P116" s="103"/>
      <c r="Q116" s="43"/>
      <c r="R116" s="44"/>
      <c r="S116" s="43">
        <f t="shared" si="8"/>
        <v>0</v>
      </c>
      <c r="T116" s="43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106</v>
      </c>
      <c r="C117" s="377" t="s">
        <v>39</v>
      </c>
      <c r="D117" s="374" t="s">
        <v>107</v>
      </c>
      <c r="E117" s="374" t="s">
        <v>27</v>
      </c>
      <c r="F117" s="232" t="s">
        <v>366</v>
      </c>
      <c r="G117" s="23" t="s">
        <v>24</v>
      </c>
      <c r="H117" s="48">
        <v>10</v>
      </c>
      <c r="I117" s="62">
        <v>9</v>
      </c>
      <c r="J117" s="62">
        <v>9</v>
      </c>
      <c r="K117" s="30">
        <v>7593.07</v>
      </c>
      <c r="L117" s="205">
        <v>9</v>
      </c>
      <c r="M117" s="26">
        <f t="shared" si="7"/>
        <v>7593.07</v>
      </c>
      <c r="N117" s="30">
        <v>7593.07</v>
      </c>
      <c r="O117" s="31"/>
      <c r="P117" s="53">
        <v>11</v>
      </c>
      <c r="Q117" s="30">
        <v>73773.25</v>
      </c>
      <c r="R117" s="205">
        <v>11</v>
      </c>
      <c r="S117" s="26">
        <f t="shared" si="8"/>
        <v>73773.25</v>
      </c>
      <c r="T117" s="30">
        <v>73773.25</v>
      </c>
      <c r="U117" s="3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9"/>
      <c r="B118" s="380"/>
      <c r="C118" s="380"/>
      <c r="D118" s="380"/>
      <c r="E118" s="380"/>
      <c r="F118" s="233" t="s">
        <v>233</v>
      </c>
      <c r="G118" s="227" t="s">
        <v>28</v>
      </c>
      <c r="H118" s="153">
        <v>6</v>
      </c>
      <c r="I118" s="57"/>
      <c r="J118" s="57"/>
      <c r="K118" s="43"/>
      <c r="L118" s="270">
        <v>1</v>
      </c>
      <c r="M118" s="43">
        <f t="shared" si="7"/>
        <v>576.29999999999995</v>
      </c>
      <c r="N118" s="43">
        <f>576.3</f>
        <v>576.29999999999995</v>
      </c>
      <c r="O118" s="41"/>
      <c r="P118" s="113">
        <v>2</v>
      </c>
      <c r="Q118" s="114">
        <v>2881.5</v>
      </c>
      <c r="R118" s="270">
        <v>2</v>
      </c>
      <c r="S118" s="43">
        <f t="shared" si="8"/>
        <v>2881.5</v>
      </c>
      <c r="T118" s="57">
        <f>576.3+2305.2</f>
        <v>2881.5</v>
      </c>
      <c r="U118" s="4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2"/>
      <c r="B119" s="374" t="s">
        <v>108</v>
      </c>
      <c r="C119" s="374" t="s">
        <v>46</v>
      </c>
      <c r="D119" s="374" t="s">
        <v>109</v>
      </c>
      <c r="E119" s="374" t="s">
        <v>27</v>
      </c>
      <c r="F119" s="204" t="s">
        <v>273</v>
      </c>
      <c r="G119" s="176" t="s">
        <v>24</v>
      </c>
      <c r="H119" s="151">
        <v>12</v>
      </c>
      <c r="I119" s="62">
        <v>9</v>
      </c>
      <c r="J119" s="62">
        <v>9</v>
      </c>
      <c r="K119" s="30">
        <v>8773.83</v>
      </c>
      <c r="L119" s="205">
        <v>9</v>
      </c>
      <c r="M119" s="26">
        <f t="shared" si="7"/>
        <v>8773.83</v>
      </c>
      <c r="N119" s="30">
        <v>8773.83</v>
      </c>
      <c r="O119" s="31"/>
      <c r="P119" s="53">
        <v>8</v>
      </c>
      <c r="Q119" s="30">
        <v>32433.51</v>
      </c>
      <c r="R119" s="205">
        <v>8</v>
      </c>
      <c r="S119" s="26">
        <f t="shared" si="8"/>
        <v>32433.51</v>
      </c>
      <c r="T119" s="30">
        <v>32433.51</v>
      </c>
      <c r="U119" s="225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7"/>
      <c r="B120" s="386"/>
      <c r="C120" s="386"/>
      <c r="D120" s="386"/>
      <c r="E120" s="386"/>
      <c r="F120" s="235" t="s">
        <v>234</v>
      </c>
      <c r="G120" s="252" t="s">
        <v>28</v>
      </c>
      <c r="H120" s="48">
        <v>6</v>
      </c>
      <c r="I120" s="246">
        <v>3</v>
      </c>
      <c r="J120" s="246">
        <v>3</v>
      </c>
      <c r="K120" s="158">
        <v>3159.6</v>
      </c>
      <c r="L120" s="317">
        <v>1</v>
      </c>
      <c r="M120" s="142">
        <f t="shared" si="7"/>
        <v>576.29999999999995</v>
      </c>
      <c r="N120" s="142">
        <f>576.3</f>
        <v>576.29999999999995</v>
      </c>
      <c r="O120" s="45"/>
      <c r="P120" s="157">
        <v>7</v>
      </c>
      <c r="Q120" s="158">
        <v>15445.86</v>
      </c>
      <c r="R120" s="317">
        <v>5</v>
      </c>
      <c r="S120" s="142">
        <f t="shared" si="8"/>
        <v>13044.61</v>
      </c>
      <c r="T120" s="142">
        <f>288.15+576.3+5648.76+3649.9+2881.5</f>
        <v>13044.61</v>
      </c>
      <c r="U120" s="4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45"/>
      <c r="G121" s="253" t="s">
        <v>25</v>
      </c>
      <c r="H121" s="306">
        <v>1</v>
      </c>
      <c r="I121" s="37">
        <v>1</v>
      </c>
      <c r="J121" s="37">
        <v>1</v>
      </c>
      <c r="K121" s="68">
        <v>2881.5</v>
      </c>
      <c r="L121" s="285">
        <v>1</v>
      </c>
      <c r="M121" s="68">
        <v>2881.5</v>
      </c>
      <c r="N121" s="68">
        <v>2881.5</v>
      </c>
      <c r="O121" s="41"/>
      <c r="P121" s="59"/>
      <c r="Q121" s="39"/>
      <c r="R121" s="40"/>
      <c r="S121" s="39">
        <f t="shared" si="8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6"/>
      <c r="B122" s="377" t="s">
        <v>110</v>
      </c>
      <c r="C122" s="377" t="s">
        <v>22</v>
      </c>
      <c r="D122" s="377"/>
      <c r="E122" s="377" t="s">
        <v>67</v>
      </c>
      <c r="F122" s="232" t="s">
        <v>274</v>
      </c>
      <c r="G122" s="23" t="s">
        <v>24</v>
      </c>
      <c r="H122" s="48">
        <v>3</v>
      </c>
      <c r="I122" s="203">
        <v>2</v>
      </c>
      <c r="J122" s="203">
        <v>3</v>
      </c>
      <c r="K122" s="65">
        <v>5015.66</v>
      </c>
      <c r="L122" s="224">
        <v>2</v>
      </c>
      <c r="M122" s="50">
        <f t="shared" ref="M122:M136" si="9">N122+O122</f>
        <v>4022.19</v>
      </c>
      <c r="N122" s="65">
        <v>4022.19</v>
      </c>
      <c r="O122" s="31"/>
      <c r="P122" s="108">
        <v>8</v>
      </c>
      <c r="Q122" s="65">
        <v>34759.74</v>
      </c>
      <c r="R122" s="224">
        <v>7</v>
      </c>
      <c r="S122" s="50">
        <f t="shared" si="8"/>
        <v>34054.94</v>
      </c>
      <c r="T122" s="65">
        <v>34054.94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34"/>
      <c r="G123" s="55" t="s">
        <v>28</v>
      </c>
      <c r="H123" s="116"/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111</v>
      </c>
      <c r="C124" s="374" t="s">
        <v>39</v>
      </c>
      <c r="D124" s="374" t="s">
        <v>435</v>
      </c>
      <c r="E124" s="374" t="s">
        <v>112</v>
      </c>
      <c r="F124" s="232" t="s">
        <v>436</v>
      </c>
      <c r="G124" s="23" t="s">
        <v>24</v>
      </c>
      <c r="H124" s="48">
        <v>8</v>
      </c>
      <c r="I124" s="62">
        <v>5</v>
      </c>
      <c r="J124" s="62">
        <v>6</v>
      </c>
      <c r="K124" s="30">
        <v>7001.47</v>
      </c>
      <c r="L124" s="205">
        <v>5</v>
      </c>
      <c r="M124" s="26">
        <f t="shared" si="9"/>
        <v>5109.87</v>
      </c>
      <c r="N124" s="30">
        <v>5109.87</v>
      </c>
      <c r="O124" s="31"/>
      <c r="P124" s="53">
        <v>4</v>
      </c>
      <c r="Q124" s="30">
        <v>3732.5</v>
      </c>
      <c r="R124" s="205">
        <v>4</v>
      </c>
      <c r="S124" s="26">
        <f t="shared" si="8"/>
        <v>3732.5</v>
      </c>
      <c r="T124" s="30">
        <v>3732.5</v>
      </c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33" t="s">
        <v>235</v>
      </c>
      <c r="G125" s="227" t="s">
        <v>28</v>
      </c>
      <c r="H125" s="133">
        <v>1</v>
      </c>
      <c r="I125" s="57"/>
      <c r="J125" s="57"/>
      <c r="K125" s="43"/>
      <c r="L125" s="44"/>
      <c r="M125" s="43">
        <f t="shared" si="9"/>
        <v>0</v>
      </c>
      <c r="N125" s="43"/>
      <c r="O125" s="41"/>
      <c r="P125" s="103"/>
      <c r="Q125" s="43"/>
      <c r="R125" s="44"/>
      <c r="S125" s="43">
        <f t="shared" si="8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113</v>
      </c>
      <c r="C126" s="374" t="s">
        <v>39</v>
      </c>
      <c r="D126" s="374" t="s">
        <v>114</v>
      </c>
      <c r="E126" s="374" t="s">
        <v>27</v>
      </c>
      <c r="F126" s="204" t="s">
        <v>305</v>
      </c>
      <c r="G126" s="176" t="s">
        <v>24</v>
      </c>
      <c r="H126" s="48">
        <v>16</v>
      </c>
      <c r="I126" s="62">
        <v>16</v>
      </c>
      <c r="J126" s="62">
        <v>22</v>
      </c>
      <c r="K126" s="30">
        <v>45233.25</v>
      </c>
      <c r="L126" s="205">
        <v>18</v>
      </c>
      <c r="M126" s="26">
        <f t="shared" si="9"/>
        <v>38332.99</v>
      </c>
      <c r="N126" s="30">
        <v>38332.99</v>
      </c>
      <c r="O126" s="225"/>
      <c r="P126" s="53">
        <v>10</v>
      </c>
      <c r="Q126" s="30">
        <v>25611.57</v>
      </c>
      <c r="R126" s="205">
        <v>10</v>
      </c>
      <c r="S126" s="26">
        <f t="shared" si="8"/>
        <v>25611.57</v>
      </c>
      <c r="T126" s="30">
        <v>25611.57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220" t="s">
        <v>306</v>
      </c>
      <c r="G127" s="229" t="s">
        <v>28</v>
      </c>
      <c r="H127" s="56">
        <v>3</v>
      </c>
      <c r="I127" s="130">
        <v>3</v>
      </c>
      <c r="J127" s="130">
        <v>3</v>
      </c>
      <c r="K127" s="114">
        <v>4816.8</v>
      </c>
      <c r="L127" s="270">
        <v>2</v>
      </c>
      <c r="M127" s="43">
        <f t="shared" si="9"/>
        <v>2497.3000000000002</v>
      </c>
      <c r="N127" s="43">
        <f>1152.6+1344.7</f>
        <v>2497.3000000000002</v>
      </c>
      <c r="O127" s="45"/>
      <c r="P127" s="113">
        <v>2</v>
      </c>
      <c r="Q127" s="114">
        <v>5186.7</v>
      </c>
      <c r="R127" s="270">
        <v>2</v>
      </c>
      <c r="S127" s="43">
        <f t="shared" si="8"/>
        <v>5186.7</v>
      </c>
      <c r="T127" s="43">
        <f>5186.7</f>
        <v>5186.7</v>
      </c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115</v>
      </c>
      <c r="C128" s="374" t="s">
        <v>22</v>
      </c>
      <c r="D128" s="374"/>
      <c r="E128" s="374" t="s">
        <v>27</v>
      </c>
      <c r="F128" s="22"/>
      <c r="G128" s="23" t="s">
        <v>24</v>
      </c>
      <c r="H128" s="104"/>
      <c r="I128" s="25"/>
      <c r="J128" s="25"/>
      <c r="K128" s="26"/>
      <c r="L128" s="148"/>
      <c r="M128" s="149">
        <f t="shared" si="9"/>
        <v>0</v>
      </c>
      <c r="N128" s="26"/>
      <c r="O128" s="100"/>
      <c r="P128" s="120"/>
      <c r="Q128" s="26"/>
      <c r="R128" s="27"/>
      <c r="S128" s="26">
        <f t="shared" si="8"/>
        <v>0</v>
      </c>
      <c r="T128" s="26"/>
      <c r="U128" s="3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06"/>
      <c r="I129" s="38"/>
      <c r="J129" s="38"/>
      <c r="K129" s="39"/>
      <c r="L129" s="40"/>
      <c r="M129" s="39">
        <f t="shared" si="9"/>
        <v>0</v>
      </c>
      <c r="N129" s="39"/>
      <c r="O129" s="41"/>
      <c r="P129" s="69"/>
      <c r="Q129" s="39"/>
      <c r="R129" s="40"/>
      <c r="S129" s="39">
        <f t="shared" si="8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116</v>
      </c>
      <c r="C130" s="381" t="s">
        <v>22</v>
      </c>
      <c r="D130" s="381"/>
      <c r="E130" s="381" t="s">
        <v>27</v>
      </c>
      <c r="F130" s="223" t="s">
        <v>307</v>
      </c>
      <c r="G130" s="47" t="s">
        <v>24</v>
      </c>
      <c r="H130" s="61">
        <v>8</v>
      </c>
      <c r="I130" s="62">
        <v>6</v>
      </c>
      <c r="J130" s="62">
        <v>8</v>
      </c>
      <c r="K130" s="30">
        <v>12647.96</v>
      </c>
      <c r="L130" s="205">
        <v>6</v>
      </c>
      <c r="M130" s="26">
        <f t="shared" si="9"/>
        <v>9207.69</v>
      </c>
      <c r="N130" s="30">
        <v>9207.69</v>
      </c>
      <c r="O130" s="243"/>
      <c r="P130" s="64">
        <v>4</v>
      </c>
      <c r="Q130" s="65">
        <v>10597.93</v>
      </c>
      <c r="R130" s="224">
        <v>4</v>
      </c>
      <c r="S130" s="50">
        <f t="shared" si="8"/>
        <v>10597.93</v>
      </c>
      <c r="T130" s="65">
        <v>10597.93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34"/>
      <c r="G131" s="35" t="s">
        <v>28</v>
      </c>
      <c r="H131" s="133">
        <v>3</v>
      </c>
      <c r="I131" s="38"/>
      <c r="J131" s="38"/>
      <c r="K131" s="39"/>
      <c r="L131" s="40"/>
      <c r="M131" s="39">
        <f t="shared" si="9"/>
        <v>0</v>
      </c>
      <c r="N131" s="39"/>
      <c r="O131" s="41"/>
      <c r="P131" s="67">
        <v>1</v>
      </c>
      <c r="Q131" s="68">
        <v>2305.1999999999998</v>
      </c>
      <c r="R131" s="285">
        <v>1</v>
      </c>
      <c r="S131" s="39">
        <f t="shared" si="8"/>
        <v>2305.1999999999998</v>
      </c>
      <c r="T131" s="39">
        <f>2305.2</f>
        <v>2305.1999999999998</v>
      </c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82"/>
      <c r="B132" s="381" t="s">
        <v>117</v>
      </c>
      <c r="C132" s="381" t="s">
        <v>22</v>
      </c>
      <c r="D132" s="381"/>
      <c r="E132" s="381" t="s">
        <v>67</v>
      </c>
      <c r="F132" s="223" t="s">
        <v>308</v>
      </c>
      <c r="G132" s="23" t="s">
        <v>24</v>
      </c>
      <c r="H132" s="48">
        <v>17</v>
      </c>
      <c r="I132" s="203">
        <v>12</v>
      </c>
      <c r="J132" s="203">
        <v>18</v>
      </c>
      <c r="K132" s="65">
        <v>44935.58</v>
      </c>
      <c r="L132" s="224">
        <v>13</v>
      </c>
      <c r="M132" s="50">
        <f t="shared" si="9"/>
        <v>27739.32</v>
      </c>
      <c r="N132" s="65">
        <v>27739.32</v>
      </c>
      <c r="O132" s="225"/>
      <c r="P132" s="108">
        <v>31</v>
      </c>
      <c r="Q132" s="65">
        <v>115143.38</v>
      </c>
      <c r="R132" s="224">
        <v>28</v>
      </c>
      <c r="S132" s="50">
        <f t="shared" si="8"/>
        <v>110872.94</v>
      </c>
      <c r="T132" s="65">
        <v>110872.94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9"/>
      <c r="B133" s="380"/>
      <c r="C133" s="380"/>
      <c r="D133" s="380"/>
      <c r="E133" s="380"/>
      <c r="F133" s="226"/>
      <c r="G133" s="227" t="s">
        <v>28</v>
      </c>
      <c r="H133" s="116"/>
      <c r="I133" s="57"/>
      <c r="J133" s="57"/>
      <c r="K133" s="43"/>
      <c r="L133" s="44"/>
      <c r="M133" s="43">
        <f t="shared" si="9"/>
        <v>0</v>
      </c>
      <c r="N133" s="43"/>
      <c r="O133" s="41"/>
      <c r="P133" s="103"/>
      <c r="Q133" s="43"/>
      <c r="R133" s="44"/>
      <c r="S133" s="43">
        <f t="shared" si="8"/>
        <v>0</v>
      </c>
      <c r="T133" s="43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118</v>
      </c>
      <c r="C134" s="374" t="s">
        <v>39</v>
      </c>
      <c r="D134" s="374" t="s">
        <v>309</v>
      </c>
      <c r="E134" s="374" t="s">
        <v>27</v>
      </c>
      <c r="F134" s="204" t="s">
        <v>310</v>
      </c>
      <c r="G134" s="176" t="s">
        <v>24</v>
      </c>
      <c r="H134" s="151">
        <v>12</v>
      </c>
      <c r="I134" s="62">
        <v>8</v>
      </c>
      <c r="J134" s="62">
        <v>11</v>
      </c>
      <c r="K134" s="30">
        <v>20338.259999999998</v>
      </c>
      <c r="L134" s="205">
        <v>6</v>
      </c>
      <c r="M134" s="26">
        <f t="shared" si="9"/>
        <v>11483.56</v>
      </c>
      <c r="N134" s="30">
        <v>11483.56</v>
      </c>
      <c r="O134" s="31"/>
      <c r="P134" s="53">
        <v>14</v>
      </c>
      <c r="Q134" s="30">
        <v>53062.44</v>
      </c>
      <c r="R134" s="205">
        <v>13</v>
      </c>
      <c r="S134" s="26">
        <f t="shared" si="8"/>
        <v>52477.24</v>
      </c>
      <c r="T134" s="30">
        <v>52477.24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75"/>
      <c r="C135" s="375"/>
      <c r="D135" s="375"/>
      <c r="E135" s="375"/>
      <c r="F135" s="152"/>
      <c r="G135" s="229" t="s">
        <v>28</v>
      </c>
      <c r="H135" s="116"/>
      <c r="I135" s="38"/>
      <c r="J135" s="38"/>
      <c r="K135" s="39"/>
      <c r="L135" s="40"/>
      <c r="M135" s="39">
        <f t="shared" si="9"/>
        <v>0</v>
      </c>
      <c r="N135" s="39"/>
      <c r="O135" s="41"/>
      <c r="P135" s="59"/>
      <c r="Q135" s="39"/>
      <c r="R135" s="40"/>
      <c r="S135" s="39">
        <f t="shared" si="8"/>
        <v>0</v>
      </c>
      <c r="T135" s="39"/>
      <c r="U135" s="4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119</v>
      </c>
      <c r="C136" s="374" t="s">
        <v>39</v>
      </c>
      <c r="D136" s="374" t="s">
        <v>311</v>
      </c>
      <c r="E136" s="374" t="s">
        <v>121</v>
      </c>
      <c r="F136" s="232" t="s">
        <v>312</v>
      </c>
      <c r="G136" s="23" t="s">
        <v>24</v>
      </c>
      <c r="H136" s="151">
        <v>24</v>
      </c>
      <c r="I136" s="62">
        <v>15</v>
      </c>
      <c r="J136" s="62">
        <v>16</v>
      </c>
      <c r="K136" s="30">
        <v>24898.959999999999</v>
      </c>
      <c r="L136" s="205">
        <v>10</v>
      </c>
      <c r="M136" s="26">
        <f t="shared" si="9"/>
        <v>16966.09</v>
      </c>
      <c r="N136" s="30">
        <v>16966.09</v>
      </c>
      <c r="O136" s="31"/>
      <c r="P136" s="53">
        <v>27</v>
      </c>
      <c r="Q136" s="30">
        <v>47822.16</v>
      </c>
      <c r="R136" s="205">
        <v>26</v>
      </c>
      <c r="S136" s="26">
        <f t="shared" si="8"/>
        <v>41600.46</v>
      </c>
      <c r="T136" s="30">
        <v>41600.46</v>
      </c>
      <c r="U136" s="225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80"/>
      <c r="C137" s="380"/>
      <c r="D137" s="380"/>
      <c r="E137" s="380"/>
      <c r="G137" s="227" t="s">
        <v>25</v>
      </c>
      <c r="H137" s="260">
        <v>5</v>
      </c>
      <c r="I137" s="208">
        <v>3</v>
      </c>
      <c r="J137" s="208">
        <v>3</v>
      </c>
      <c r="K137" s="209">
        <v>3668.91</v>
      </c>
      <c r="L137" s="290">
        <v>3</v>
      </c>
      <c r="M137" s="209">
        <v>3668.91</v>
      </c>
      <c r="N137" s="209">
        <v>3668.91</v>
      </c>
      <c r="O137" s="263"/>
      <c r="P137" s="262">
        <v>4</v>
      </c>
      <c r="Q137" s="209">
        <v>16712.7</v>
      </c>
      <c r="R137" s="290">
        <v>4</v>
      </c>
      <c r="S137" s="209">
        <v>16712.7</v>
      </c>
      <c r="T137" s="209">
        <v>16712.7</v>
      </c>
      <c r="U137" s="212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2"/>
      <c r="B138" s="374" t="s">
        <v>464</v>
      </c>
      <c r="C138" s="374" t="s">
        <v>22</v>
      </c>
      <c r="D138" s="374"/>
      <c r="E138" s="374" t="s">
        <v>391</v>
      </c>
      <c r="F138" s="204" t="s">
        <v>465</v>
      </c>
      <c r="G138" s="176" t="s">
        <v>24</v>
      </c>
      <c r="H138" s="61"/>
      <c r="I138" s="62"/>
      <c r="J138" s="62"/>
      <c r="K138" s="30"/>
      <c r="L138" s="27"/>
      <c r="M138" s="26">
        <f t="shared" ref="M138:M153" si="10">N138+O138</f>
        <v>0</v>
      </c>
      <c r="N138" s="26"/>
      <c r="O138" s="28"/>
      <c r="P138" s="214"/>
      <c r="Q138" s="30"/>
      <c r="R138" s="205"/>
      <c r="S138" s="26">
        <f t="shared" ref="S138:S153" si="11">T138+U138</f>
        <v>0</v>
      </c>
      <c r="T138" s="30"/>
      <c r="U138" s="2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86"/>
      <c r="C139" s="375"/>
      <c r="D139" s="386"/>
      <c r="E139" s="386"/>
      <c r="F139" s="152"/>
      <c r="G139" s="229" t="s">
        <v>28</v>
      </c>
      <c r="H139" s="344"/>
      <c r="I139" s="231"/>
      <c r="J139" s="231"/>
      <c r="K139" s="91"/>
      <c r="L139" s="92"/>
      <c r="M139" s="81">
        <f t="shared" si="10"/>
        <v>0</v>
      </c>
      <c r="N139" s="93"/>
      <c r="O139" s="94"/>
      <c r="P139" s="90"/>
      <c r="Q139" s="91"/>
      <c r="R139" s="330"/>
      <c r="S139" s="81">
        <f t="shared" si="11"/>
        <v>0</v>
      </c>
      <c r="T139" s="91"/>
      <c r="U139" s="3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367</v>
      </c>
      <c r="C140" s="374"/>
      <c r="D140" s="374"/>
      <c r="E140" s="374"/>
      <c r="F140" s="204"/>
      <c r="G140" s="213" t="s">
        <v>24</v>
      </c>
      <c r="H140" s="61"/>
      <c r="I140" s="62"/>
      <c r="J140" s="62"/>
      <c r="K140" s="30"/>
      <c r="L140" s="27"/>
      <c r="M140" s="26">
        <f t="shared" si="10"/>
        <v>0</v>
      </c>
      <c r="N140" s="26"/>
      <c r="O140" s="28"/>
      <c r="P140" s="214"/>
      <c r="Q140" s="30"/>
      <c r="R140" s="205"/>
      <c r="S140" s="26">
        <f t="shared" si="11"/>
        <v>0</v>
      </c>
      <c r="T140" s="30"/>
      <c r="U140" s="2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220"/>
      <c r="G141" s="215" t="s">
        <v>28</v>
      </c>
      <c r="H141" s="117">
        <v>4</v>
      </c>
      <c r="I141" s="37"/>
      <c r="J141" s="37"/>
      <c r="K141" s="68"/>
      <c r="L141" s="40"/>
      <c r="M141" s="39">
        <f t="shared" si="10"/>
        <v>0</v>
      </c>
      <c r="N141" s="39"/>
      <c r="O141" s="41"/>
      <c r="P141" s="217"/>
      <c r="Q141" s="68"/>
      <c r="R141" s="285"/>
      <c r="S141" s="39">
        <f t="shared" si="11"/>
        <v>0</v>
      </c>
      <c r="T141" s="68"/>
      <c r="U141" s="23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6"/>
      <c r="B142" s="377" t="s">
        <v>122</v>
      </c>
      <c r="C142" s="377" t="s">
        <v>39</v>
      </c>
      <c r="D142" s="377" t="s">
        <v>123</v>
      </c>
      <c r="E142" s="377" t="s">
        <v>55</v>
      </c>
      <c r="F142" s="232" t="s">
        <v>236</v>
      </c>
      <c r="G142" s="291" t="s">
        <v>24</v>
      </c>
      <c r="H142" s="265">
        <v>21</v>
      </c>
      <c r="I142" s="266">
        <v>19</v>
      </c>
      <c r="J142" s="266">
        <v>27</v>
      </c>
      <c r="K142" s="79">
        <v>52653.62</v>
      </c>
      <c r="L142" s="268">
        <v>22</v>
      </c>
      <c r="M142" s="81">
        <f t="shared" si="10"/>
        <v>34969.29</v>
      </c>
      <c r="N142" s="79">
        <v>34969.29</v>
      </c>
      <c r="O142" s="269"/>
      <c r="P142" s="267">
        <v>18</v>
      </c>
      <c r="Q142" s="79">
        <v>78992.89</v>
      </c>
      <c r="R142" s="268">
        <v>16</v>
      </c>
      <c r="S142" s="81">
        <f t="shared" si="11"/>
        <v>76490.14</v>
      </c>
      <c r="T142" s="79">
        <v>76490.14</v>
      </c>
      <c r="U142" s="269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34"/>
      <c r="G143" s="229" t="s">
        <v>25</v>
      </c>
      <c r="H143" s="116"/>
      <c r="I143" s="38"/>
      <c r="J143" s="38"/>
      <c r="K143" s="39"/>
      <c r="L143" s="40"/>
      <c r="M143" s="39">
        <f t="shared" si="10"/>
        <v>0</v>
      </c>
      <c r="N143" s="39"/>
      <c r="O143" s="41"/>
      <c r="P143" s="59"/>
      <c r="Q143" s="39"/>
      <c r="R143" s="40"/>
      <c r="S143" s="39">
        <f t="shared" si="11"/>
        <v>0</v>
      </c>
      <c r="T143" s="39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6"/>
      <c r="B144" s="377" t="s">
        <v>124</v>
      </c>
      <c r="C144" s="377" t="s">
        <v>39</v>
      </c>
      <c r="D144" s="377" t="s">
        <v>314</v>
      </c>
      <c r="E144" s="377" t="s">
        <v>27</v>
      </c>
      <c r="F144" s="232" t="s">
        <v>237</v>
      </c>
      <c r="G144" s="23" t="s">
        <v>24</v>
      </c>
      <c r="H144" s="48">
        <v>18</v>
      </c>
      <c r="I144" s="203">
        <v>13</v>
      </c>
      <c r="J144" s="203">
        <v>16</v>
      </c>
      <c r="K144" s="65">
        <v>36210.6</v>
      </c>
      <c r="L144" s="224">
        <v>10</v>
      </c>
      <c r="M144" s="50">
        <f t="shared" si="10"/>
        <v>28601.06</v>
      </c>
      <c r="N144" s="65">
        <v>28601.06</v>
      </c>
      <c r="O144" s="225"/>
      <c r="P144" s="108">
        <v>56</v>
      </c>
      <c r="Q144" s="65">
        <v>335574.55</v>
      </c>
      <c r="R144" s="224">
        <v>52</v>
      </c>
      <c r="S144" s="50">
        <f t="shared" si="11"/>
        <v>311364.90999999997</v>
      </c>
      <c r="T144" s="65">
        <v>311364.90999999997</v>
      </c>
      <c r="U144" s="225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7"/>
      <c r="B145" s="386"/>
      <c r="C145" s="386"/>
      <c r="D145" s="386"/>
      <c r="E145" s="386"/>
      <c r="F145" s="135"/>
      <c r="G145" s="154" t="s">
        <v>25</v>
      </c>
      <c r="H145" s="98"/>
      <c r="I145" s="155"/>
      <c r="J145" s="155"/>
      <c r="K145" s="239" t="s">
        <v>43</v>
      </c>
      <c r="L145" s="128"/>
      <c r="M145" s="129">
        <f t="shared" si="10"/>
        <v>0</v>
      </c>
      <c r="N145" s="129"/>
      <c r="O145" s="45"/>
      <c r="P145" s="156"/>
      <c r="Q145" s="129"/>
      <c r="R145" s="128"/>
      <c r="S145" s="129">
        <f t="shared" si="11"/>
        <v>0</v>
      </c>
      <c r="T145" s="129"/>
      <c r="U145" s="4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9"/>
      <c r="B146" s="380"/>
      <c r="C146" s="380"/>
      <c r="D146" s="380"/>
      <c r="E146" s="380"/>
      <c r="F146" s="34"/>
      <c r="G146" s="55" t="s">
        <v>28</v>
      </c>
      <c r="H146" s="111"/>
      <c r="I146" s="57"/>
      <c r="J146" s="57"/>
      <c r="K146" s="43"/>
      <c r="L146" s="44"/>
      <c r="M146" s="43">
        <f t="shared" si="10"/>
        <v>0</v>
      </c>
      <c r="N146" s="43"/>
      <c r="O146" s="41"/>
      <c r="P146" s="113">
        <v>3</v>
      </c>
      <c r="Q146" s="114">
        <v>8317.5</v>
      </c>
      <c r="R146" s="270">
        <v>4</v>
      </c>
      <c r="S146" s="43">
        <f t="shared" si="11"/>
        <v>10625.699999999999</v>
      </c>
      <c r="T146" s="114">
        <f>2305.2+4226.2+2689.4+1404.9</f>
        <v>10625.699999999999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126</v>
      </c>
      <c r="C147" s="374" t="s">
        <v>22</v>
      </c>
      <c r="D147" s="378"/>
      <c r="E147" s="374" t="s">
        <v>65</v>
      </c>
      <c r="F147" s="232" t="s">
        <v>443</v>
      </c>
      <c r="G147" s="23" t="s">
        <v>24</v>
      </c>
      <c r="H147" s="151">
        <v>5</v>
      </c>
      <c r="I147" s="62">
        <v>1</v>
      </c>
      <c r="J147" s="62">
        <v>1</v>
      </c>
      <c r="K147" s="30">
        <v>384.2</v>
      </c>
      <c r="L147" s="205">
        <v>1</v>
      </c>
      <c r="M147" s="26">
        <f t="shared" si="10"/>
        <v>384.2</v>
      </c>
      <c r="N147" s="30">
        <v>384.2</v>
      </c>
      <c r="O147" s="225"/>
      <c r="P147" s="53">
        <v>15</v>
      </c>
      <c r="Q147" s="30">
        <v>10414.84</v>
      </c>
      <c r="R147" s="205">
        <v>4</v>
      </c>
      <c r="S147" s="26">
        <f t="shared" si="11"/>
        <v>10414.84</v>
      </c>
      <c r="T147" s="30">
        <v>10414.84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54" t="s">
        <v>316</v>
      </c>
      <c r="G148" s="35" t="s">
        <v>28</v>
      </c>
      <c r="H148" s="153">
        <v>6</v>
      </c>
      <c r="I148" s="37">
        <v>3</v>
      </c>
      <c r="J148" s="37">
        <v>3</v>
      </c>
      <c r="K148" s="68">
        <v>3710.1</v>
      </c>
      <c r="L148" s="285">
        <v>3</v>
      </c>
      <c r="M148" s="39">
        <f t="shared" si="10"/>
        <v>3710.1</v>
      </c>
      <c r="N148" s="39">
        <f>2305.2+1404.9</f>
        <v>3710.1</v>
      </c>
      <c r="O148" s="41"/>
      <c r="P148" s="115">
        <v>3</v>
      </c>
      <c r="Q148" s="68">
        <v>7062.2</v>
      </c>
      <c r="R148" s="285">
        <v>3</v>
      </c>
      <c r="S148" s="39">
        <f t="shared" si="11"/>
        <v>7418.45</v>
      </c>
      <c r="T148" s="39">
        <f>1056.55+1344.4+5017.5</f>
        <v>7418.45</v>
      </c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2"/>
      <c r="B149" s="381" t="s">
        <v>127</v>
      </c>
      <c r="C149" s="381" t="s">
        <v>22</v>
      </c>
      <c r="D149" s="381"/>
      <c r="E149" s="381" t="s">
        <v>67</v>
      </c>
      <c r="F149" s="223" t="s">
        <v>368</v>
      </c>
      <c r="G149" s="47" t="s">
        <v>24</v>
      </c>
      <c r="H149" s="48">
        <v>9</v>
      </c>
      <c r="I149" s="203">
        <v>7</v>
      </c>
      <c r="J149" s="203">
        <v>10</v>
      </c>
      <c r="K149" s="65">
        <v>19226.240000000002</v>
      </c>
      <c r="L149" s="224">
        <v>10</v>
      </c>
      <c r="M149" s="50">
        <f t="shared" si="10"/>
        <v>19226.240000000002</v>
      </c>
      <c r="N149" s="65">
        <v>19226.240000000002</v>
      </c>
      <c r="O149" s="225"/>
      <c r="P149" s="108">
        <v>8</v>
      </c>
      <c r="Q149" s="65">
        <v>29582.03</v>
      </c>
      <c r="R149" s="224">
        <v>8</v>
      </c>
      <c r="S149" s="50">
        <f t="shared" si="11"/>
        <v>29582.03</v>
      </c>
      <c r="T149" s="65">
        <v>29582.03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33" t="s">
        <v>317</v>
      </c>
      <c r="G150" s="227" t="s">
        <v>28</v>
      </c>
      <c r="H150" s="153">
        <v>7</v>
      </c>
      <c r="I150" s="37">
        <v>4</v>
      </c>
      <c r="J150" s="37">
        <v>4</v>
      </c>
      <c r="K150" s="68">
        <v>5174.6000000000004</v>
      </c>
      <c r="L150" s="285">
        <v>4</v>
      </c>
      <c r="M150" s="39">
        <f t="shared" si="10"/>
        <v>5220.5999999999995</v>
      </c>
      <c r="N150" s="39">
        <f>1578.8+1152.6+1152.6+1336.6</f>
        <v>5220.5999999999995</v>
      </c>
      <c r="O150" s="41"/>
      <c r="P150" s="115">
        <v>3</v>
      </c>
      <c r="Q150" s="68">
        <v>17095</v>
      </c>
      <c r="R150" s="285">
        <v>2</v>
      </c>
      <c r="S150" s="39">
        <f t="shared" si="11"/>
        <v>15088</v>
      </c>
      <c r="T150" s="39">
        <f>4034.1+11053.9</f>
        <v>15088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128</v>
      </c>
      <c r="C151" s="374" t="s">
        <v>39</v>
      </c>
      <c r="D151" s="374" t="s">
        <v>129</v>
      </c>
      <c r="E151" s="374" t="s">
        <v>121</v>
      </c>
      <c r="F151" s="60"/>
      <c r="G151" s="176" t="s">
        <v>24</v>
      </c>
      <c r="H151" s="107"/>
      <c r="I151" s="49"/>
      <c r="J151" s="127"/>
      <c r="K151" s="50"/>
      <c r="L151" s="51"/>
      <c r="M151" s="50">
        <f t="shared" si="10"/>
        <v>0</v>
      </c>
      <c r="N151" s="50"/>
      <c r="O151" s="31"/>
      <c r="P151" s="108">
        <v>1</v>
      </c>
      <c r="Q151" s="65">
        <v>14638.71</v>
      </c>
      <c r="R151" s="51"/>
      <c r="S151" s="50">
        <f t="shared" si="11"/>
        <v>0</v>
      </c>
      <c r="T151" s="50"/>
      <c r="U151" s="3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229" t="s">
        <v>25</v>
      </c>
      <c r="H152" s="153">
        <v>1</v>
      </c>
      <c r="I152" s="57"/>
      <c r="J152" s="57"/>
      <c r="K152" s="43"/>
      <c r="L152" s="44"/>
      <c r="M152" s="43">
        <f t="shared" si="10"/>
        <v>0</v>
      </c>
      <c r="N152" s="43"/>
      <c r="O152" s="41"/>
      <c r="P152" s="103"/>
      <c r="Q152" s="43"/>
      <c r="R152" s="44"/>
      <c r="S152" s="43">
        <f t="shared" si="11"/>
        <v>0</v>
      </c>
      <c r="T152" s="43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130</v>
      </c>
      <c r="C153" s="374" t="s">
        <v>22</v>
      </c>
      <c r="D153" s="374"/>
      <c r="E153" s="374" t="s">
        <v>131</v>
      </c>
      <c r="F153" s="232" t="s">
        <v>411</v>
      </c>
      <c r="G153" s="176" t="s">
        <v>24</v>
      </c>
      <c r="H153" s="48">
        <v>10</v>
      </c>
      <c r="I153" s="62">
        <v>5</v>
      </c>
      <c r="J153" s="62">
        <v>5</v>
      </c>
      <c r="K153" s="30">
        <v>6688.2</v>
      </c>
      <c r="L153" s="205">
        <v>2</v>
      </c>
      <c r="M153" s="26">
        <f t="shared" si="10"/>
        <v>2935.73</v>
      </c>
      <c r="N153" s="30">
        <v>2935.73</v>
      </c>
      <c r="O153" s="31"/>
      <c r="P153" s="53">
        <v>4</v>
      </c>
      <c r="Q153" s="30">
        <v>22885.21</v>
      </c>
      <c r="R153" s="205">
        <v>4</v>
      </c>
      <c r="S153" s="26">
        <f t="shared" si="11"/>
        <v>22885.21</v>
      </c>
      <c r="T153" s="30">
        <v>22885.21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34"/>
      <c r="G154" s="229" t="s">
        <v>25</v>
      </c>
      <c r="H154" s="112">
        <v>7</v>
      </c>
      <c r="I154" s="130">
        <v>4</v>
      </c>
      <c r="J154" s="130">
        <v>4</v>
      </c>
      <c r="K154" s="114">
        <v>3685.73</v>
      </c>
      <c r="L154" s="270">
        <v>3</v>
      </c>
      <c r="M154" s="114">
        <v>2782.58</v>
      </c>
      <c r="N154" s="114">
        <v>2782.58</v>
      </c>
      <c r="O154" s="234"/>
      <c r="P154" s="113">
        <v>3</v>
      </c>
      <c r="Q154" s="114">
        <v>7539.8</v>
      </c>
      <c r="R154" s="270">
        <v>3</v>
      </c>
      <c r="S154" s="114">
        <v>7539.8</v>
      </c>
      <c r="T154" s="114">
        <v>7539.8</v>
      </c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132</v>
      </c>
      <c r="C155" s="374" t="s">
        <v>39</v>
      </c>
      <c r="D155" s="374" t="s">
        <v>238</v>
      </c>
      <c r="E155" s="377" t="s">
        <v>136</v>
      </c>
      <c r="F155" s="232" t="s">
        <v>239</v>
      </c>
      <c r="G155" s="23" t="s">
        <v>24</v>
      </c>
      <c r="H155" s="61">
        <v>12</v>
      </c>
      <c r="I155" s="62">
        <v>8</v>
      </c>
      <c r="J155" s="62">
        <v>10</v>
      </c>
      <c r="K155" s="30">
        <v>13129.56</v>
      </c>
      <c r="L155" s="205">
        <v>10</v>
      </c>
      <c r="M155" s="26">
        <f t="shared" ref="M155:M231" si="12">N155+O155</f>
        <v>13129.56</v>
      </c>
      <c r="N155" s="30">
        <v>13129.56</v>
      </c>
      <c r="O155" s="225"/>
      <c r="P155" s="53">
        <v>13</v>
      </c>
      <c r="Q155" s="30">
        <v>50593.43</v>
      </c>
      <c r="R155" s="205">
        <v>12</v>
      </c>
      <c r="S155" s="26">
        <f t="shared" ref="S155:S187" si="13">T155+U155</f>
        <v>49378.37</v>
      </c>
      <c r="T155" s="30">
        <v>49378.37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7"/>
      <c r="B156" s="386"/>
      <c r="C156" s="386"/>
      <c r="D156" s="386"/>
      <c r="E156" s="386"/>
      <c r="F156" s="237" t="s">
        <v>240</v>
      </c>
      <c r="G156" s="154" t="s">
        <v>28</v>
      </c>
      <c r="H156" s="112">
        <v>13</v>
      </c>
      <c r="I156" s="271">
        <v>7</v>
      </c>
      <c r="J156" s="271">
        <v>7</v>
      </c>
      <c r="K156" s="239">
        <v>13627.6</v>
      </c>
      <c r="L156" s="316">
        <v>4</v>
      </c>
      <c r="M156" s="129">
        <f t="shared" si="12"/>
        <v>9412.9</v>
      </c>
      <c r="N156" s="129">
        <f>1728.9+2305.2+576.3+4802.5</f>
        <v>9412.9</v>
      </c>
      <c r="O156" s="45"/>
      <c r="P156" s="238">
        <v>7</v>
      </c>
      <c r="Q156" s="239">
        <v>11775.73</v>
      </c>
      <c r="R156" s="316">
        <v>8</v>
      </c>
      <c r="S156" s="129">
        <f t="shared" si="13"/>
        <v>12985.960000000001</v>
      </c>
      <c r="T156" s="239">
        <f>288.15+6934.81+3073.6+1344.7+1344.7</f>
        <v>12985.960000000001</v>
      </c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105"/>
      <c r="G157" s="55" t="s">
        <v>25</v>
      </c>
      <c r="H157" s="131"/>
      <c r="I157" s="57"/>
      <c r="J157" s="57"/>
      <c r="K157" s="43"/>
      <c r="L157" s="44"/>
      <c r="M157" s="43">
        <f t="shared" si="12"/>
        <v>0</v>
      </c>
      <c r="N157" s="43"/>
      <c r="O157" s="41"/>
      <c r="P157" s="103"/>
      <c r="Q157" s="43"/>
      <c r="R157" s="44"/>
      <c r="S157" s="43">
        <f t="shared" si="13"/>
        <v>0</v>
      </c>
      <c r="T157" s="43"/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133</v>
      </c>
      <c r="C158" s="374" t="s">
        <v>39</v>
      </c>
      <c r="D158" s="374" t="s">
        <v>448</v>
      </c>
      <c r="E158" s="381" t="s">
        <v>23</v>
      </c>
      <c r="F158" s="232" t="s">
        <v>449</v>
      </c>
      <c r="G158" s="23" t="s">
        <v>24</v>
      </c>
      <c r="H158" s="61">
        <v>10</v>
      </c>
      <c r="I158" s="62">
        <v>6</v>
      </c>
      <c r="J158" s="62">
        <v>6</v>
      </c>
      <c r="K158" s="30">
        <v>16306.8</v>
      </c>
      <c r="L158" s="205">
        <v>6</v>
      </c>
      <c r="M158" s="26">
        <f t="shared" si="12"/>
        <v>16306.8</v>
      </c>
      <c r="N158" s="30">
        <v>16306.8</v>
      </c>
      <c r="O158" s="31"/>
      <c r="P158" s="53">
        <v>1</v>
      </c>
      <c r="Q158" s="30">
        <v>1415.78</v>
      </c>
      <c r="R158" s="205">
        <v>1</v>
      </c>
      <c r="S158" s="26">
        <f t="shared" si="13"/>
        <v>1415.78</v>
      </c>
      <c r="T158" s="30">
        <v>1415.78</v>
      </c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34"/>
      <c r="G159" s="35" t="s">
        <v>25</v>
      </c>
      <c r="H159" s="106"/>
      <c r="I159" s="38"/>
      <c r="J159" s="38"/>
      <c r="K159" s="39"/>
      <c r="L159" s="40"/>
      <c r="M159" s="39">
        <f t="shared" si="12"/>
        <v>0</v>
      </c>
      <c r="N159" s="39"/>
      <c r="O159" s="41"/>
      <c r="P159" s="59"/>
      <c r="Q159" s="39"/>
      <c r="R159" s="40"/>
      <c r="S159" s="39">
        <f t="shared" si="13"/>
        <v>0</v>
      </c>
      <c r="T159" s="39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134</v>
      </c>
      <c r="C160" s="374" t="s">
        <v>39</v>
      </c>
      <c r="D160" s="374" t="s">
        <v>280</v>
      </c>
      <c r="E160" s="374" t="s">
        <v>136</v>
      </c>
      <c r="F160" s="204" t="s">
        <v>282</v>
      </c>
      <c r="G160" s="176" t="s">
        <v>24</v>
      </c>
      <c r="H160" s="48">
        <v>11</v>
      </c>
      <c r="I160" s="203">
        <v>9</v>
      </c>
      <c r="J160" s="203">
        <v>9</v>
      </c>
      <c r="K160" s="65">
        <v>12433.98</v>
      </c>
      <c r="L160" s="224">
        <v>8</v>
      </c>
      <c r="M160" s="50">
        <f t="shared" si="12"/>
        <v>9644.25</v>
      </c>
      <c r="N160" s="65">
        <v>9644.25</v>
      </c>
      <c r="O160" s="225"/>
      <c r="P160" s="108">
        <v>6</v>
      </c>
      <c r="Q160" s="65">
        <v>33605.230000000003</v>
      </c>
      <c r="R160" s="224">
        <v>6</v>
      </c>
      <c r="S160" s="50">
        <f t="shared" si="13"/>
        <v>33605.230000000003</v>
      </c>
      <c r="T160" s="65">
        <v>33605.230000000003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7"/>
      <c r="B161" s="386"/>
      <c r="C161" s="386"/>
      <c r="D161" s="386"/>
      <c r="E161" s="386"/>
      <c r="F161" s="235" t="s">
        <v>321</v>
      </c>
      <c r="G161" s="252" t="s">
        <v>28</v>
      </c>
      <c r="H161" s="151">
        <v>10</v>
      </c>
      <c r="I161" s="246">
        <v>4</v>
      </c>
      <c r="J161" s="246">
        <v>4</v>
      </c>
      <c r="K161" s="158">
        <v>8842.2999999999993</v>
      </c>
      <c r="L161" s="317">
        <v>2</v>
      </c>
      <c r="M161" s="142">
        <f t="shared" si="12"/>
        <v>4226.2</v>
      </c>
      <c r="N161" s="142">
        <f>1921+2305.2</f>
        <v>4226.2</v>
      </c>
      <c r="O161" s="45"/>
      <c r="P161" s="157">
        <v>4</v>
      </c>
      <c r="Q161" s="158">
        <v>8625.2900000000009</v>
      </c>
      <c r="R161" s="224">
        <v>5</v>
      </c>
      <c r="S161" s="50">
        <f t="shared" si="13"/>
        <v>9681.84</v>
      </c>
      <c r="T161" s="158">
        <f>6224.04+3457.8</f>
        <v>9681.84</v>
      </c>
      <c r="U161" s="4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229" t="s">
        <v>25</v>
      </c>
      <c r="H162" s="118"/>
      <c r="I162" s="57"/>
      <c r="J162" s="57"/>
      <c r="K162" s="43"/>
      <c r="L162" s="44"/>
      <c r="M162" s="43">
        <f t="shared" si="12"/>
        <v>0</v>
      </c>
      <c r="N162" s="43"/>
      <c r="O162" s="41"/>
      <c r="P162" s="103"/>
      <c r="Q162" s="43"/>
      <c r="R162" s="44"/>
      <c r="S162" s="43">
        <f t="shared" si="13"/>
        <v>0</v>
      </c>
      <c r="T162" s="43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137</v>
      </c>
      <c r="C163" s="377" t="s">
        <v>39</v>
      </c>
      <c r="D163" s="374" t="s">
        <v>322</v>
      </c>
      <c r="E163" s="377" t="s">
        <v>27</v>
      </c>
      <c r="F163" s="232" t="s">
        <v>323</v>
      </c>
      <c r="G163" s="23" t="s">
        <v>24</v>
      </c>
      <c r="H163" s="24">
        <v>12</v>
      </c>
      <c r="I163" s="62">
        <v>6</v>
      </c>
      <c r="J163" s="62">
        <v>8</v>
      </c>
      <c r="K163" s="30">
        <v>16100.36</v>
      </c>
      <c r="L163" s="205">
        <v>6</v>
      </c>
      <c r="M163" s="26">
        <f t="shared" si="12"/>
        <v>10738.18</v>
      </c>
      <c r="N163" s="30">
        <v>10738.18</v>
      </c>
      <c r="O163" s="31"/>
      <c r="P163" s="53">
        <v>2</v>
      </c>
      <c r="Q163" s="30">
        <v>3779.47</v>
      </c>
      <c r="R163" s="205">
        <v>2</v>
      </c>
      <c r="S163" s="26">
        <f t="shared" si="13"/>
        <v>3779.47</v>
      </c>
      <c r="T163" s="30">
        <v>3779.47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80"/>
      <c r="F164" s="220" t="s">
        <v>241</v>
      </c>
      <c r="G164" s="35" t="s">
        <v>28</v>
      </c>
      <c r="H164" s="66">
        <v>7</v>
      </c>
      <c r="I164" s="37">
        <v>4</v>
      </c>
      <c r="J164" s="37">
        <v>4</v>
      </c>
      <c r="K164" s="68">
        <v>5042.7</v>
      </c>
      <c r="L164" s="285">
        <v>3</v>
      </c>
      <c r="M164" s="39">
        <f t="shared" si="12"/>
        <v>3637.8</v>
      </c>
      <c r="N164" s="39">
        <f>576.3+1716.8+1344.7</f>
        <v>3637.8</v>
      </c>
      <c r="O164" s="41"/>
      <c r="P164" s="115">
        <v>2</v>
      </c>
      <c r="Q164" s="68">
        <v>3265.7</v>
      </c>
      <c r="R164" s="285">
        <v>2</v>
      </c>
      <c r="S164" s="39">
        <f t="shared" si="13"/>
        <v>3265.7</v>
      </c>
      <c r="T164" s="39">
        <f>1921+1344.7</f>
        <v>3265.7</v>
      </c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138</v>
      </c>
      <c r="C165" s="374" t="s">
        <v>22</v>
      </c>
      <c r="D165" s="374"/>
      <c r="E165" s="374" t="s">
        <v>27</v>
      </c>
      <c r="F165" s="204" t="s">
        <v>324</v>
      </c>
      <c r="G165" s="176" t="s">
        <v>24</v>
      </c>
      <c r="H165" s="151">
        <v>8</v>
      </c>
      <c r="I165" s="203">
        <v>5</v>
      </c>
      <c r="J165" s="203">
        <v>6</v>
      </c>
      <c r="K165" s="65">
        <v>13186.17</v>
      </c>
      <c r="L165" s="224">
        <v>6</v>
      </c>
      <c r="M165" s="50">
        <f t="shared" si="12"/>
        <v>13186.17</v>
      </c>
      <c r="N165" s="65">
        <v>13186.17</v>
      </c>
      <c r="O165" s="31"/>
      <c r="P165" s="108">
        <v>9</v>
      </c>
      <c r="Q165" s="65">
        <v>17335.71</v>
      </c>
      <c r="R165" s="224">
        <v>8</v>
      </c>
      <c r="S165" s="50">
        <f t="shared" si="13"/>
        <v>16335.71</v>
      </c>
      <c r="T165" s="65">
        <v>16335.71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 t="s">
        <v>242</v>
      </c>
      <c r="G166" s="229" t="s">
        <v>28</v>
      </c>
      <c r="H166" s="133">
        <v>6</v>
      </c>
      <c r="I166" s="130">
        <v>5</v>
      </c>
      <c r="J166" s="130">
        <v>5</v>
      </c>
      <c r="K166" s="114">
        <v>18356.64</v>
      </c>
      <c r="L166" s="270">
        <v>4</v>
      </c>
      <c r="M166" s="43">
        <f t="shared" si="12"/>
        <v>7146.12</v>
      </c>
      <c r="N166" s="43">
        <f>3880.42+1344.7+1921</f>
        <v>7146.12</v>
      </c>
      <c r="O166" s="41"/>
      <c r="P166" s="113">
        <v>5</v>
      </c>
      <c r="Q166" s="114">
        <v>11814.15</v>
      </c>
      <c r="R166" s="270">
        <v>4</v>
      </c>
      <c r="S166" s="43">
        <f t="shared" si="13"/>
        <v>9893.15</v>
      </c>
      <c r="T166" s="114">
        <f>4802.5+2401.25+2689.4</f>
        <v>9893.15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139</v>
      </c>
      <c r="C167" s="374" t="s">
        <v>22</v>
      </c>
      <c r="D167" s="374"/>
      <c r="E167" s="374" t="s">
        <v>67</v>
      </c>
      <c r="F167" s="232" t="s">
        <v>325</v>
      </c>
      <c r="G167" s="23" t="s">
        <v>24</v>
      </c>
      <c r="H167" s="151">
        <v>6</v>
      </c>
      <c r="I167" s="62">
        <v>5</v>
      </c>
      <c r="J167" s="62">
        <v>6</v>
      </c>
      <c r="K167" s="30">
        <v>13798.74</v>
      </c>
      <c r="L167" s="205">
        <v>6</v>
      </c>
      <c r="M167" s="26">
        <f t="shared" si="12"/>
        <v>13798.74</v>
      </c>
      <c r="N167" s="30">
        <v>13798.74</v>
      </c>
      <c r="O167" s="225"/>
      <c r="P167" s="53">
        <v>15</v>
      </c>
      <c r="Q167" s="30">
        <v>52937.79</v>
      </c>
      <c r="R167" s="205">
        <v>15</v>
      </c>
      <c r="S167" s="26">
        <f t="shared" si="13"/>
        <v>52937.79</v>
      </c>
      <c r="T167" s="30">
        <v>52937.79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33" t="s">
        <v>326</v>
      </c>
      <c r="G168" s="227" t="s">
        <v>28</v>
      </c>
      <c r="H168" s="112">
        <v>6</v>
      </c>
      <c r="I168" s="130">
        <v>3</v>
      </c>
      <c r="J168" s="130">
        <v>3</v>
      </c>
      <c r="K168" s="114">
        <v>4835.3999999999996</v>
      </c>
      <c r="L168" s="270">
        <v>2</v>
      </c>
      <c r="M168" s="43">
        <f t="shared" si="12"/>
        <v>2331</v>
      </c>
      <c r="N168" s="43">
        <f>1728.9+602.1</f>
        <v>2331</v>
      </c>
      <c r="O168" s="45"/>
      <c r="P168" s="113">
        <v>4</v>
      </c>
      <c r="Q168" s="114">
        <v>9785.2000000000007</v>
      </c>
      <c r="R168" s="270">
        <v>6</v>
      </c>
      <c r="S168" s="43">
        <f t="shared" si="13"/>
        <v>16062.800000000001</v>
      </c>
      <c r="T168" s="114">
        <f>6269.7+3984+2305.2+3503.9</f>
        <v>16062.800000000001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140</v>
      </c>
      <c r="C169" s="374" t="s">
        <v>39</v>
      </c>
      <c r="D169" s="374" t="s">
        <v>369</v>
      </c>
      <c r="E169" s="374" t="s">
        <v>27</v>
      </c>
      <c r="F169" s="204" t="s">
        <v>370</v>
      </c>
      <c r="G169" s="176" t="s">
        <v>24</v>
      </c>
      <c r="H169" s="24">
        <v>14</v>
      </c>
      <c r="I169" s="62">
        <v>8</v>
      </c>
      <c r="J169" s="62">
        <v>9</v>
      </c>
      <c r="K169" s="30">
        <v>20727.88</v>
      </c>
      <c r="L169" s="205">
        <v>7</v>
      </c>
      <c r="M169" s="26">
        <f t="shared" si="12"/>
        <v>17674.52</v>
      </c>
      <c r="N169" s="30">
        <v>17674.52</v>
      </c>
      <c r="O169" s="159"/>
      <c r="P169" s="53">
        <v>4</v>
      </c>
      <c r="Q169" s="30">
        <v>37770.129999999997</v>
      </c>
      <c r="R169" s="205">
        <v>3</v>
      </c>
      <c r="S169" s="26">
        <f t="shared" si="13"/>
        <v>20168.78</v>
      </c>
      <c r="T169" s="30">
        <v>20168.78</v>
      </c>
      <c r="U169" s="2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233" t="s">
        <v>243</v>
      </c>
      <c r="G170" s="282" t="s">
        <v>28</v>
      </c>
      <c r="H170" s="207">
        <v>5</v>
      </c>
      <c r="I170" s="208">
        <v>1</v>
      </c>
      <c r="J170" s="208">
        <v>1</v>
      </c>
      <c r="K170" s="209">
        <v>1728</v>
      </c>
      <c r="L170" s="210"/>
      <c r="M170" s="211">
        <f t="shared" si="12"/>
        <v>1728.9</v>
      </c>
      <c r="N170" s="211">
        <f>1728.9</f>
        <v>1728.9</v>
      </c>
      <c r="O170" s="274"/>
      <c r="P170" s="262">
        <v>3</v>
      </c>
      <c r="Q170" s="209">
        <v>5494.06</v>
      </c>
      <c r="R170" s="290">
        <v>6</v>
      </c>
      <c r="S170" s="211">
        <f t="shared" si="13"/>
        <v>14023.3</v>
      </c>
      <c r="T170" s="211">
        <f>4034.1+3073.6+5071.44+1267.86+576.3</f>
        <v>14023.3</v>
      </c>
      <c r="U170" s="212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413</v>
      </c>
      <c r="C171" s="374" t="s">
        <v>22</v>
      </c>
      <c r="D171" s="374"/>
      <c r="E171" s="374" t="s">
        <v>391</v>
      </c>
      <c r="F171" s="204" t="s">
        <v>414</v>
      </c>
      <c r="G171" s="176" t="s">
        <v>24</v>
      </c>
      <c r="H171" s="24">
        <v>4</v>
      </c>
      <c r="I171" s="62">
        <v>2</v>
      </c>
      <c r="J171" s="62">
        <v>5</v>
      </c>
      <c r="K171" s="30">
        <v>15627.55</v>
      </c>
      <c r="L171" s="205">
        <v>5</v>
      </c>
      <c r="M171" s="26">
        <f t="shared" si="12"/>
        <v>15627.55</v>
      </c>
      <c r="N171" s="30">
        <v>15627.55</v>
      </c>
      <c r="O171" s="28"/>
      <c r="P171" s="214"/>
      <c r="Q171" s="30"/>
      <c r="R171" s="205"/>
      <c r="S171" s="26">
        <f t="shared" si="13"/>
        <v>0</v>
      </c>
      <c r="T171" s="30"/>
      <c r="U171" s="2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0"/>
      <c r="G172" s="229" t="s">
        <v>28</v>
      </c>
      <c r="H172" s="66"/>
      <c r="I172" s="38"/>
      <c r="J172" s="38"/>
      <c r="K172" s="39"/>
      <c r="L172" s="40"/>
      <c r="M172" s="39">
        <f t="shared" si="12"/>
        <v>0</v>
      </c>
      <c r="N172" s="39"/>
      <c r="O172" s="41"/>
      <c r="P172" s="217"/>
      <c r="Q172" s="68"/>
      <c r="R172" s="285"/>
      <c r="S172" s="39">
        <f t="shared" si="13"/>
        <v>0</v>
      </c>
      <c r="T172" s="68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141</v>
      </c>
      <c r="C173" s="374" t="s">
        <v>39</v>
      </c>
      <c r="D173" s="374" t="s">
        <v>371</v>
      </c>
      <c r="E173" s="374" t="s">
        <v>27</v>
      </c>
      <c r="F173" s="204" t="s">
        <v>372</v>
      </c>
      <c r="G173" s="176" t="s">
        <v>24</v>
      </c>
      <c r="H173" s="281">
        <v>8</v>
      </c>
      <c r="I173" s="266">
        <v>5</v>
      </c>
      <c r="J173" s="266">
        <v>5</v>
      </c>
      <c r="K173" s="79">
        <v>11395.47</v>
      </c>
      <c r="L173" s="268">
        <v>4</v>
      </c>
      <c r="M173" s="81">
        <f t="shared" si="12"/>
        <v>10015.66</v>
      </c>
      <c r="N173" s="79">
        <v>10015.66</v>
      </c>
      <c r="O173" s="219"/>
      <c r="P173" s="267">
        <v>2</v>
      </c>
      <c r="Q173" s="79">
        <v>4949.17</v>
      </c>
      <c r="R173" s="268">
        <v>2</v>
      </c>
      <c r="S173" s="81">
        <f t="shared" si="13"/>
        <v>4949.17</v>
      </c>
      <c r="T173" s="79">
        <v>4949.17</v>
      </c>
      <c r="U173" s="219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34"/>
      <c r="G174" s="229" t="s">
        <v>28</v>
      </c>
      <c r="H174" s="118"/>
      <c r="I174" s="57"/>
      <c r="J174" s="57"/>
      <c r="K174" s="43"/>
      <c r="L174" s="44"/>
      <c r="M174" s="43">
        <f t="shared" si="12"/>
        <v>0</v>
      </c>
      <c r="N174" s="43"/>
      <c r="O174" s="45"/>
      <c r="P174" s="103"/>
      <c r="Q174" s="43"/>
      <c r="R174" s="44"/>
      <c r="S174" s="43">
        <f t="shared" si="13"/>
        <v>0</v>
      </c>
      <c r="T174" s="43"/>
      <c r="U174" s="4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142</v>
      </c>
      <c r="C175" s="374" t="s">
        <v>39</v>
      </c>
      <c r="D175" s="374" t="s">
        <v>415</v>
      </c>
      <c r="E175" s="374" t="s">
        <v>27</v>
      </c>
      <c r="F175" s="232" t="s">
        <v>416</v>
      </c>
      <c r="G175" s="23" t="s">
        <v>24</v>
      </c>
      <c r="H175" s="24">
        <v>4</v>
      </c>
      <c r="I175" s="62">
        <v>2</v>
      </c>
      <c r="J175" s="62">
        <v>2</v>
      </c>
      <c r="K175" s="30">
        <v>524.91</v>
      </c>
      <c r="L175" s="205">
        <v>2</v>
      </c>
      <c r="M175" s="26">
        <f t="shared" si="12"/>
        <v>524.91</v>
      </c>
      <c r="N175" s="30">
        <v>524.91</v>
      </c>
      <c r="O175" s="241"/>
      <c r="P175" s="53">
        <v>1</v>
      </c>
      <c r="Q175" s="30">
        <v>412.05</v>
      </c>
      <c r="R175" s="205">
        <v>1</v>
      </c>
      <c r="S175" s="26">
        <f t="shared" si="13"/>
        <v>412.05</v>
      </c>
      <c r="T175" s="30">
        <v>412.05</v>
      </c>
      <c r="U175" s="2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227" t="s">
        <v>28</v>
      </c>
      <c r="H176" s="311"/>
      <c r="I176" s="261"/>
      <c r="J176" s="261"/>
      <c r="K176" s="211"/>
      <c r="L176" s="210"/>
      <c r="M176" s="211">
        <f t="shared" si="12"/>
        <v>0</v>
      </c>
      <c r="N176" s="211"/>
      <c r="O176" s="212"/>
      <c r="P176" s="273"/>
      <c r="Q176" s="211"/>
      <c r="R176" s="210"/>
      <c r="S176" s="211">
        <f t="shared" si="13"/>
        <v>0</v>
      </c>
      <c r="T176" s="211"/>
      <c r="U176" s="212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424</v>
      </c>
      <c r="C177" s="374" t="s">
        <v>22</v>
      </c>
      <c r="D177" s="374"/>
      <c r="E177" s="374" t="s">
        <v>65</v>
      </c>
      <c r="F177" s="232" t="s">
        <v>437</v>
      </c>
      <c r="G177" s="213" t="s">
        <v>24</v>
      </c>
      <c r="H177" s="24">
        <v>4</v>
      </c>
      <c r="I177" s="62">
        <v>1</v>
      </c>
      <c r="J177" s="62">
        <v>1</v>
      </c>
      <c r="K177" s="30">
        <v>1285.1500000000001</v>
      </c>
      <c r="L177" s="205">
        <v>1</v>
      </c>
      <c r="M177" s="26">
        <f t="shared" si="12"/>
        <v>1285.1500000000001</v>
      </c>
      <c r="N177" s="30">
        <v>1285.1500000000001</v>
      </c>
      <c r="O177" s="28"/>
      <c r="P177" s="214"/>
      <c r="Q177" s="30"/>
      <c r="R177" s="205"/>
      <c r="S177" s="26">
        <f t="shared" si="13"/>
        <v>0</v>
      </c>
      <c r="T177" s="30"/>
      <c r="U177" s="24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/>
      <c r="G178" s="215" t="s">
        <v>28</v>
      </c>
      <c r="H178" s="66"/>
      <c r="I178" s="38"/>
      <c r="J178" s="38"/>
      <c r="K178" s="39"/>
      <c r="L178" s="40"/>
      <c r="M178" s="39">
        <f t="shared" si="12"/>
        <v>0</v>
      </c>
      <c r="N178" s="39"/>
      <c r="O178" s="41"/>
      <c r="P178" s="217"/>
      <c r="Q178" s="68"/>
      <c r="R178" s="285"/>
      <c r="S178" s="39">
        <f t="shared" si="13"/>
        <v>0</v>
      </c>
      <c r="T178" s="68"/>
      <c r="U178" s="23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6"/>
      <c r="B179" s="377" t="s">
        <v>143</v>
      </c>
      <c r="C179" s="377" t="s">
        <v>39</v>
      </c>
      <c r="D179" s="377" t="s">
        <v>327</v>
      </c>
      <c r="E179" s="377" t="s">
        <v>145</v>
      </c>
      <c r="F179" s="232" t="s">
        <v>215</v>
      </c>
      <c r="G179" s="95" t="s">
        <v>24</v>
      </c>
      <c r="H179" s="281">
        <v>4</v>
      </c>
      <c r="I179" s="266">
        <v>3</v>
      </c>
      <c r="J179" s="266">
        <v>3</v>
      </c>
      <c r="K179" s="79">
        <v>3521.24</v>
      </c>
      <c r="L179" s="268">
        <v>3</v>
      </c>
      <c r="M179" s="81">
        <f t="shared" si="12"/>
        <v>3521.24</v>
      </c>
      <c r="N179" s="79">
        <v>3521.24</v>
      </c>
      <c r="O179" s="219"/>
      <c r="P179" s="267">
        <v>15</v>
      </c>
      <c r="Q179" s="79">
        <v>43575.18</v>
      </c>
      <c r="R179" s="268">
        <v>15</v>
      </c>
      <c r="S179" s="81">
        <f t="shared" si="13"/>
        <v>43575.18</v>
      </c>
      <c r="T179" s="79">
        <v>43575.18</v>
      </c>
      <c r="U179" s="269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9"/>
      <c r="B180" s="380"/>
      <c r="C180" s="380"/>
      <c r="D180" s="380"/>
      <c r="E180" s="380"/>
      <c r="F180" s="233" t="s">
        <v>244</v>
      </c>
      <c r="G180" s="227" t="s">
        <v>28</v>
      </c>
      <c r="H180" s="133">
        <v>9</v>
      </c>
      <c r="I180" s="130">
        <v>4</v>
      </c>
      <c r="J180" s="130">
        <v>4</v>
      </c>
      <c r="K180" s="114">
        <v>14993.72</v>
      </c>
      <c r="L180" s="316">
        <v>3</v>
      </c>
      <c r="M180" s="50">
        <f t="shared" si="12"/>
        <v>9569.92</v>
      </c>
      <c r="N180" s="43">
        <f>2497.3+1152.6+5920.02</f>
        <v>9569.92</v>
      </c>
      <c r="O180" s="41"/>
      <c r="P180" s="113">
        <v>2</v>
      </c>
      <c r="Q180" s="114">
        <v>7924</v>
      </c>
      <c r="R180" s="270">
        <v>3</v>
      </c>
      <c r="S180" s="43">
        <f t="shared" si="13"/>
        <v>8500.2999999999993</v>
      </c>
      <c r="T180" s="114">
        <f>576.3+5426.7+2497.3</f>
        <v>8500.2999999999993</v>
      </c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146</v>
      </c>
      <c r="C181" s="374" t="s">
        <v>39</v>
      </c>
      <c r="D181" s="374" t="s">
        <v>328</v>
      </c>
      <c r="E181" s="374" t="s">
        <v>27</v>
      </c>
      <c r="F181" s="204" t="s">
        <v>329</v>
      </c>
      <c r="G181" s="176" t="s">
        <v>24</v>
      </c>
      <c r="H181" s="48">
        <v>8</v>
      </c>
      <c r="I181" s="62">
        <v>6</v>
      </c>
      <c r="J181" s="62">
        <v>6</v>
      </c>
      <c r="K181" s="30">
        <v>22780.46</v>
      </c>
      <c r="L181" s="205">
        <v>6</v>
      </c>
      <c r="M181" s="26">
        <f t="shared" si="12"/>
        <v>22780.46</v>
      </c>
      <c r="N181" s="30">
        <v>22780.46</v>
      </c>
      <c r="O181" s="225"/>
      <c r="P181" s="53">
        <v>11</v>
      </c>
      <c r="Q181" s="30">
        <v>34917.42</v>
      </c>
      <c r="R181" s="205">
        <v>11</v>
      </c>
      <c r="S181" s="26">
        <f t="shared" si="13"/>
        <v>34917.42</v>
      </c>
      <c r="T181" s="30">
        <v>34917.42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220" t="s">
        <v>330</v>
      </c>
      <c r="G182" s="229" t="s">
        <v>28</v>
      </c>
      <c r="H182" s="153">
        <v>4</v>
      </c>
      <c r="I182" s="57"/>
      <c r="J182" s="57"/>
      <c r="K182" s="43"/>
      <c r="L182" s="44"/>
      <c r="M182" s="43">
        <f t="shared" si="12"/>
        <v>0</v>
      </c>
      <c r="N182" s="43"/>
      <c r="O182" s="41"/>
      <c r="P182" s="115">
        <v>7</v>
      </c>
      <c r="Q182" s="68">
        <v>28978.07</v>
      </c>
      <c r="R182" s="285">
        <v>6</v>
      </c>
      <c r="S182" s="39">
        <f t="shared" si="13"/>
        <v>27573.17</v>
      </c>
      <c r="T182" s="68">
        <f>576.3+15944.3+1479.17+1344.7+8228.7</f>
        <v>27573.17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148</v>
      </c>
      <c r="C183" s="374" t="s">
        <v>39</v>
      </c>
      <c r="D183" s="374" t="s">
        <v>149</v>
      </c>
      <c r="E183" s="374" t="s">
        <v>27</v>
      </c>
      <c r="F183" s="204" t="s">
        <v>218</v>
      </c>
      <c r="G183" s="176" t="s">
        <v>24</v>
      </c>
      <c r="H183" s="48">
        <v>17</v>
      </c>
      <c r="I183" s="62">
        <v>17</v>
      </c>
      <c r="J183" s="204">
        <v>21</v>
      </c>
      <c r="K183" s="30">
        <v>38411.870000000003</v>
      </c>
      <c r="L183" s="205">
        <v>19</v>
      </c>
      <c r="M183" s="26">
        <f t="shared" si="12"/>
        <v>35669.300000000003</v>
      </c>
      <c r="N183" s="30">
        <v>35669.300000000003</v>
      </c>
      <c r="O183" s="225"/>
      <c r="P183" s="108">
        <v>23</v>
      </c>
      <c r="Q183" s="65">
        <v>81517.899999999994</v>
      </c>
      <c r="R183" s="224">
        <v>22</v>
      </c>
      <c r="S183" s="50">
        <f t="shared" si="13"/>
        <v>79924.350000000006</v>
      </c>
      <c r="T183" s="65">
        <v>79924.350000000006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34"/>
      <c r="G184" s="229" t="s">
        <v>28</v>
      </c>
      <c r="H184" s="292">
        <v>2</v>
      </c>
      <c r="I184" s="208">
        <v>1</v>
      </c>
      <c r="J184" s="208">
        <v>1</v>
      </c>
      <c r="K184" s="209">
        <v>3010.5</v>
      </c>
      <c r="L184" s="210"/>
      <c r="M184" s="211">
        <f t="shared" si="12"/>
        <v>0</v>
      </c>
      <c r="N184" s="211"/>
      <c r="O184" s="212"/>
      <c r="P184" s="262">
        <v>1</v>
      </c>
      <c r="Q184" s="209">
        <v>576.29999999999995</v>
      </c>
      <c r="R184" s="290">
        <v>2</v>
      </c>
      <c r="S184" s="211">
        <f t="shared" si="13"/>
        <v>2497.3000000000002</v>
      </c>
      <c r="T184" s="209">
        <f>1921+576.3</f>
        <v>2497.3000000000002</v>
      </c>
      <c r="U184" s="21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2"/>
      <c r="B185" s="374" t="s">
        <v>373</v>
      </c>
      <c r="C185" s="374" t="s">
        <v>22</v>
      </c>
      <c r="D185" s="374"/>
      <c r="E185" s="374" t="s">
        <v>27</v>
      </c>
      <c r="F185" s="232" t="s">
        <v>417</v>
      </c>
      <c r="G185" s="213" t="s">
        <v>24</v>
      </c>
      <c r="H185" s="61">
        <v>1</v>
      </c>
      <c r="I185" s="62">
        <v>1</v>
      </c>
      <c r="J185" s="62">
        <v>1</v>
      </c>
      <c r="K185" s="326">
        <v>662.31</v>
      </c>
      <c r="L185" s="327">
        <v>1</v>
      </c>
      <c r="M185" s="162">
        <f t="shared" si="12"/>
        <v>662.31</v>
      </c>
      <c r="N185" s="326">
        <v>662.31</v>
      </c>
      <c r="O185" s="28"/>
      <c r="P185" s="275"/>
      <c r="Q185" s="26"/>
      <c r="R185" s="27"/>
      <c r="S185" s="26">
        <f t="shared" si="13"/>
        <v>0</v>
      </c>
      <c r="T185" s="26"/>
      <c r="U185" s="28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75"/>
      <c r="F186" s="105"/>
      <c r="G186" s="215" t="s">
        <v>28</v>
      </c>
      <c r="H186" s="117">
        <v>4</v>
      </c>
      <c r="I186" s="37">
        <v>1</v>
      </c>
      <c r="J186" s="37">
        <v>1</v>
      </c>
      <c r="K186" s="318">
        <v>1056.22</v>
      </c>
      <c r="L186" s="343">
        <v>1</v>
      </c>
      <c r="M186" s="164">
        <f t="shared" si="12"/>
        <v>1056.55</v>
      </c>
      <c r="N186" s="164">
        <f>1056.55</f>
        <v>1056.55</v>
      </c>
      <c r="O186" s="41"/>
      <c r="P186" s="276"/>
      <c r="Q186" s="39"/>
      <c r="R186" s="40"/>
      <c r="S186" s="39">
        <f t="shared" si="13"/>
        <v>0</v>
      </c>
      <c r="T186" s="39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6"/>
      <c r="B187" s="402" t="s">
        <v>150</v>
      </c>
      <c r="C187" s="377" t="s">
        <v>39</v>
      </c>
      <c r="D187" s="377" t="s">
        <v>151</v>
      </c>
      <c r="E187" s="377" t="s">
        <v>152</v>
      </c>
      <c r="F187" s="72"/>
      <c r="G187" s="95" t="s">
        <v>24</v>
      </c>
      <c r="H187" s="74"/>
      <c r="I187" s="96"/>
      <c r="J187" s="96"/>
      <c r="K187" s="293"/>
      <c r="L187" s="294"/>
      <c r="M187" s="293">
        <f t="shared" si="12"/>
        <v>0</v>
      </c>
      <c r="N187" s="293"/>
      <c r="O187" s="82"/>
      <c r="P187" s="295"/>
      <c r="Q187" s="81"/>
      <c r="R187" s="80"/>
      <c r="S187" s="81">
        <f t="shared" si="13"/>
        <v>0</v>
      </c>
      <c r="T187" s="81"/>
      <c r="U187" s="8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89"/>
      <c r="C188" s="375"/>
      <c r="D188" s="375"/>
      <c r="E188" s="375"/>
      <c r="F188" s="220" t="s">
        <v>331</v>
      </c>
      <c r="G188" s="35" t="s">
        <v>25</v>
      </c>
      <c r="H188" s="106"/>
      <c r="I188" s="38"/>
      <c r="J188" s="38"/>
      <c r="K188" s="164"/>
      <c r="L188" s="165"/>
      <c r="M188" s="164">
        <f t="shared" si="12"/>
        <v>0</v>
      </c>
      <c r="N188" s="164"/>
      <c r="O188" s="41"/>
      <c r="P188" s="67">
        <v>4</v>
      </c>
      <c r="Q188" s="68">
        <v>19199.810000000001</v>
      </c>
      <c r="R188" s="285">
        <v>4</v>
      </c>
      <c r="S188" s="68">
        <v>19199.810000000001</v>
      </c>
      <c r="T188" s="68">
        <v>19199.810000000001</v>
      </c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153</v>
      </c>
      <c r="C189" s="374" t="s">
        <v>39</v>
      </c>
      <c r="D189" s="381" t="s">
        <v>332</v>
      </c>
      <c r="E189" s="381" t="s">
        <v>27</v>
      </c>
      <c r="F189" s="223" t="s">
        <v>333</v>
      </c>
      <c r="G189" s="47" t="s">
        <v>24</v>
      </c>
      <c r="H189" s="48">
        <v>21</v>
      </c>
      <c r="I189" s="203">
        <v>20</v>
      </c>
      <c r="J189" s="203">
        <v>25</v>
      </c>
      <c r="K189" s="242">
        <v>50699.519999999997</v>
      </c>
      <c r="L189" s="320">
        <v>22</v>
      </c>
      <c r="M189" s="166">
        <f t="shared" si="12"/>
        <v>46447.49</v>
      </c>
      <c r="N189" s="242">
        <v>46447.49</v>
      </c>
      <c r="O189" s="225"/>
      <c r="P189" s="108">
        <v>7</v>
      </c>
      <c r="Q189" s="65">
        <v>41813.410000000003</v>
      </c>
      <c r="R189" s="224">
        <v>6</v>
      </c>
      <c r="S189" s="50">
        <f t="shared" ref="S189:S208" si="14">T189+U189</f>
        <v>34185.78</v>
      </c>
      <c r="T189" s="65">
        <v>34185.78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75"/>
      <c r="D190" s="380"/>
      <c r="E190" s="380"/>
      <c r="F190" s="34"/>
      <c r="G190" s="35" t="s">
        <v>28</v>
      </c>
      <c r="H190" s="153">
        <v>1</v>
      </c>
      <c r="I190" s="130">
        <v>1</v>
      </c>
      <c r="J190" s="130">
        <v>1</v>
      </c>
      <c r="K190" s="114">
        <v>1152.5999999999999</v>
      </c>
      <c r="L190" s="270">
        <v>1</v>
      </c>
      <c r="M190" s="43">
        <f t="shared" si="12"/>
        <v>1152.5999999999999</v>
      </c>
      <c r="N190" s="43">
        <f>1152.6</f>
        <v>1152.5999999999999</v>
      </c>
      <c r="O190" s="41"/>
      <c r="P190" s="113">
        <v>3</v>
      </c>
      <c r="Q190" s="114">
        <v>19714.599999999999</v>
      </c>
      <c r="R190" s="270">
        <v>4</v>
      </c>
      <c r="S190" s="43">
        <f t="shared" si="14"/>
        <v>21635.599999999999</v>
      </c>
      <c r="T190" s="114">
        <f>1921+11718.1+5186.7+2809.8</f>
        <v>21635.599999999999</v>
      </c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155</v>
      </c>
      <c r="C191" s="374" t="s">
        <v>22</v>
      </c>
      <c r="D191" s="374"/>
      <c r="E191" s="374" t="s">
        <v>37</v>
      </c>
      <c r="F191" s="223" t="s">
        <v>245</v>
      </c>
      <c r="G191" s="23" t="s">
        <v>24</v>
      </c>
      <c r="H191" s="48">
        <v>5</v>
      </c>
      <c r="I191" s="62">
        <v>4</v>
      </c>
      <c r="J191" s="62">
        <v>4</v>
      </c>
      <c r="K191" s="30">
        <v>5891.75</v>
      </c>
      <c r="L191" s="205">
        <v>4</v>
      </c>
      <c r="M191" s="26">
        <f t="shared" si="12"/>
        <v>5891.75</v>
      </c>
      <c r="N191" s="30">
        <v>5891.75</v>
      </c>
      <c r="O191" s="31"/>
      <c r="P191" s="53">
        <v>7</v>
      </c>
      <c r="Q191" s="30">
        <v>16748.509999999998</v>
      </c>
      <c r="R191" s="205">
        <v>7</v>
      </c>
      <c r="S191" s="26">
        <f t="shared" si="14"/>
        <v>16748.509999999998</v>
      </c>
      <c r="T191" s="30">
        <v>16748.509999999998</v>
      </c>
      <c r="U191" s="225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105"/>
      <c r="G192" s="35" t="s">
        <v>28</v>
      </c>
      <c r="H192" s="116"/>
      <c r="I192" s="38"/>
      <c r="J192" s="38"/>
      <c r="K192" s="39"/>
      <c r="L192" s="40"/>
      <c r="M192" s="39">
        <f t="shared" si="12"/>
        <v>0</v>
      </c>
      <c r="N192" s="39"/>
      <c r="O192" s="41"/>
      <c r="P192" s="5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82"/>
      <c r="B193" s="381" t="s">
        <v>156</v>
      </c>
      <c r="C193" s="381" t="s">
        <v>46</v>
      </c>
      <c r="D193" s="385" t="s">
        <v>418</v>
      </c>
      <c r="E193" s="381" t="s">
        <v>27</v>
      </c>
      <c r="F193" s="223" t="s">
        <v>419</v>
      </c>
      <c r="G193" s="23" t="s">
        <v>24</v>
      </c>
      <c r="H193" s="98"/>
      <c r="I193" s="49"/>
      <c r="J193" s="49"/>
      <c r="K193" s="50"/>
      <c r="L193" s="51"/>
      <c r="M193" s="50">
        <f t="shared" si="12"/>
        <v>0</v>
      </c>
      <c r="N193" s="50"/>
      <c r="O193" s="31"/>
      <c r="P193" s="108">
        <v>2</v>
      </c>
      <c r="Q193" s="65">
        <v>14241.9</v>
      </c>
      <c r="R193" s="224">
        <v>2</v>
      </c>
      <c r="S193" s="50">
        <f t="shared" si="14"/>
        <v>14241.9</v>
      </c>
      <c r="T193" s="65">
        <v>14241.9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9"/>
      <c r="B194" s="380"/>
      <c r="C194" s="380"/>
      <c r="D194" s="380"/>
      <c r="E194" s="380"/>
      <c r="F194" s="54"/>
      <c r="G194" s="55" t="s">
        <v>28</v>
      </c>
      <c r="H194" s="118"/>
      <c r="I194" s="57"/>
      <c r="J194" s="57"/>
      <c r="K194" s="43"/>
      <c r="L194" s="44"/>
      <c r="M194" s="43">
        <f t="shared" si="12"/>
        <v>0</v>
      </c>
      <c r="N194" s="43"/>
      <c r="O194" s="41"/>
      <c r="P194" s="113">
        <v>1</v>
      </c>
      <c r="Q194" s="114">
        <v>0</v>
      </c>
      <c r="R194" s="44"/>
      <c r="S194" s="43">
        <f t="shared" si="14"/>
        <v>0</v>
      </c>
      <c r="T194" s="43"/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2"/>
      <c r="B195" s="374" t="s">
        <v>157</v>
      </c>
      <c r="C195" s="390"/>
      <c r="D195" s="374"/>
      <c r="E195" s="374"/>
      <c r="F195" s="22"/>
      <c r="G195" s="23" t="s">
        <v>24</v>
      </c>
      <c r="H195" s="104"/>
      <c r="I195" s="25"/>
      <c r="J195" s="25"/>
      <c r="K195" s="26"/>
      <c r="L195" s="27"/>
      <c r="M195" s="26">
        <f t="shared" si="12"/>
        <v>0</v>
      </c>
      <c r="N195" s="26"/>
      <c r="O195" s="31"/>
      <c r="P195" s="120"/>
      <c r="Q195" s="26"/>
      <c r="R195" s="27"/>
      <c r="S195" s="26">
        <f t="shared" si="14"/>
        <v>0</v>
      </c>
      <c r="T195" s="26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34"/>
      <c r="G196" s="35" t="s">
        <v>28</v>
      </c>
      <c r="H196" s="106"/>
      <c r="I196" s="38"/>
      <c r="J196" s="38"/>
      <c r="K196" s="39"/>
      <c r="L196" s="40"/>
      <c r="M196" s="39">
        <f t="shared" si="12"/>
        <v>0</v>
      </c>
      <c r="N196" s="39"/>
      <c r="O196" s="41"/>
      <c r="P196" s="69"/>
      <c r="Q196" s="39"/>
      <c r="R196" s="40"/>
      <c r="S196" s="39">
        <f t="shared" si="14"/>
        <v>0</v>
      </c>
      <c r="T196" s="39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158</v>
      </c>
      <c r="C197" s="374" t="s">
        <v>39</v>
      </c>
      <c r="D197" s="374" t="s">
        <v>288</v>
      </c>
      <c r="E197" s="374" t="s">
        <v>27</v>
      </c>
      <c r="F197" s="204" t="s">
        <v>289</v>
      </c>
      <c r="G197" s="176" t="s">
        <v>24</v>
      </c>
      <c r="H197" s="48">
        <v>10</v>
      </c>
      <c r="I197" s="203">
        <v>9</v>
      </c>
      <c r="J197" s="203">
        <v>10</v>
      </c>
      <c r="K197" s="65">
        <v>26045.17</v>
      </c>
      <c r="L197" s="224">
        <v>10</v>
      </c>
      <c r="M197" s="50">
        <f t="shared" si="12"/>
        <v>26045.17</v>
      </c>
      <c r="N197" s="65">
        <v>26045.17</v>
      </c>
      <c r="O197" s="225"/>
      <c r="P197" s="108">
        <v>10</v>
      </c>
      <c r="Q197" s="65">
        <v>22956.16</v>
      </c>
      <c r="R197" s="224">
        <v>10</v>
      </c>
      <c r="S197" s="50">
        <f t="shared" si="14"/>
        <v>22956.16</v>
      </c>
      <c r="T197" s="65">
        <v>22956.16</v>
      </c>
      <c r="U197" s="225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75"/>
      <c r="F198" s="220" t="s">
        <v>334</v>
      </c>
      <c r="G198" s="229" t="s">
        <v>28</v>
      </c>
      <c r="H198" s="117">
        <v>4</v>
      </c>
      <c r="I198" s="37">
        <v>4</v>
      </c>
      <c r="J198" s="37">
        <v>4</v>
      </c>
      <c r="K198" s="68">
        <v>5874.79</v>
      </c>
      <c r="L198" s="285">
        <v>3</v>
      </c>
      <c r="M198" s="39">
        <f t="shared" si="12"/>
        <v>4329.3999999999996</v>
      </c>
      <c r="N198" s="39">
        <f>1921+1204.2+1204.2</f>
        <v>4329.3999999999996</v>
      </c>
      <c r="O198" s="41"/>
      <c r="P198" s="59"/>
      <c r="Q198" s="39"/>
      <c r="R198" s="40"/>
      <c r="S198" s="39">
        <f t="shared" si="14"/>
        <v>1152.5999999999999</v>
      </c>
      <c r="T198" s="68">
        <v>1152.5999999999999</v>
      </c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6"/>
      <c r="B199" s="377" t="s">
        <v>159</v>
      </c>
      <c r="C199" s="377" t="s">
        <v>22</v>
      </c>
      <c r="D199" s="377"/>
      <c r="E199" s="377" t="s">
        <v>160</v>
      </c>
      <c r="F199" s="232" t="s">
        <v>246</v>
      </c>
      <c r="G199" s="95" t="s">
        <v>24</v>
      </c>
      <c r="H199" s="48">
        <v>18</v>
      </c>
      <c r="I199" s="203">
        <v>18</v>
      </c>
      <c r="J199" s="203">
        <v>27</v>
      </c>
      <c r="K199" s="65">
        <v>50695.82</v>
      </c>
      <c r="L199" s="224">
        <v>27</v>
      </c>
      <c r="M199" s="50">
        <f t="shared" si="12"/>
        <v>50695.82</v>
      </c>
      <c r="N199" s="65">
        <v>50695.82</v>
      </c>
      <c r="O199" s="225"/>
      <c r="P199" s="108">
        <v>27</v>
      </c>
      <c r="Q199" s="65">
        <v>43490.11</v>
      </c>
      <c r="R199" s="224">
        <v>26</v>
      </c>
      <c r="S199" s="50">
        <f t="shared" si="14"/>
        <v>42356.26</v>
      </c>
      <c r="T199" s="65">
        <v>42356.26</v>
      </c>
      <c r="U199" s="225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3"/>
      <c r="B200" s="375"/>
      <c r="C200" s="375"/>
      <c r="D200" s="375"/>
      <c r="E200" s="375"/>
      <c r="F200" s="54"/>
      <c r="G200" s="55" t="s">
        <v>28</v>
      </c>
      <c r="H200" s="112">
        <v>6</v>
      </c>
      <c r="I200" s="130">
        <v>2</v>
      </c>
      <c r="J200" s="130">
        <v>2</v>
      </c>
      <c r="K200" s="114">
        <v>2401.25</v>
      </c>
      <c r="L200" s="316">
        <v>2</v>
      </c>
      <c r="M200" s="50">
        <f t="shared" si="12"/>
        <v>2401.25</v>
      </c>
      <c r="N200" s="43">
        <f>1056.55+1344.7</f>
        <v>2401.25</v>
      </c>
      <c r="O200" s="41"/>
      <c r="P200" s="113">
        <v>3</v>
      </c>
      <c r="Q200" s="114">
        <v>5551.69</v>
      </c>
      <c r="R200" s="270">
        <v>3</v>
      </c>
      <c r="S200" s="43">
        <f t="shared" si="14"/>
        <v>5551.69</v>
      </c>
      <c r="T200" s="43">
        <f>5551.69</f>
        <v>5551.69</v>
      </c>
      <c r="U200" s="4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2"/>
      <c r="B201" s="374" t="s">
        <v>161</v>
      </c>
      <c r="C201" s="377" t="s">
        <v>22</v>
      </c>
      <c r="D201" s="374"/>
      <c r="E201" s="374" t="s">
        <v>450</v>
      </c>
      <c r="F201" s="204" t="s">
        <v>451</v>
      </c>
      <c r="G201" s="23" t="s">
        <v>24</v>
      </c>
      <c r="H201" s="24">
        <v>11</v>
      </c>
      <c r="I201" s="62">
        <v>1</v>
      </c>
      <c r="J201" s="62">
        <v>2</v>
      </c>
      <c r="K201" s="30">
        <v>3016.65</v>
      </c>
      <c r="L201" s="205">
        <v>2</v>
      </c>
      <c r="M201" s="26">
        <f t="shared" si="12"/>
        <v>3016.65</v>
      </c>
      <c r="N201" s="30">
        <v>3016.65</v>
      </c>
      <c r="O201" s="31"/>
      <c r="P201" s="53">
        <v>11</v>
      </c>
      <c r="Q201" s="30">
        <v>35207.21</v>
      </c>
      <c r="R201" s="205">
        <v>11</v>
      </c>
      <c r="S201" s="26">
        <f t="shared" si="14"/>
        <v>35207.21</v>
      </c>
      <c r="T201" s="30">
        <v>35207.21</v>
      </c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3"/>
      <c r="B202" s="375"/>
      <c r="C202" s="375"/>
      <c r="D202" s="375"/>
      <c r="E202" s="392"/>
      <c r="F202" s="34"/>
      <c r="G202" s="35" t="s">
        <v>28</v>
      </c>
      <c r="H202" s="66">
        <v>4</v>
      </c>
      <c r="I202" s="38"/>
      <c r="J202" s="38"/>
      <c r="K202" s="39"/>
      <c r="L202" s="40"/>
      <c r="M202" s="39">
        <f t="shared" si="12"/>
        <v>0</v>
      </c>
      <c r="N202" s="39"/>
      <c r="O202" s="41"/>
      <c r="P202" s="59"/>
      <c r="Q202" s="39"/>
      <c r="R202" s="40"/>
      <c r="S202" s="39">
        <f t="shared" si="14"/>
        <v>0</v>
      </c>
      <c r="T202" s="39"/>
      <c r="U202" s="4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82"/>
      <c r="B203" s="381" t="s">
        <v>162</v>
      </c>
      <c r="C203" s="381" t="s">
        <v>39</v>
      </c>
      <c r="D203" s="381" t="s">
        <v>163</v>
      </c>
      <c r="E203" s="374" t="s">
        <v>27</v>
      </c>
      <c r="F203" s="135"/>
      <c r="G203" s="47" t="s">
        <v>24</v>
      </c>
      <c r="H203" s="98"/>
      <c r="I203" s="49"/>
      <c r="J203" s="49"/>
      <c r="K203" s="50"/>
      <c r="L203" s="51"/>
      <c r="M203" s="50">
        <f t="shared" si="12"/>
        <v>0</v>
      </c>
      <c r="N203" s="50"/>
      <c r="O203" s="31"/>
      <c r="P203" s="123"/>
      <c r="Q203" s="50"/>
      <c r="R203" s="51"/>
      <c r="S203" s="50">
        <f t="shared" si="14"/>
        <v>0</v>
      </c>
      <c r="T203" s="50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7"/>
      <c r="B204" s="386"/>
      <c r="C204" s="386"/>
      <c r="D204" s="386"/>
      <c r="E204" s="386"/>
      <c r="F204" s="54"/>
      <c r="G204" s="47" t="s">
        <v>25</v>
      </c>
      <c r="H204" s="98"/>
      <c r="I204" s="49"/>
      <c r="J204" s="49"/>
      <c r="K204" s="50"/>
      <c r="L204" s="51"/>
      <c r="M204" s="50">
        <f t="shared" si="12"/>
        <v>0</v>
      </c>
      <c r="N204" s="50"/>
      <c r="O204" s="45"/>
      <c r="P204" s="123"/>
      <c r="Q204" s="50"/>
      <c r="R204" s="51"/>
      <c r="S204" s="50">
        <f t="shared" si="14"/>
        <v>0</v>
      </c>
      <c r="T204" s="50"/>
      <c r="U204" s="4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9"/>
      <c r="B205" s="380"/>
      <c r="C205" s="380"/>
      <c r="D205" s="380"/>
      <c r="E205" s="380"/>
      <c r="F205" s="54"/>
      <c r="G205" s="55" t="s">
        <v>28</v>
      </c>
      <c r="H205" s="116"/>
      <c r="I205" s="57"/>
      <c r="J205" s="57"/>
      <c r="K205" s="43"/>
      <c r="L205" s="44"/>
      <c r="M205" s="43">
        <f t="shared" si="12"/>
        <v>0</v>
      </c>
      <c r="N205" s="43"/>
      <c r="O205" s="41"/>
      <c r="P205" s="113">
        <v>1</v>
      </c>
      <c r="Q205" s="114">
        <v>4602.5</v>
      </c>
      <c r="R205" s="270">
        <v>1</v>
      </c>
      <c r="S205" s="43">
        <f t="shared" si="14"/>
        <v>4602.5</v>
      </c>
      <c r="T205" s="114">
        <v>4602.5</v>
      </c>
      <c r="U205" s="23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164</v>
      </c>
      <c r="C206" s="374" t="s">
        <v>22</v>
      </c>
      <c r="D206" s="374"/>
      <c r="E206" s="374" t="s">
        <v>27</v>
      </c>
      <c r="F206" s="22"/>
      <c r="G206" s="23" t="s">
        <v>24</v>
      </c>
      <c r="H206" s="98"/>
      <c r="I206" s="25"/>
      <c r="J206" s="25"/>
      <c r="K206" s="26"/>
      <c r="L206" s="27"/>
      <c r="M206" s="26">
        <f t="shared" si="12"/>
        <v>0</v>
      </c>
      <c r="N206" s="26"/>
      <c r="O206" s="31"/>
      <c r="P206" s="99"/>
      <c r="Q206" s="26"/>
      <c r="R206" s="27"/>
      <c r="S206" s="26">
        <f t="shared" si="14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1" t="s">
        <v>335</v>
      </c>
      <c r="G207" s="55" t="s">
        <v>28</v>
      </c>
      <c r="H207" s="56">
        <v>4</v>
      </c>
      <c r="I207" s="57"/>
      <c r="J207" s="57"/>
      <c r="K207" s="43"/>
      <c r="L207" s="44"/>
      <c r="M207" s="43">
        <f t="shared" si="12"/>
        <v>0</v>
      </c>
      <c r="N207" s="43"/>
      <c r="O207" s="41"/>
      <c r="P207" s="113">
        <v>4</v>
      </c>
      <c r="Q207" s="114">
        <v>7395.85</v>
      </c>
      <c r="R207" s="270">
        <v>5</v>
      </c>
      <c r="S207" s="43">
        <f t="shared" si="14"/>
        <v>8452.4000000000015</v>
      </c>
      <c r="T207" s="114">
        <f>4034.1+1921+2497.3</f>
        <v>8452.4000000000015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165</v>
      </c>
      <c r="C208" s="374"/>
      <c r="D208" s="374"/>
      <c r="E208" s="374"/>
      <c r="F208" s="22"/>
      <c r="G208" s="23" t="s">
        <v>24</v>
      </c>
      <c r="H208" s="119"/>
      <c r="I208" s="25"/>
      <c r="J208" s="25"/>
      <c r="K208" s="26"/>
      <c r="L208" s="27"/>
      <c r="M208" s="26">
        <f t="shared" si="12"/>
        <v>0</v>
      </c>
      <c r="N208" s="26"/>
      <c r="O208" s="31"/>
      <c r="P208" s="99"/>
      <c r="Q208" s="26"/>
      <c r="R208" s="27"/>
      <c r="S208" s="26">
        <f t="shared" si="14"/>
        <v>0</v>
      </c>
      <c r="T208" s="26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34"/>
      <c r="G209" s="35" t="s">
        <v>25</v>
      </c>
      <c r="H209" s="66">
        <v>2</v>
      </c>
      <c r="I209" s="38"/>
      <c r="J209" s="38"/>
      <c r="K209" s="39"/>
      <c r="L209" s="40"/>
      <c r="M209" s="39">
        <f t="shared" si="12"/>
        <v>0</v>
      </c>
      <c r="N209" s="39"/>
      <c r="O209" s="41"/>
      <c r="P209" s="115">
        <v>2</v>
      </c>
      <c r="Q209" s="68">
        <v>288.14999999999998</v>
      </c>
      <c r="R209" s="285">
        <v>1</v>
      </c>
      <c r="S209" s="68">
        <v>288.14999999999998</v>
      </c>
      <c r="T209" s="68">
        <v>288.14999999999998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454</v>
      </c>
      <c r="C210" s="377" t="s">
        <v>39</v>
      </c>
      <c r="D210" s="405" t="s">
        <v>455</v>
      </c>
      <c r="E210" s="381" t="s">
        <v>27</v>
      </c>
      <c r="F210" s="204" t="s">
        <v>467</v>
      </c>
      <c r="G210" s="23" t="s">
        <v>24</v>
      </c>
      <c r="H210" s="328"/>
      <c r="I210" s="71"/>
      <c r="J210" s="71"/>
      <c r="K210" s="93"/>
      <c r="L210" s="92"/>
      <c r="M210" s="26">
        <f t="shared" si="12"/>
        <v>0</v>
      </c>
      <c r="N210" s="93"/>
      <c r="O210" s="94"/>
      <c r="P210" s="329"/>
      <c r="Q210" s="91"/>
      <c r="R210" s="330"/>
      <c r="S210" s="26">
        <f t="shared" ref="S210:S226" si="15">T210+U210</f>
        <v>0</v>
      </c>
      <c r="T210" s="79"/>
      <c r="U210" s="336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406"/>
      <c r="E211" s="375"/>
      <c r="F211" s="220"/>
      <c r="G211" s="345" t="s">
        <v>28</v>
      </c>
      <c r="H211" s="346">
        <v>3</v>
      </c>
      <c r="I211" s="38"/>
      <c r="J211" s="38"/>
      <c r="K211" s="39"/>
      <c r="L211" s="40"/>
      <c r="M211" s="87">
        <f t="shared" si="12"/>
        <v>0</v>
      </c>
      <c r="N211" s="39"/>
      <c r="O211" s="41"/>
      <c r="P211" s="217"/>
      <c r="Q211" s="68"/>
      <c r="R211" s="285"/>
      <c r="S211" s="87">
        <f t="shared" si="15"/>
        <v>0</v>
      </c>
      <c r="T211" s="339"/>
      <c r="U211" s="34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82"/>
      <c r="B212" s="381" t="s">
        <v>166</v>
      </c>
      <c r="C212" s="381" t="s">
        <v>22</v>
      </c>
      <c r="D212" s="377"/>
      <c r="E212" s="381" t="s">
        <v>27</v>
      </c>
      <c r="F212" s="232" t="s">
        <v>420</v>
      </c>
      <c r="G212" s="347" t="s">
        <v>24</v>
      </c>
      <c r="H212" s="348">
        <v>1</v>
      </c>
      <c r="I212" s="96"/>
      <c r="J212" s="96"/>
      <c r="K212" s="81"/>
      <c r="L212" s="80"/>
      <c r="M212" s="81">
        <f t="shared" si="12"/>
        <v>0</v>
      </c>
      <c r="N212" s="81"/>
      <c r="O212" s="82"/>
      <c r="P212" s="78">
        <v>4</v>
      </c>
      <c r="Q212" s="79">
        <v>17868.150000000001</v>
      </c>
      <c r="R212" s="268">
        <v>4</v>
      </c>
      <c r="S212" s="81">
        <f t="shared" si="15"/>
        <v>17868.150000000001</v>
      </c>
      <c r="T212" s="79">
        <v>17868.150000000001</v>
      </c>
      <c r="U212" s="26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6"/>
      <c r="G213" s="227" t="s">
        <v>28</v>
      </c>
      <c r="H213" s="334"/>
      <c r="I213" s="57"/>
      <c r="J213" s="57"/>
      <c r="K213" s="43"/>
      <c r="L213" s="44"/>
      <c r="M213" s="43">
        <f t="shared" si="12"/>
        <v>0</v>
      </c>
      <c r="N213" s="43"/>
      <c r="O213" s="45"/>
      <c r="P213" s="273"/>
      <c r="Q213" s="211"/>
      <c r="R213" s="210"/>
      <c r="S213" s="211">
        <f t="shared" si="15"/>
        <v>0</v>
      </c>
      <c r="T213" s="211"/>
      <c r="U213" s="21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167</v>
      </c>
      <c r="C214" s="374" t="s">
        <v>46</v>
      </c>
      <c r="D214" s="374" t="s">
        <v>168</v>
      </c>
      <c r="E214" s="374" t="s">
        <v>27</v>
      </c>
      <c r="F214" s="204" t="s">
        <v>421</v>
      </c>
      <c r="G214" s="176" t="s">
        <v>24</v>
      </c>
      <c r="H214" s="248">
        <v>4</v>
      </c>
      <c r="I214" s="62">
        <v>3</v>
      </c>
      <c r="J214" s="62">
        <v>3</v>
      </c>
      <c r="K214" s="30">
        <v>2022.81</v>
      </c>
      <c r="L214" s="205">
        <v>3</v>
      </c>
      <c r="M214" s="26">
        <f t="shared" si="12"/>
        <v>2022.81</v>
      </c>
      <c r="N214" s="30">
        <v>2022.81</v>
      </c>
      <c r="O214" s="308"/>
      <c r="P214" s="99"/>
      <c r="Q214" s="26"/>
      <c r="R214" s="27"/>
      <c r="S214" s="26">
        <f t="shared" si="15"/>
        <v>0</v>
      </c>
      <c r="T214" s="26"/>
      <c r="U214" s="28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247</v>
      </c>
      <c r="G215" s="229" t="s">
        <v>28</v>
      </c>
      <c r="H215" s="258">
        <v>7</v>
      </c>
      <c r="I215" s="37">
        <v>4</v>
      </c>
      <c r="J215" s="37">
        <v>4</v>
      </c>
      <c r="K215" s="68">
        <v>9389.9500000000007</v>
      </c>
      <c r="L215" s="285">
        <v>4</v>
      </c>
      <c r="M215" s="39">
        <f t="shared" si="12"/>
        <v>17899.98</v>
      </c>
      <c r="N215" s="39">
        <f>1985.09+7101.24+2689.4+4418.3+1705.95</f>
        <v>17899.98</v>
      </c>
      <c r="O215" s="309"/>
      <c r="P215" s="310">
        <v>6</v>
      </c>
      <c r="Q215" s="245">
        <v>28151.200000000001</v>
      </c>
      <c r="R215" s="285">
        <v>6</v>
      </c>
      <c r="S215" s="39">
        <f t="shared" si="15"/>
        <v>19124.87</v>
      </c>
      <c r="T215" s="68">
        <f>4034.1+1152.6+2881.5+2497.3+1921+6638.37</f>
        <v>19124.87</v>
      </c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6"/>
      <c r="B216" s="377" t="s">
        <v>169</v>
      </c>
      <c r="C216" s="377" t="s">
        <v>39</v>
      </c>
      <c r="D216" s="377"/>
      <c r="E216" s="377" t="s">
        <v>27</v>
      </c>
      <c r="F216" s="72"/>
      <c r="G216" s="291" t="s">
        <v>24</v>
      </c>
      <c r="H216" s="98"/>
      <c r="I216" s="49"/>
      <c r="J216" s="49"/>
      <c r="K216" s="50"/>
      <c r="L216" s="51"/>
      <c r="M216" s="50">
        <f t="shared" si="12"/>
        <v>0</v>
      </c>
      <c r="N216" s="50"/>
      <c r="O216" s="31"/>
      <c r="P216" s="277"/>
      <c r="Q216" s="81"/>
      <c r="R216" s="80"/>
      <c r="S216" s="81">
        <f t="shared" si="15"/>
        <v>0</v>
      </c>
      <c r="T216" s="81"/>
      <c r="U216" s="219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336</v>
      </c>
      <c r="G217" s="229" t="s">
        <v>28</v>
      </c>
      <c r="H217" s="153">
        <v>3</v>
      </c>
      <c r="I217" s="57"/>
      <c r="J217" s="57"/>
      <c r="K217" s="43"/>
      <c r="L217" s="44"/>
      <c r="M217" s="43">
        <f t="shared" si="12"/>
        <v>0</v>
      </c>
      <c r="N217" s="43"/>
      <c r="O217" s="41"/>
      <c r="P217" s="113">
        <v>1</v>
      </c>
      <c r="Q217" s="114">
        <v>3842</v>
      </c>
      <c r="R217" s="316">
        <v>1</v>
      </c>
      <c r="S217" s="50">
        <f t="shared" si="15"/>
        <v>3842</v>
      </c>
      <c r="T217" s="43">
        <f>3842</f>
        <v>3842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170</v>
      </c>
      <c r="C218" s="374" t="s">
        <v>22</v>
      </c>
      <c r="D218" s="374"/>
      <c r="E218" s="374" t="s">
        <v>160</v>
      </c>
      <c r="F218" s="232" t="s">
        <v>248</v>
      </c>
      <c r="G218" s="23" t="s">
        <v>24</v>
      </c>
      <c r="H218" s="48">
        <v>17</v>
      </c>
      <c r="I218" s="62">
        <v>15</v>
      </c>
      <c r="J218" s="62">
        <v>22</v>
      </c>
      <c r="K218" s="30">
        <v>49378.13</v>
      </c>
      <c r="L218" s="205">
        <v>21</v>
      </c>
      <c r="M218" s="26">
        <f t="shared" si="12"/>
        <v>48232.13</v>
      </c>
      <c r="N218" s="30">
        <v>48232.13</v>
      </c>
      <c r="O218" s="225"/>
      <c r="P218" s="53">
        <v>21</v>
      </c>
      <c r="Q218" s="30">
        <v>66092.33</v>
      </c>
      <c r="R218" s="205">
        <v>20</v>
      </c>
      <c r="S218" s="26">
        <f t="shared" si="15"/>
        <v>64727.57</v>
      </c>
      <c r="T218" s="30">
        <v>64727.57</v>
      </c>
      <c r="U218" s="225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105"/>
      <c r="G219" s="35" t="s">
        <v>28</v>
      </c>
      <c r="H219" s="116"/>
      <c r="I219" s="38"/>
      <c r="J219" s="38"/>
      <c r="K219" s="39"/>
      <c r="L219" s="40"/>
      <c r="M219" s="39">
        <f t="shared" si="12"/>
        <v>0</v>
      </c>
      <c r="N219" s="39"/>
      <c r="O219" s="41"/>
      <c r="P219" s="59"/>
      <c r="Q219" s="39"/>
      <c r="R219" s="40"/>
      <c r="S219" s="39">
        <f t="shared" si="15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171</v>
      </c>
      <c r="C220" s="374" t="s">
        <v>39</v>
      </c>
      <c r="D220" s="374" t="s">
        <v>374</v>
      </c>
      <c r="E220" s="374" t="s">
        <v>27</v>
      </c>
      <c r="F220" s="223" t="s">
        <v>375</v>
      </c>
      <c r="G220" s="176" t="s">
        <v>24</v>
      </c>
      <c r="H220" s="48">
        <v>4</v>
      </c>
      <c r="I220" s="203">
        <v>2</v>
      </c>
      <c r="J220" s="203">
        <v>2</v>
      </c>
      <c r="K220" s="65">
        <v>3169.65</v>
      </c>
      <c r="L220" s="224">
        <v>2</v>
      </c>
      <c r="M220" s="50">
        <f t="shared" si="12"/>
        <v>3169.65</v>
      </c>
      <c r="N220" s="65">
        <v>3169.65</v>
      </c>
      <c r="O220" s="31"/>
      <c r="P220" s="108">
        <v>6</v>
      </c>
      <c r="Q220" s="65">
        <v>16741.060000000001</v>
      </c>
      <c r="R220" s="224">
        <v>6</v>
      </c>
      <c r="S220" s="50">
        <f t="shared" si="15"/>
        <v>16741.060000000001</v>
      </c>
      <c r="T220" s="65">
        <v>16741.060000000001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337</v>
      </c>
      <c r="G221" s="229" t="s">
        <v>28</v>
      </c>
      <c r="H221" s="133">
        <v>3</v>
      </c>
      <c r="I221" s="130">
        <v>1</v>
      </c>
      <c r="J221" s="130">
        <v>1</v>
      </c>
      <c r="K221" s="114">
        <v>3457.8</v>
      </c>
      <c r="L221" s="316">
        <v>1</v>
      </c>
      <c r="M221" s="50">
        <f t="shared" si="12"/>
        <v>3457.8</v>
      </c>
      <c r="N221" s="43">
        <f>3457.8</f>
        <v>3457.8</v>
      </c>
      <c r="O221" s="41"/>
      <c r="P221" s="113">
        <v>2</v>
      </c>
      <c r="Q221" s="114">
        <v>7299.8</v>
      </c>
      <c r="R221" s="270">
        <v>2</v>
      </c>
      <c r="S221" s="43">
        <f t="shared" si="15"/>
        <v>7299.7999999999993</v>
      </c>
      <c r="T221" s="43">
        <f>3073.6+4226.2</f>
        <v>7299.7999999999993</v>
      </c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172</v>
      </c>
      <c r="C222" s="374" t="s">
        <v>39</v>
      </c>
      <c r="D222" s="374" t="s">
        <v>303</v>
      </c>
      <c r="E222" s="374" t="s">
        <v>121</v>
      </c>
      <c r="F222" s="204" t="s">
        <v>304</v>
      </c>
      <c r="G222" s="176" t="s">
        <v>24</v>
      </c>
      <c r="H222" s="48">
        <v>25</v>
      </c>
      <c r="I222" s="62">
        <v>10</v>
      </c>
      <c r="J222" s="62">
        <v>11</v>
      </c>
      <c r="K222" s="30">
        <v>9906.6299999999992</v>
      </c>
      <c r="L222" s="205">
        <v>10</v>
      </c>
      <c r="M222" s="26">
        <f t="shared" si="12"/>
        <v>7339.68</v>
      </c>
      <c r="N222" s="30">
        <v>7339.68</v>
      </c>
      <c r="O222" s="225"/>
      <c r="P222" s="53">
        <v>28</v>
      </c>
      <c r="Q222" s="30">
        <v>74352.649999999994</v>
      </c>
      <c r="R222" s="205">
        <v>26</v>
      </c>
      <c r="S222" s="26">
        <f t="shared" si="15"/>
        <v>73507.41</v>
      </c>
      <c r="T222" s="30">
        <v>73507.41</v>
      </c>
      <c r="U222" s="30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34"/>
      <c r="G223" s="229" t="s">
        <v>25</v>
      </c>
      <c r="H223" s="102"/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1</v>
      </c>
      <c r="Q223" s="114">
        <v>1728.9</v>
      </c>
      <c r="R223" s="270">
        <v>1</v>
      </c>
      <c r="S223" s="43">
        <f t="shared" si="15"/>
        <v>1728.9</v>
      </c>
      <c r="T223" s="114">
        <v>1728.9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173</v>
      </c>
      <c r="C224" s="374" t="s">
        <v>39</v>
      </c>
      <c r="D224" s="374" t="s">
        <v>338</v>
      </c>
      <c r="E224" s="374" t="s">
        <v>121</v>
      </c>
      <c r="F224" s="232" t="s">
        <v>376</v>
      </c>
      <c r="G224" s="23" t="s">
        <v>24</v>
      </c>
      <c r="H224" s="61">
        <v>37</v>
      </c>
      <c r="I224" s="25"/>
      <c r="J224" s="25"/>
      <c r="K224" s="26"/>
      <c r="L224" s="27"/>
      <c r="M224" s="26">
        <f t="shared" si="12"/>
        <v>0</v>
      </c>
      <c r="N224" s="26"/>
      <c r="O224" s="31"/>
      <c r="P224" s="53">
        <v>6</v>
      </c>
      <c r="Q224" s="30">
        <v>5292.88</v>
      </c>
      <c r="R224" s="205">
        <v>5</v>
      </c>
      <c r="S224" s="26">
        <f t="shared" si="15"/>
        <v>4887.8599999999997</v>
      </c>
      <c r="T224" s="30">
        <v>4887.8599999999997</v>
      </c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339</v>
      </c>
      <c r="G225" s="35" t="s">
        <v>25</v>
      </c>
      <c r="H225" s="117">
        <v>12</v>
      </c>
      <c r="I225" s="37">
        <v>3</v>
      </c>
      <c r="J225" s="37">
        <v>3</v>
      </c>
      <c r="K225" s="68">
        <v>4062.8</v>
      </c>
      <c r="L225" s="285">
        <v>1</v>
      </c>
      <c r="M225" s="39">
        <f t="shared" si="12"/>
        <v>1152.5999999999999</v>
      </c>
      <c r="N225" s="68">
        <v>1152.5999999999999</v>
      </c>
      <c r="O225" s="234"/>
      <c r="P225" s="115">
        <v>3</v>
      </c>
      <c r="Q225" s="68">
        <v>5845.65</v>
      </c>
      <c r="R225" s="285">
        <v>2</v>
      </c>
      <c r="S225" s="39">
        <f t="shared" si="15"/>
        <v>4942.5</v>
      </c>
      <c r="T225" s="68">
        <v>4942.5</v>
      </c>
      <c r="U225" s="23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174</v>
      </c>
      <c r="C226" s="374" t="s">
        <v>39</v>
      </c>
      <c r="D226" s="374" t="s">
        <v>175</v>
      </c>
      <c r="E226" s="374" t="s">
        <v>176</v>
      </c>
      <c r="F226" s="204" t="s">
        <v>377</v>
      </c>
      <c r="G226" s="176" t="s">
        <v>24</v>
      </c>
      <c r="H226" s="48">
        <v>16</v>
      </c>
      <c r="I226" s="203">
        <v>13</v>
      </c>
      <c r="J226" s="203">
        <v>14</v>
      </c>
      <c r="K226" s="65">
        <v>24081.66</v>
      </c>
      <c r="L226" s="224">
        <v>14</v>
      </c>
      <c r="M226" s="50">
        <f t="shared" si="12"/>
        <v>24081.66</v>
      </c>
      <c r="N226" s="65">
        <v>24081.66</v>
      </c>
      <c r="O226" s="225"/>
      <c r="P226" s="108">
        <v>18</v>
      </c>
      <c r="Q226" s="65">
        <v>56598.95</v>
      </c>
      <c r="R226" s="224">
        <v>18</v>
      </c>
      <c r="S226" s="50">
        <f t="shared" si="15"/>
        <v>56598.95</v>
      </c>
      <c r="T226" s="65">
        <v>56598.95</v>
      </c>
      <c r="U226" s="225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340</v>
      </c>
      <c r="G227" s="229" t="s">
        <v>25</v>
      </c>
      <c r="H227" s="153">
        <v>2</v>
      </c>
      <c r="I227" s="130">
        <v>2</v>
      </c>
      <c r="J227" s="130">
        <v>2</v>
      </c>
      <c r="K227" s="114">
        <v>11239.2</v>
      </c>
      <c r="L227" s="44"/>
      <c r="M227" s="43">
        <f t="shared" si="12"/>
        <v>0</v>
      </c>
      <c r="N227" s="43"/>
      <c r="O227" s="41"/>
      <c r="P227" s="113">
        <v>10</v>
      </c>
      <c r="Q227" s="114">
        <v>46701.760000000002</v>
      </c>
      <c r="R227" s="270">
        <v>9</v>
      </c>
      <c r="S227" s="114">
        <v>44675.6</v>
      </c>
      <c r="T227" s="114">
        <v>44675.6</v>
      </c>
      <c r="U227" s="23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177</v>
      </c>
      <c r="C228" s="377" t="s">
        <v>39</v>
      </c>
      <c r="D228" s="374" t="s">
        <v>226</v>
      </c>
      <c r="E228" s="374" t="s">
        <v>27</v>
      </c>
      <c r="F228" s="204" t="s">
        <v>227</v>
      </c>
      <c r="G228" s="23" t="s">
        <v>24</v>
      </c>
      <c r="H228" s="48">
        <v>5</v>
      </c>
      <c r="I228" s="62">
        <v>3</v>
      </c>
      <c r="J228" s="62">
        <v>3</v>
      </c>
      <c r="K228" s="30">
        <v>1969.94</v>
      </c>
      <c r="L228" s="205">
        <v>3</v>
      </c>
      <c r="M228" s="26">
        <f t="shared" si="12"/>
        <v>1969.94</v>
      </c>
      <c r="N228" s="30">
        <v>1969.94</v>
      </c>
      <c r="O228" s="225"/>
      <c r="P228" s="53">
        <v>16</v>
      </c>
      <c r="Q228" s="30">
        <v>53460.74</v>
      </c>
      <c r="R228" s="205">
        <v>16</v>
      </c>
      <c r="S228" s="26">
        <f t="shared" ref="S228:S231" si="16">T228+U228</f>
        <v>53460.74</v>
      </c>
      <c r="T228" s="30">
        <v>53460.74</v>
      </c>
      <c r="U228" s="225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80"/>
      <c r="D229" s="375"/>
      <c r="E229" s="375"/>
      <c r="F229" s="105"/>
      <c r="G229" s="55" t="s">
        <v>28</v>
      </c>
      <c r="H229" s="118"/>
      <c r="I229" s="57"/>
      <c r="J229" s="57"/>
      <c r="K229" s="43"/>
      <c r="L229" s="44"/>
      <c r="M229" s="43">
        <f t="shared" si="12"/>
        <v>0</v>
      </c>
      <c r="N229" s="43"/>
      <c r="O229" s="41"/>
      <c r="P229" s="103"/>
      <c r="Q229" s="43"/>
      <c r="R229" s="44"/>
      <c r="S229" s="43">
        <f t="shared" si="16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178</v>
      </c>
      <c r="C230" s="374" t="s">
        <v>22</v>
      </c>
      <c r="D230" s="374"/>
      <c r="E230" s="374" t="s">
        <v>27</v>
      </c>
      <c r="F230" s="232" t="s">
        <v>452</v>
      </c>
      <c r="G230" s="176" t="s">
        <v>24</v>
      </c>
      <c r="H230" s="61">
        <v>5</v>
      </c>
      <c r="I230" s="62">
        <v>5</v>
      </c>
      <c r="J230" s="62">
        <v>5</v>
      </c>
      <c r="K230" s="30">
        <v>5349.73</v>
      </c>
      <c r="L230" s="205">
        <v>5</v>
      </c>
      <c r="M230" s="26">
        <f t="shared" si="12"/>
        <v>5349.73</v>
      </c>
      <c r="N230" s="30">
        <v>5349.73</v>
      </c>
      <c r="O230" s="31"/>
      <c r="P230" s="29">
        <v>1</v>
      </c>
      <c r="Q230" s="30">
        <v>2466.56</v>
      </c>
      <c r="R230" s="205">
        <v>1</v>
      </c>
      <c r="S230" s="26">
        <f t="shared" si="16"/>
        <v>2466.56</v>
      </c>
      <c r="T230" s="30">
        <v>2466.56</v>
      </c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52" t="s">
        <v>28</v>
      </c>
      <c r="H231" s="106"/>
      <c r="I231" s="38"/>
      <c r="J231" s="38"/>
      <c r="K231" s="39"/>
      <c r="L231" s="40"/>
      <c r="M231" s="39">
        <f t="shared" si="12"/>
        <v>0</v>
      </c>
      <c r="N231" s="39"/>
      <c r="O231" s="41"/>
      <c r="P231" s="69"/>
      <c r="Q231" s="39"/>
      <c r="R231" s="40"/>
      <c r="S231" s="39">
        <f t="shared" si="16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445</v>
      </c>
      <c r="C232" s="374"/>
      <c r="D232" s="374"/>
      <c r="E232" s="374"/>
      <c r="F232" s="72"/>
      <c r="G232" s="176" t="s">
        <v>24</v>
      </c>
      <c r="H232" s="265"/>
      <c r="I232" s="266"/>
      <c r="J232" s="96"/>
      <c r="K232" s="81"/>
      <c r="L232" s="80"/>
      <c r="M232" s="81"/>
      <c r="N232" s="81"/>
      <c r="O232" s="82"/>
      <c r="P232" s="295"/>
      <c r="Q232" s="81"/>
      <c r="R232" s="80"/>
      <c r="S232" s="81"/>
      <c r="T232" s="81"/>
      <c r="U232" s="8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6"/>
      <c r="G233" s="252" t="s">
        <v>28</v>
      </c>
      <c r="H233" s="302">
        <v>1</v>
      </c>
      <c r="I233" s="261"/>
      <c r="J233" s="261"/>
      <c r="K233" s="211"/>
      <c r="L233" s="210"/>
      <c r="M233" s="211"/>
      <c r="N233" s="211"/>
      <c r="O233" s="212"/>
      <c r="P233" s="284"/>
      <c r="Q233" s="211"/>
      <c r="R233" s="210"/>
      <c r="S233" s="211"/>
      <c r="T233" s="211"/>
      <c r="U233" s="21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179</v>
      </c>
      <c r="C234" s="374" t="s">
        <v>471</v>
      </c>
      <c r="D234" s="374" t="s">
        <v>472</v>
      </c>
      <c r="E234" s="374" t="s">
        <v>27</v>
      </c>
      <c r="F234" s="204" t="s">
        <v>473</v>
      </c>
      <c r="G234" s="176" t="s">
        <v>24</v>
      </c>
      <c r="H234" s="61">
        <v>2</v>
      </c>
      <c r="I234" s="25"/>
      <c r="J234" s="25"/>
      <c r="K234" s="26"/>
      <c r="L234" s="27"/>
      <c r="M234" s="26">
        <f t="shared" ref="M234:M252" si="17">N234+O234</f>
        <v>0</v>
      </c>
      <c r="N234" s="26"/>
      <c r="O234" s="28"/>
      <c r="P234" s="120"/>
      <c r="Q234" s="26"/>
      <c r="R234" s="27"/>
      <c r="S234" s="26">
        <f t="shared" ref="S234:S252" si="18">T234+U234</f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105"/>
      <c r="G235" s="229" t="s">
        <v>28</v>
      </c>
      <c r="H235" s="298"/>
      <c r="I235" s="261"/>
      <c r="J235" s="261"/>
      <c r="K235" s="211"/>
      <c r="L235" s="210"/>
      <c r="M235" s="211">
        <f t="shared" si="17"/>
        <v>0</v>
      </c>
      <c r="N235" s="211"/>
      <c r="O235" s="212"/>
      <c r="P235" s="284"/>
      <c r="Q235" s="211"/>
      <c r="R235" s="210"/>
      <c r="S235" s="211">
        <f t="shared" si="18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378</v>
      </c>
      <c r="C236" s="374" t="s">
        <v>46</v>
      </c>
      <c r="D236" s="374" t="s">
        <v>422</v>
      </c>
      <c r="E236" s="374" t="s">
        <v>27</v>
      </c>
      <c r="F236" s="232" t="s">
        <v>423</v>
      </c>
      <c r="G236" s="213" t="s">
        <v>24</v>
      </c>
      <c r="H236" s="61">
        <v>12</v>
      </c>
      <c r="I236" s="62">
        <v>7</v>
      </c>
      <c r="J236" s="62">
        <v>8</v>
      </c>
      <c r="K236" s="30">
        <v>8606.68</v>
      </c>
      <c r="L236" s="205">
        <v>8</v>
      </c>
      <c r="M236" s="26">
        <f t="shared" si="17"/>
        <v>8606.68</v>
      </c>
      <c r="N236" s="30">
        <v>8606.68</v>
      </c>
      <c r="O236" s="28"/>
      <c r="P236" s="214"/>
      <c r="Q236" s="30"/>
      <c r="R236" s="205"/>
      <c r="S236" s="26">
        <f t="shared" si="18"/>
        <v>0</v>
      </c>
      <c r="T236" s="30"/>
      <c r="U236" s="2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/>
      <c r="G237" s="215" t="s">
        <v>28</v>
      </c>
      <c r="H237" s="117">
        <v>5</v>
      </c>
      <c r="I237" s="37">
        <v>1</v>
      </c>
      <c r="J237" s="37">
        <v>1</v>
      </c>
      <c r="K237" s="68">
        <v>1152.5999999999999</v>
      </c>
      <c r="L237" s="285">
        <v>1</v>
      </c>
      <c r="M237" s="39">
        <f t="shared" si="17"/>
        <v>1152.5999999999999</v>
      </c>
      <c r="N237" s="39">
        <f>1152.6</f>
        <v>1152.5999999999999</v>
      </c>
      <c r="O237" s="41"/>
      <c r="P237" s="217"/>
      <c r="Q237" s="68"/>
      <c r="R237" s="285"/>
      <c r="S237" s="39">
        <f t="shared" si="18"/>
        <v>0</v>
      </c>
      <c r="T237" s="68"/>
      <c r="U237" s="23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6"/>
      <c r="B238" s="377" t="s">
        <v>180</v>
      </c>
      <c r="C238" s="377" t="s">
        <v>46</v>
      </c>
      <c r="D238" s="377" t="s">
        <v>181</v>
      </c>
      <c r="E238" s="377" t="s">
        <v>27</v>
      </c>
      <c r="F238" s="232" t="s">
        <v>228</v>
      </c>
      <c r="G238" s="95" t="s">
        <v>24</v>
      </c>
      <c r="H238" s="265">
        <v>13</v>
      </c>
      <c r="I238" s="266">
        <v>7</v>
      </c>
      <c r="J238" s="266">
        <v>8</v>
      </c>
      <c r="K238" s="79">
        <v>5763.01</v>
      </c>
      <c r="L238" s="268">
        <v>8</v>
      </c>
      <c r="M238" s="81">
        <f t="shared" si="17"/>
        <v>5763.01</v>
      </c>
      <c r="N238" s="79">
        <v>5763.01</v>
      </c>
      <c r="O238" s="219"/>
      <c r="P238" s="267">
        <v>15</v>
      </c>
      <c r="Q238" s="79">
        <v>67448.800000000003</v>
      </c>
      <c r="R238" s="268">
        <v>14</v>
      </c>
      <c r="S238" s="26">
        <f t="shared" si="18"/>
        <v>65943.149999999994</v>
      </c>
      <c r="T238" s="79">
        <v>65943.149999999994</v>
      </c>
      <c r="U238" s="26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9"/>
      <c r="B239" s="380"/>
      <c r="C239" s="380"/>
      <c r="D239" s="380"/>
      <c r="E239" s="380"/>
      <c r="F239" s="54"/>
      <c r="G239" s="55" t="s">
        <v>28</v>
      </c>
      <c r="H239" s="116"/>
      <c r="I239" s="57"/>
      <c r="J239" s="57"/>
      <c r="K239" s="43"/>
      <c r="L239" s="128"/>
      <c r="M239" s="50">
        <f t="shared" si="17"/>
        <v>0</v>
      </c>
      <c r="N239" s="43"/>
      <c r="O239" s="41"/>
      <c r="P239" s="113">
        <v>3</v>
      </c>
      <c r="Q239" s="114">
        <v>15175.95</v>
      </c>
      <c r="R239" s="270">
        <v>3</v>
      </c>
      <c r="S239" s="43">
        <f t="shared" si="18"/>
        <v>2881.5499999999997</v>
      </c>
      <c r="T239" s="114">
        <f>2209.2+672.35</f>
        <v>2881.5499999999997</v>
      </c>
      <c r="U239" s="45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182</v>
      </c>
      <c r="C240" s="374" t="s">
        <v>46</v>
      </c>
      <c r="D240" s="374" t="s">
        <v>181</v>
      </c>
      <c r="E240" s="374" t="s">
        <v>27</v>
      </c>
      <c r="F240" s="204" t="s">
        <v>379</v>
      </c>
      <c r="G240" s="23" t="s">
        <v>24</v>
      </c>
      <c r="H240" s="48">
        <v>17</v>
      </c>
      <c r="I240" s="62">
        <v>16</v>
      </c>
      <c r="J240" s="62">
        <v>18</v>
      </c>
      <c r="K240" s="30">
        <v>24999.53</v>
      </c>
      <c r="L240" s="205">
        <v>18</v>
      </c>
      <c r="M240" s="26">
        <f t="shared" si="17"/>
        <v>24999.53</v>
      </c>
      <c r="N240" s="30">
        <v>24999.53</v>
      </c>
      <c r="O240" s="31"/>
      <c r="P240" s="53">
        <v>12</v>
      </c>
      <c r="Q240" s="30">
        <v>67622.7</v>
      </c>
      <c r="R240" s="205">
        <v>10</v>
      </c>
      <c r="S240" s="26">
        <f t="shared" si="18"/>
        <v>58580.480000000003</v>
      </c>
      <c r="T240" s="30">
        <v>58580.480000000003</v>
      </c>
      <c r="U240" s="100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35" t="s">
        <v>28</v>
      </c>
      <c r="H241" s="116"/>
      <c r="I241" s="38"/>
      <c r="J241" s="38"/>
      <c r="K241" s="39"/>
      <c r="L241" s="40"/>
      <c r="M241" s="39">
        <f t="shared" si="17"/>
        <v>0</v>
      </c>
      <c r="N241" s="39"/>
      <c r="O241" s="41"/>
      <c r="P241" s="115">
        <v>2</v>
      </c>
      <c r="Q241" s="68">
        <v>4418.3</v>
      </c>
      <c r="R241" s="285">
        <v>1</v>
      </c>
      <c r="S241" s="39">
        <f t="shared" si="18"/>
        <v>3073.6</v>
      </c>
      <c r="T241" s="39">
        <f>3073.6</f>
        <v>3073.6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82"/>
      <c r="B242" s="381" t="s">
        <v>183</v>
      </c>
      <c r="C242" s="381" t="s">
        <v>22</v>
      </c>
      <c r="D242" s="381"/>
      <c r="E242" s="381" t="s">
        <v>99</v>
      </c>
      <c r="F242" s="223" t="s">
        <v>380</v>
      </c>
      <c r="G242" s="23" t="s">
        <v>24</v>
      </c>
      <c r="H242" s="48">
        <v>9</v>
      </c>
      <c r="I242" s="203">
        <v>4</v>
      </c>
      <c r="J242" s="203">
        <v>5</v>
      </c>
      <c r="K242" s="65">
        <v>6598</v>
      </c>
      <c r="L242" s="224">
        <v>5</v>
      </c>
      <c r="M242" s="50">
        <f t="shared" si="17"/>
        <v>6598</v>
      </c>
      <c r="N242" s="65">
        <v>6598</v>
      </c>
      <c r="O242" s="31"/>
      <c r="P242" s="108">
        <v>12</v>
      </c>
      <c r="Q242" s="65">
        <v>23530.12</v>
      </c>
      <c r="R242" s="224">
        <v>12</v>
      </c>
      <c r="S242" s="50">
        <f t="shared" si="18"/>
        <v>23530.12</v>
      </c>
      <c r="T242" s="65">
        <v>23530.12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252</v>
      </c>
      <c r="G243" s="227" t="s">
        <v>28</v>
      </c>
      <c r="H243" s="292">
        <v>7</v>
      </c>
      <c r="I243" s="208">
        <v>1</v>
      </c>
      <c r="J243" s="208">
        <v>1</v>
      </c>
      <c r="K243" s="209">
        <v>3073.6</v>
      </c>
      <c r="L243" s="290">
        <v>2</v>
      </c>
      <c r="M243" s="211">
        <f t="shared" si="17"/>
        <v>4879.8999999999996</v>
      </c>
      <c r="N243" s="211">
        <f>1806.3+3073.6</f>
        <v>4879.8999999999996</v>
      </c>
      <c r="O243" s="212"/>
      <c r="P243" s="262">
        <v>3</v>
      </c>
      <c r="Q243" s="209">
        <v>7185.1</v>
      </c>
      <c r="R243" s="290">
        <v>2</v>
      </c>
      <c r="S243" s="211">
        <f t="shared" si="18"/>
        <v>5378.8</v>
      </c>
      <c r="T243" s="211">
        <f>4034.1+1344.7</f>
        <v>5378.8</v>
      </c>
      <c r="U243" s="21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425</v>
      </c>
      <c r="C244" s="374" t="s">
        <v>22</v>
      </c>
      <c r="D244" s="374"/>
      <c r="E244" s="374" t="s">
        <v>131</v>
      </c>
      <c r="F244" s="204" t="s">
        <v>426</v>
      </c>
      <c r="G244" s="176" t="s">
        <v>24</v>
      </c>
      <c r="H244" s="61">
        <v>8</v>
      </c>
      <c r="I244" s="62">
        <v>5</v>
      </c>
      <c r="J244" s="62">
        <v>5</v>
      </c>
      <c r="K244" s="30">
        <v>8440.4</v>
      </c>
      <c r="L244" s="205">
        <v>2</v>
      </c>
      <c r="M244" s="26">
        <f t="shared" si="17"/>
        <v>3486.32</v>
      </c>
      <c r="N244" s="30">
        <v>3486.32</v>
      </c>
      <c r="O244" s="28"/>
      <c r="P244" s="275"/>
      <c r="Q244" s="26"/>
      <c r="R244" s="27"/>
      <c r="S244" s="26">
        <f t="shared" si="18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3"/>
      <c r="B245" s="375"/>
      <c r="C245" s="375"/>
      <c r="D245" s="375"/>
      <c r="E245" s="375"/>
      <c r="F245" s="34"/>
      <c r="G245" s="229" t="s">
        <v>25</v>
      </c>
      <c r="H245" s="106"/>
      <c r="I245" s="38"/>
      <c r="J245" s="38"/>
      <c r="K245" s="39"/>
      <c r="L245" s="40"/>
      <c r="M245" s="39">
        <f t="shared" si="17"/>
        <v>0</v>
      </c>
      <c r="N245" s="39"/>
      <c r="O245" s="41"/>
      <c r="P245" s="276"/>
      <c r="Q245" s="39"/>
      <c r="R245" s="40"/>
      <c r="S245" s="39">
        <f t="shared" si="18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6"/>
      <c r="B246" s="377" t="s">
        <v>184</v>
      </c>
      <c r="C246" s="377" t="s">
        <v>22</v>
      </c>
      <c r="D246" s="377"/>
      <c r="E246" s="377" t="s">
        <v>27</v>
      </c>
      <c r="F246" s="223" t="s">
        <v>453</v>
      </c>
      <c r="G246" s="95" t="s">
        <v>24</v>
      </c>
      <c r="H246" s="265">
        <v>2</v>
      </c>
      <c r="I246" s="266">
        <v>2</v>
      </c>
      <c r="J246" s="266">
        <v>2</v>
      </c>
      <c r="K246" s="79">
        <v>3158.6</v>
      </c>
      <c r="L246" s="268">
        <v>2</v>
      </c>
      <c r="M246" s="81">
        <f t="shared" si="17"/>
        <v>3158.6</v>
      </c>
      <c r="N246" s="79">
        <v>3158.6</v>
      </c>
      <c r="O246" s="219"/>
      <c r="P246" s="277"/>
      <c r="Q246" s="81"/>
      <c r="R246" s="80"/>
      <c r="S246" s="81">
        <f t="shared" si="18"/>
        <v>0</v>
      </c>
      <c r="T246" s="81"/>
      <c r="U246" s="219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9"/>
      <c r="B247" s="380"/>
      <c r="C247" s="380"/>
      <c r="D247" s="380"/>
      <c r="E247" s="380"/>
      <c r="F247" s="233" t="s">
        <v>253</v>
      </c>
      <c r="G247" s="227" t="s">
        <v>28</v>
      </c>
      <c r="H247" s="153">
        <v>4</v>
      </c>
      <c r="I247" s="130">
        <v>3</v>
      </c>
      <c r="J247" s="130">
        <v>3</v>
      </c>
      <c r="K247" s="114">
        <v>8675.82</v>
      </c>
      <c r="L247" s="270">
        <v>3</v>
      </c>
      <c r="M247" s="43">
        <f t="shared" si="17"/>
        <v>9275.82</v>
      </c>
      <c r="N247" s="43">
        <f>1921+3380.96+3973.86</f>
        <v>9275.82</v>
      </c>
      <c r="O247" s="41"/>
      <c r="P247" s="113">
        <v>5</v>
      </c>
      <c r="Q247" s="114">
        <v>10565.5</v>
      </c>
      <c r="R247" s="270">
        <v>4</v>
      </c>
      <c r="S247" s="43">
        <f t="shared" si="18"/>
        <v>9989.2000000000007</v>
      </c>
      <c r="T247" s="114">
        <f>2958.34+3457.8+1267.86+2305.2</f>
        <v>9989.2000000000007</v>
      </c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2"/>
      <c r="B248" s="374" t="s">
        <v>185</v>
      </c>
      <c r="C248" s="374" t="s">
        <v>22</v>
      </c>
      <c r="D248" s="374"/>
      <c r="E248" s="374" t="s">
        <v>27</v>
      </c>
      <c r="F248" s="204" t="s">
        <v>341</v>
      </c>
      <c r="G248" s="176" t="s">
        <v>24</v>
      </c>
      <c r="H248" s="98"/>
      <c r="I248" s="25"/>
      <c r="J248" s="25"/>
      <c r="K248" s="26"/>
      <c r="L248" s="27"/>
      <c r="M248" s="26">
        <f t="shared" si="17"/>
        <v>0</v>
      </c>
      <c r="N248" s="26"/>
      <c r="O248" s="31"/>
      <c r="P248" s="53">
        <v>2</v>
      </c>
      <c r="Q248" s="30">
        <v>2633.4</v>
      </c>
      <c r="R248" s="205">
        <v>2</v>
      </c>
      <c r="S248" s="26">
        <f t="shared" si="18"/>
        <v>2633.4</v>
      </c>
      <c r="T248" s="30">
        <v>2633.4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342</v>
      </c>
      <c r="G249" s="229" t="s">
        <v>28</v>
      </c>
      <c r="H249" s="133">
        <v>3</v>
      </c>
      <c r="I249" s="57"/>
      <c r="J249" s="57"/>
      <c r="K249" s="43"/>
      <c r="L249" s="44"/>
      <c r="M249" s="43">
        <f t="shared" si="17"/>
        <v>0</v>
      </c>
      <c r="N249" s="43"/>
      <c r="O249" s="41"/>
      <c r="P249" s="113">
        <v>3</v>
      </c>
      <c r="Q249" s="114">
        <v>15773.67</v>
      </c>
      <c r="R249" s="270">
        <v>2</v>
      </c>
      <c r="S249" s="43">
        <f t="shared" si="18"/>
        <v>4198.67</v>
      </c>
      <c r="T249" s="43">
        <f>2994.47+1204.2</f>
        <v>4198.67</v>
      </c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186</v>
      </c>
      <c r="C250" s="374" t="s">
        <v>22</v>
      </c>
      <c r="D250" s="374"/>
      <c r="E250" s="374" t="s">
        <v>99</v>
      </c>
      <c r="F250" s="232" t="s">
        <v>315</v>
      </c>
      <c r="G250" s="23" t="s">
        <v>24</v>
      </c>
      <c r="H250" s="48">
        <v>8</v>
      </c>
      <c r="I250" s="62">
        <v>5</v>
      </c>
      <c r="J250" s="62">
        <v>7</v>
      </c>
      <c r="K250" s="30">
        <v>17012.53</v>
      </c>
      <c r="L250" s="205">
        <v>7</v>
      </c>
      <c r="M250" s="26">
        <f t="shared" si="17"/>
        <v>17012.53</v>
      </c>
      <c r="N250" s="30">
        <v>17012.53</v>
      </c>
      <c r="O250" s="31"/>
      <c r="P250" s="53">
        <v>12</v>
      </c>
      <c r="Q250" s="30">
        <v>25258.31</v>
      </c>
      <c r="R250" s="205">
        <v>12</v>
      </c>
      <c r="S250" s="26">
        <f t="shared" si="18"/>
        <v>25258.31</v>
      </c>
      <c r="T250" s="30">
        <v>25258.31</v>
      </c>
      <c r="U250" s="225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254</v>
      </c>
      <c r="G251" s="35" t="s">
        <v>28</v>
      </c>
      <c r="H251" s="153">
        <v>8</v>
      </c>
      <c r="I251" s="38"/>
      <c r="J251" s="38"/>
      <c r="K251" s="39"/>
      <c r="L251" s="40"/>
      <c r="M251" s="39">
        <f t="shared" si="17"/>
        <v>0</v>
      </c>
      <c r="N251" s="39"/>
      <c r="O251" s="41"/>
      <c r="P251" s="59"/>
      <c r="Q251" s="39"/>
      <c r="R251" s="40"/>
      <c r="S251" s="39">
        <f t="shared" si="18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187</v>
      </c>
      <c r="C252" s="381" t="s">
        <v>22</v>
      </c>
      <c r="D252" s="381"/>
      <c r="E252" s="381" t="s">
        <v>131</v>
      </c>
      <c r="F252" s="223" t="s">
        <v>343</v>
      </c>
      <c r="G252" s="23" t="s">
        <v>24</v>
      </c>
      <c r="H252" s="48">
        <v>14</v>
      </c>
      <c r="I252" s="203">
        <v>12</v>
      </c>
      <c r="J252" s="203">
        <v>17</v>
      </c>
      <c r="K252" s="65">
        <v>33407.07</v>
      </c>
      <c r="L252" s="224">
        <v>17</v>
      </c>
      <c r="M252" s="50">
        <f t="shared" si="17"/>
        <v>33407.07</v>
      </c>
      <c r="N252" s="65">
        <v>33407.07</v>
      </c>
      <c r="O252" s="225"/>
      <c r="P252" s="108">
        <v>18</v>
      </c>
      <c r="Q252" s="65">
        <v>50634.13</v>
      </c>
      <c r="R252" s="224">
        <v>18</v>
      </c>
      <c r="S252" s="50">
        <f t="shared" si="18"/>
        <v>50634.13</v>
      </c>
      <c r="T252" s="65">
        <v>50634.13</v>
      </c>
      <c r="U252" s="225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9"/>
      <c r="B253" s="380"/>
      <c r="C253" s="380"/>
      <c r="D253" s="380"/>
      <c r="E253" s="380"/>
      <c r="F253" s="247"/>
      <c r="G253" s="227" t="s">
        <v>25</v>
      </c>
      <c r="H253" s="153">
        <v>2</v>
      </c>
      <c r="I253" s="130">
        <v>1</v>
      </c>
      <c r="J253" s="130">
        <v>1</v>
      </c>
      <c r="K253" s="114">
        <v>1728.9</v>
      </c>
      <c r="L253" s="270">
        <v>1</v>
      </c>
      <c r="M253" s="114">
        <v>1728.9</v>
      </c>
      <c r="N253" s="114">
        <v>1728.9</v>
      </c>
      <c r="O253" s="41"/>
      <c r="P253" s="113">
        <v>4</v>
      </c>
      <c r="Q253" s="114">
        <v>30582.32</v>
      </c>
      <c r="R253" s="270">
        <v>4</v>
      </c>
      <c r="S253" s="114">
        <v>30582.32</v>
      </c>
      <c r="T253" s="114">
        <v>30582.32</v>
      </c>
      <c r="U253" s="2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429</v>
      </c>
      <c r="C254" s="374" t="s">
        <v>22</v>
      </c>
      <c r="D254" s="374"/>
      <c r="E254" s="374" t="s">
        <v>27</v>
      </c>
      <c r="F254" s="204" t="s">
        <v>446</v>
      </c>
      <c r="G254" s="176" t="s">
        <v>24</v>
      </c>
      <c r="H254" s="151"/>
      <c r="I254" s="25"/>
      <c r="J254" s="25"/>
      <c r="K254" s="26"/>
      <c r="L254" s="27"/>
      <c r="M254" s="26">
        <f t="shared" ref="M254:M287" si="19">N254+O254</f>
        <v>0</v>
      </c>
      <c r="N254" s="30"/>
      <c r="O254" s="31"/>
      <c r="P254" s="53">
        <v>1</v>
      </c>
      <c r="Q254" s="30">
        <v>36784.050000000003</v>
      </c>
      <c r="R254" s="205">
        <v>1</v>
      </c>
      <c r="S254" s="26">
        <f t="shared" ref="S254:S280" si="20">T254+U254</f>
        <v>36784.050000000003</v>
      </c>
      <c r="T254" s="30">
        <v>36784.050000000003</v>
      </c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/>
      <c r="G255" s="229" t="s">
        <v>28</v>
      </c>
      <c r="H255" s="133"/>
      <c r="I255" s="57"/>
      <c r="J255" s="57"/>
      <c r="K255" s="43"/>
      <c r="L255" s="44"/>
      <c r="M255" s="43">
        <f t="shared" si="19"/>
        <v>0</v>
      </c>
      <c r="N255" s="43"/>
      <c r="O255" s="41"/>
      <c r="P255" s="113"/>
      <c r="Q255" s="114"/>
      <c r="R255" s="44"/>
      <c r="S255" s="43">
        <f t="shared" si="20"/>
        <v>0</v>
      </c>
      <c r="T255" s="114"/>
      <c r="U255" s="2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188</v>
      </c>
      <c r="C256" s="374" t="s">
        <v>39</v>
      </c>
      <c r="D256" s="374" t="s">
        <v>474</v>
      </c>
      <c r="E256" s="374" t="s">
        <v>27</v>
      </c>
      <c r="F256" s="22"/>
      <c r="G256" s="176" t="s">
        <v>24</v>
      </c>
      <c r="H256" s="281">
        <v>3</v>
      </c>
      <c r="I256" s="25"/>
      <c r="J256" s="62">
        <v>1</v>
      </c>
      <c r="K256" s="26"/>
      <c r="L256" s="27"/>
      <c r="M256" s="26">
        <f t="shared" si="19"/>
        <v>0</v>
      </c>
      <c r="N256" s="26"/>
      <c r="O256" s="219"/>
      <c r="P256" s="53">
        <v>1</v>
      </c>
      <c r="Q256" s="30">
        <v>3649.9</v>
      </c>
      <c r="R256" s="27"/>
      <c r="S256" s="26">
        <f t="shared" si="20"/>
        <v>0</v>
      </c>
      <c r="T256" s="26"/>
      <c r="U256" s="219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20.25" customHeight="1">
      <c r="A257" s="373"/>
      <c r="B257" s="375"/>
      <c r="C257" s="375"/>
      <c r="D257" s="375"/>
      <c r="E257" s="375"/>
      <c r="F257" s="220" t="s">
        <v>344</v>
      </c>
      <c r="G257" s="229" t="s">
        <v>28</v>
      </c>
      <c r="H257" s="56">
        <v>3</v>
      </c>
      <c r="I257" s="130">
        <v>1</v>
      </c>
      <c r="J257" s="130">
        <v>1</v>
      </c>
      <c r="K257" s="114">
        <v>1052.5999999999999</v>
      </c>
      <c r="L257" s="44"/>
      <c r="M257" s="43">
        <f t="shared" si="19"/>
        <v>0</v>
      </c>
      <c r="N257" s="43"/>
      <c r="O257" s="222">
        <v>0</v>
      </c>
      <c r="P257" s="113">
        <v>15</v>
      </c>
      <c r="Q257" s="114">
        <v>23990.9</v>
      </c>
      <c r="R257" s="44"/>
      <c r="S257" s="43">
        <f t="shared" si="20"/>
        <v>4050.2</v>
      </c>
      <c r="T257" s="114">
        <v>4050.2</v>
      </c>
      <c r="U257" s="222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189</v>
      </c>
      <c r="C258" s="374" t="s">
        <v>39</v>
      </c>
      <c r="D258" s="374" t="s">
        <v>427</v>
      </c>
      <c r="E258" s="374" t="s">
        <v>27</v>
      </c>
      <c r="F258" s="232" t="s">
        <v>428</v>
      </c>
      <c r="G258" s="23" t="s">
        <v>24</v>
      </c>
      <c r="H258" s="24">
        <v>16</v>
      </c>
      <c r="I258" s="62">
        <v>12</v>
      </c>
      <c r="J258" s="62">
        <v>16</v>
      </c>
      <c r="K258" s="30">
        <v>30275.46</v>
      </c>
      <c r="L258" s="205">
        <v>16</v>
      </c>
      <c r="M258" s="26">
        <f t="shared" si="19"/>
        <v>30275.46</v>
      </c>
      <c r="N258" s="30">
        <v>30275.46</v>
      </c>
      <c r="O258" s="241"/>
      <c r="P258" s="29">
        <v>2</v>
      </c>
      <c r="Q258" s="30">
        <v>1870.81</v>
      </c>
      <c r="R258" s="205">
        <v>2</v>
      </c>
      <c r="S258" s="26">
        <f t="shared" si="20"/>
        <v>1870.81</v>
      </c>
      <c r="T258" s="30">
        <v>1870.81</v>
      </c>
      <c r="U258" s="2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256</v>
      </c>
      <c r="G259" s="35" t="s">
        <v>28</v>
      </c>
      <c r="H259" s="66">
        <v>5</v>
      </c>
      <c r="I259" s="37">
        <v>1</v>
      </c>
      <c r="J259" s="37">
        <v>1</v>
      </c>
      <c r="K259" s="68">
        <v>1921</v>
      </c>
      <c r="L259" s="285">
        <v>1</v>
      </c>
      <c r="M259" s="39">
        <f t="shared" si="19"/>
        <v>1921</v>
      </c>
      <c r="N259" s="39">
        <f>1921</f>
        <v>1921</v>
      </c>
      <c r="O259" s="41"/>
      <c r="P259" s="69"/>
      <c r="Q259" s="39"/>
      <c r="R259" s="40"/>
      <c r="S259" s="39">
        <f t="shared" si="20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190</v>
      </c>
      <c r="C260" s="381" t="s">
        <v>39</v>
      </c>
      <c r="D260" s="381" t="s">
        <v>191</v>
      </c>
      <c r="E260" s="381" t="s">
        <v>27</v>
      </c>
      <c r="F260" s="46"/>
      <c r="G260" s="47" t="s">
        <v>24</v>
      </c>
      <c r="H260" s="98"/>
      <c r="I260" s="49"/>
      <c r="J260" s="49"/>
      <c r="K260" s="50"/>
      <c r="L260" s="51"/>
      <c r="M260" s="50">
        <f t="shared" si="19"/>
        <v>0</v>
      </c>
      <c r="N260" s="50"/>
      <c r="O260" s="31"/>
      <c r="P260" s="123"/>
      <c r="Q260" s="50"/>
      <c r="R260" s="51"/>
      <c r="S260" s="50">
        <f t="shared" si="20"/>
        <v>0</v>
      </c>
      <c r="T260" s="50"/>
      <c r="U260" s="3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345</v>
      </c>
      <c r="G261" s="35" t="s">
        <v>28</v>
      </c>
      <c r="H261" s="112">
        <v>2</v>
      </c>
      <c r="I261" s="57"/>
      <c r="J261" s="57"/>
      <c r="K261" s="43"/>
      <c r="L261" s="44"/>
      <c r="M261" s="43">
        <f t="shared" si="19"/>
        <v>0</v>
      </c>
      <c r="N261" s="43"/>
      <c r="O261" s="45"/>
      <c r="P261" s="115">
        <v>4</v>
      </c>
      <c r="Q261" s="68">
        <v>5106.7</v>
      </c>
      <c r="R261" s="285">
        <v>5</v>
      </c>
      <c r="S261" s="39">
        <f t="shared" si="20"/>
        <v>6739.58</v>
      </c>
      <c r="T261" s="68">
        <f>3818+2921.58</f>
        <v>6739.58</v>
      </c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192</v>
      </c>
      <c r="C262" s="374" t="s">
        <v>22</v>
      </c>
      <c r="D262" s="374"/>
      <c r="E262" s="374" t="s">
        <v>193</v>
      </c>
      <c r="F262" s="204" t="s">
        <v>318</v>
      </c>
      <c r="G262" s="176" t="s">
        <v>24</v>
      </c>
      <c r="H262" s="61">
        <v>18</v>
      </c>
      <c r="I262" s="62">
        <v>16</v>
      </c>
      <c r="J262" s="62">
        <v>17</v>
      </c>
      <c r="K262" s="30">
        <v>18277.259999999998</v>
      </c>
      <c r="L262" s="205">
        <v>17</v>
      </c>
      <c r="M262" s="26">
        <f t="shared" si="19"/>
        <v>18277.259999999998</v>
      </c>
      <c r="N262" s="30">
        <v>18277.259999999998</v>
      </c>
      <c r="O262" s="100"/>
      <c r="P262" s="64">
        <v>21</v>
      </c>
      <c r="Q262" s="65">
        <v>54954.61</v>
      </c>
      <c r="R262" s="224">
        <v>20</v>
      </c>
      <c r="S262" s="50">
        <f t="shared" si="20"/>
        <v>52584.43</v>
      </c>
      <c r="T262" s="65">
        <v>52584.43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346</v>
      </c>
      <c r="G263" s="229" t="s">
        <v>28</v>
      </c>
      <c r="H263" s="133">
        <v>1</v>
      </c>
      <c r="I263" s="37">
        <v>1</v>
      </c>
      <c r="J263" s="37">
        <v>1</v>
      </c>
      <c r="K263" s="68">
        <v>1728.9</v>
      </c>
      <c r="L263" s="285">
        <v>1</v>
      </c>
      <c r="M263" s="39">
        <f t="shared" si="19"/>
        <v>1728.9</v>
      </c>
      <c r="N263" s="39">
        <f>1728.9</f>
        <v>1728.9</v>
      </c>
      <c r="O263" s="41"/>
      <c r="P263" s="42"/>
      <c r="Q263" s="43"/>
      <c r="R263" s="44"/>
      <c r="S263" s="43">
        <f t="shared" si="20"/>
        <v>0</v>
      </c>
      <c r="T263" s="43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194</v>
      </c>
      <c r="C264" s="377" t="s">
        <v>39</v>
      </c>
      <c r="D264" s="377" t="s">
        <v>319</v>
      </c>
      <c r="E264" s="374" t="s">
        <v>160</v>
      </c>
      <c r="F264" s="232" t="s">
        <v>320</v>
      </c>
      <c r="G264" s="23" t="s">
        <v>24</v>
      </c>
      <c r="H264" s="48">
        <v>5</v>
      </c>
      <c r="I264" s="203">
        <v>5</v>
      </c>
      <c r="J264" s="203">
        <v>5</v>
      </c>
      <c r="K264" s="65">
        <v>5617.57</v>
      </c>
      <c r="L264" s="316">
        <v>5</v>
      </c>
      <c r="M264" s="129">
        <f t="shared" si="19"/>
        <v>5617.57</v>
      </c>
      <c r="N264" s="65">
        <v>5617.57</v>
      </c>
      <c r="O264" s="225"/>
      <c r="P264" s="29">
        <v>3</v>
      </c>
      <c r="Q264" s="30">
        <v>6107.21</v>
      </c>
      <c r="R264" s="205">
        <v>3</v>
      </c>
      <c r="S264" s="26">
        <f t="shared" si="20"/>
        <v>6107.21</v>
      </c>
      <c r="T264" s="30">
        <v>6107.21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347</v>
      </c>
      <c r="G265" s="35" t="s">
        <v>28</v>
      </c>
      <c r="H265" s="117">
        <v>4</v>
      </c>
      <c r="I265" s="37"/>
      <c r="J265" s="37"/>
      <c r="K265" s="39"/>
      <c r="L265" s="44"/>
      <c r="M265" s="43">
        <f t="shared" si="19"/>
        <v>0</v>
      </c>
      <c r="N265" s="39"/>
      <c r="O265" s="41"/>
      <c r="P265" s="37">
        <v>8</v>
      </c>
      <c r="Q265" s="37">
        <v>21038.49</v>
      </c>
      <c r="R265" s="285">
        <v>4</v>
      </c>
      <c r="S265" s="39">
        <f t="shared" si="20"/>
        <v>8529.17</v>
      </c>
      <c r="T265" s="68">
        <f>576.3+4045.34+3273.6+633.93</f>
        <v>8529.17</v>
      </c>
      <c r="U265" s="2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195</v>
      </c>
      <c r="C266" s="377" t="s">
        <v>39</v>
      </c>
      <c r="D266" s="377" t="s">
        <v>231</v>
      </c>
      <c r="E266" s="381" t="s">
        <v>27</v>
      </c>
      <c r="F266" s="204" t="s">
        <v>232</v>
      </c>
      <c r="G266" s="47" t="s">
        <v>24</v>
      </c>
      <c r="H266" s="61">
        <v>2</v>
      </c>
      <c r="I266" s="25"/>
      <c r="J266" s="25"/>
      <c r="K266" s="26"/>
      <c r="L266" s="205"/>
      <c r="M266" s="26">
        <f t="shared" si="19"/>
        <v>0</v>
      </c>
      <c r="N266" s="26"/>
      <c r="O266" s="31"/>
      <c r="P266" s="64">
        <v>7</v>
      </c>
      <c r="Q266" s="65">
        <v>46859.35</v>
      </c>
      <c r="R266" s="224">
        <v>7</v>
      </c>
      <c r="S266" s="50">
        <f t="shared" si="20"/>
        <v>46859.35</v>
      </c>
      <c r="T266" s="65">
        <v>46859.35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1" t="s">
        <v>260</v>
      </c>
      <c r="G267" s="55" t="s">
        <v>28</v>
      </c>
      <c r="H267" s="178">
        <v>6</v>
      </c>
      <c r="I267" s="130">
        <v>3</v>
      </c>
      <c r="J267" s="130">
        <v>3</v>
      </c>
      <c r="K267" s="114">
        <v>8620.94</v>
      </c>
      <c r="L267" s="270">
        <v>2</v>
      </c>
      <c r="M267" s="43">
        <f t="shared" si="19"/>
        <v>1997.84</v>
      </c>
      <c r="N267" s="43">
        <f>1152.6+845.24</f>
        <v>1997.84</v>
      </c>
      <c r="O267" s="222"/>
      <c r="P267" s="130">
        <v>7</v>
      </c>
      <c r="Q267" s="130">
        <v>24706.45</v>
      </c>
      <c r="R267" s="270">
        <v>10</v>
      </c>
      <c r="S267" s="43">
        <f t="shared" si="20"/>
        <v>34770.1</v>
      </c>
      <c r="T267" s="114">
        <f>4994.6+12678.6+576.3+6915.6+6915.6+576.3+2113.1</f>
        <v>34770.1</v>
      </c>
      <c r="U267" s="222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196</v>
      </c>
      <c r="C268" s="381" t="s">
        <v>22</v>
      </c>
      <c r="D268" s="374"/>
      <c r="E268" s="381" t="s">
        <v>27</v>
      </c>
      <c r="F268" s="22"/>
      <c r="G268" s="23" t="s">
        <v>24</v>
      </c>
      <c r="H268" s="119"/>
      <c r="I268" s="25"/>
      <c r="J268" s="25"/>
      <c r="K268" s="26"/>
      <c r="L268" s="27"/>
      <c r="M268" s="26">
        <f t="shared" si="19"/>
        <v>0</v>
      </c>
      <c r="N268" s="26"/>
      <c r="O268" s="28"/>
      <c r="P268" s="120"/>
      <c r="Q268" s="26"/>
      <c r="R268" s="27"/>
      <c r="S268" s="26">
        <f t="shared" si="20"/>
        <v>0</v>
      </c>
      <c r="T268" s="26"/>
      <c r="U268" s="28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348</v>
      </c>
      <c r="G269" s="35" t="s">
        <v>28</v>
      </c>
      <c r="H269" s="66">
        <v>6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67">
        <v>4</v>
      </c>
      <c r="Q269" s="68">
        <v>11282.42</v>
      </c>
      <c r="R269" s="285">
        <v>4</v>
      </c>
      <c r="S269" s="39">
        <f t="shared" si="20"/>
        <v>11576</v>
      </c>
      <c r="T269" s="39">
        <f>2547.3+4226.2+2881.5+1921</f>
        <v>11576</v>
      </c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197</v>
      </c>
      <c r="C270" s="381" t="s">
        <v>39</v>
      </c>
      <c r="D270" s="381" t="s">
        <v>381</v>
      </c>
      <c r="E270" s="381" t="s">
        <v>27</v>
      </c>
      <c r="F270" s="204" t="s">
        <v>382</v>
      </c>
      <c r="G270" s="47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08">
        <v>1</v>
      </c>
      <c r="Q270" s="65">
        <v>748.24</v>
      </c>
      <c r="R270" s="224">
        <v>1</v>
      </c>
      <c r="S270" s="50">
        <f t="shared" si="20"/>
        <v>748.24</v>
      </c>
      <c r="T270" s="65">
        <v>748.24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221" t="s">
        <v>349</v>
      </c>
      <c r="G271" s="55" t="s">
        <v>28</v>
      </c>
      <c r="H271" s="153">
        <v>4</v>
      </c>
      <c r="I271" s="130">
        <v>2</v>
      </c>
      <c r="J271" s="130">
        <v>2</v>
      </c>
      <c r="K271" s="114">
        <v>3265.7</v>
      </c>
      <c r="L271" s="270">
        <v>2</v>
      </c>
      <c r="M271" s="43">
        <f t="shared" si="19"/>
        <v>2977.55</v>
      </c>
      <c r="N271" s="43">
        <f>1056.55+1921</f>
        <v>2977.55</v>
      </c>
      <c r="O271" s="41"/>
      <c r="P271" s="103"/>
      <c r="Q271" s="43"/>
      <c r="R271" s="270">
        <v>2</v>
      </c>
      <c r="S271" s="43">
        <f t="shared" si="20"/>
        <v>3765.16</v>
      </c>
      <c r="T271" s="114">
        <f>1440.75+2324.41</f>
        <v>3765.16</v>
      </c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198</v>
      </c>
      <c r="C272" s="374" t="s">
        <v>39</v>
      </c>
      <c r="D272" s="374" t="s">
        <v>469</v>
      </c>
      <c r="E272" s="374" t="s">
        <v>112</v>
      </c>
      <c r="F272" s="204" t="s">
        <v>470</v>
      </c>
      <c r="G272" s="23" t="s">
        <v>24</v>
      </c>
      <c r="H272" s="48">
        <v>10</v>
      </c>
      <c r="I272" s="62">
        <v>9</v>
      </c>
      <c r="J272" s="62">
        <v>9</v>
      </c>
      <c r="K272" s="30">
        <v>9703.07</v>
      </c>
      <c r="L272" s="205">
        <v>7</v>
      </c>
      <c r="M272" s="26">
        <f t="shared" si="19"/>
        <v>4666.33</v>
      </c>
      <c r="N272" s="30">
        <v>4666.33</v>
      </c>
      <c r="O272" s="31"/>
      <c r="P272" s="53">
        <v>13</v>
      </c>
      <c r="Q272" s="30">
        <v>48930.55</v>
      </c>
      <c r="R272" s="205">
        <v>13</v>
      </c>
      <c r="S272" s="26">
        <f t="shared" si="20"/>
        <v>48930.55</v>
      </c>
      <c r="T272" s="30">
        <v>48930.55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 t="s">
        <v>350</v>
      </c>
      <c r="G273" s="35" t="s">
        <v>28</v>
      </c>
      <c r="H273" s="153">
        <v>3</v>
      </c>
      <c r="I273" s="37">
        <v>1</v>
      </c>
      <c r="J273" s="37">
        <v>1</v>
      </c>
      <c r="K273" s="68">
        <v>602.1</v>
      </c>
      <c r="L273" s="40"/>
      <c r="M273" s="39">
        <f t="shared" si="19"/>
        <v>0</v>
      </c>
      <c r="N273" s="39"/>
      <c r="O273" s="41"/>
      <c r="P273" s="59"/>
      <c r="Q273" s="39"/>
      <c r="R273" s="40"/>
      <c r="S273" s="39">
        <f t="shared" si="20"/>
        <v>0</v>
      </c>
      <c r="T273" s="39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199</v>
      </c>
      <c r="C274" s="381" t="s">
        <v>22</v>
      </c>
      <c r="D274" s="381"/>
      <c r="E274" s="381" t="s">
        <v>131</v>
      </c>
      <c r="F274" s="46"/>
      <c r="G274" s="23" t="s">
        <v>24</v>
      </c>
      <c r="H274" s="98"/>
      <c r="I274" s="49"/>
      <c r="J274" s="49"/>
      <c r="K274" s="50"/>
      <c r="L274" s="51"/>
      <c r="M274" s="50">
        <f t="shared" si="19"/>
        <v>0</v>
      </c>
      <c r="N274" s="50"/>
      <c r="O274" s="31"/>
      <c r="P274" s="123"/>
      <c r="Q274" s="50"/>
      <c r="R274" s="51"/>
      <c r="S274" s="50">
        <f t="shared" si="20"/>
        <v>0</v>
      </c>
      <c r="T274" s="50"/>
      <c r="U274" s="3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9"/>
      <c r="B275" s="380"/>
      <c r="C275" s="380"/>
      <c r="D275" s="380"/>
      <c r="E275" s="380"/>
      <c r="F275" s="126"/>
      <c r="G275" s="55" t="s">
        <v>25</v>
      </c>
      <c r="H275" s="118"/>
      <c r="I275" s="57"/>
      <c r="J275" s="57"/>
      <c r="K275" s="43"/>
      <c r="L275" s="44"/>
      <c r="M275" s="43">
        <f t="shared" si="19"/>
        <v>0</v>
      </c>
      <c r="N275" s="43"/>
      <c r="O275" s="41"/>
      <c r="P275" s="103"/>
      <c r="Q275" s="43"/>
      <c r="R275" s="44"/>
      <c r="S275" s="43">
        <f t="shared" si="20"/>
        <v>0</v>
      </c>
      <c r="T275" s="43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200</v>
      </c>
      <c r="C276" s="374" t="s">
        <v>39</v>
      </c>
      <c r="D276" s="374" t="s">
        <v>456</v>
      </c>
      <c r="E276" s="374" t="s">
        <v>27</v>
      </c>
      <c r="F276" s="204" t="s">
        <v>457</v>
      </c>
      <c r="G276" s="23" t="s">
        <v>24</v>
      </c>
      <c r="H276" s="61">
        <v>4</v>
      </c>
      <c r="I276" s="62">
        <v>4</v>
      </c>
      <c r="J276" s="62">
        <v>5</v>
      </c>
      <c r="K276" s="30">
        <v>6859.34</v>
      </c>
      <c r="L276" s="205">
        <v>5</v>
      </c>
      <c r="M276" s="26">
        <f t="shared" si="19"/>
        <v>6859.34</v>
      </c>
      <c r="N276" s="30">
        <v>6859.34</v>
      </c>
      <c r="O276" s="31"/>
      <c r="P276" s="29">
        <v>6</v>
      </c>
      <c r="Q276" s="30">
        <v>21652.240000000002</v>
      </c>
      <c r="R276" s="205">
        <v>6</v>
      </c>
      <c r="S276" s="26">
        <f t="shared" si="20"/>
        <v>21652.240000000002</v>
      </c>
      <c r="T276" s="30">
        <v>21652.240000000002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33" t="s">
        <v>466</v>
      </c>
      <c r="G277" s="227" t="s">
        <v>28</v>
      </c>
      <c r="H277" s="207">
        <v>4</v>
      </c>
      <c r="I277" s="208">
        <v>2</v>
      </c>
      <c r="J277" s="208">
        <v>2</v>
      </c>
      <c r="K277" s="209">
        <v>3364.6</v>
      </c>
      <c r="L277" s="290">
        <v>1</v>
      </c>
      <c r="M277" s="211">
        <f t="shared" si="19"/>
        <v>1056.55</v>
      </c>
      <c r="N277" s="211">
        <f>1056.55</f>
        <v>1056.55</v>
      </c>
      <c r="O277" s="212"/>
      <c r="P277" s="284"/>
      <c r="Q277" s="211"/>
      <c r="R277" s="290">
        <v>1</v>
      </c>
      <c r="S277" s="211">
        <f t="shared" si="20"/>
        <v>1921</v>
      </c>
      <c r="T277" s="209">
        <v>1921</v>
      </c>
      <c r="U277" s="212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430</v>
      </c>
      <c r="C278" s="374" t="s">
        <v>39</v>
      </c>
      <c r="D278" s="374" t="s">
        <v>439</v>
      </c>
      <c r="E278" s="374" t="s">
        <v>27</v>
      </c>
      <c r="F278" s="204" t="s">
        <v>440</v>
      </c>
      <c r="G278" s="213" t="s">
        <v>24</v>
      </c>
      <c r="H278" s="61"/>
      <c r="I278" s="62"/>
      <c r="J278" s="62"/>
      <c r="K278" s="30"/>
      <c r="L278" s="27"/>
      <c r="M278" s="26">
        <f t="shared" si="19"/>
        <v>0</v>
      </c>
      <c r="N278" s="26"/>
      <c r="O278" s="241"/>
      <c r="P278" s="214"/>
      <c r="Q278" s="30"/>
      <c r="R278" s="205"/>
      <c r="S278" s="26">
        <f t="shared" si="20"/>
        <v>0</v>
      </c>
      <c r="T278" s="30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0"/>
      <c r="G279" s="215" t="s">
        <v>28</v>
      </c>
      <c r="H279" s="117"/>
      <c r="I279" s="37"/>
      <c r="J279" s="37"/>
      <c r="K279" s="68"/>
      <c r="L279" s="40"/>
      <c r="M279" s="39">
        <f t="shared" si="19"/>
        <v>0</v>
      </c>
      <c r="N279" s="39"/>
      <c r="O279" s="234"/>
      <c r="P279" s="217"/>
      <c r="Q279" s="68"/>
      <c r="R279" s="285"/>
      <c r="S279" s="39">
        <f t="shared" si="20"/>
        <v>0</v>
      </c>
      <c r="T279" s="68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6"/>
      <c r="B280" s="377" t="s">
        <v>201</v>
      </c>
      <c r="C280" s="377" t="s">
        <v>39</v>
      </c>
      <c r="D280" s="377" t="s">
        <v>385</v>
      </c>
      <c r="E280" s="377" t="s">
        <v>386</v>
      </c>
      <c r="F280" s="232" t="s">
        <v>387</v>
      </c>
      <c r="G280" s="95" t="s">
        <v>24</v>
      </c>
      <c r="H280" s="265">
        <v>16</v>
      </c>
      <c r="I280" s="266">
        <v>12</v>
      </c>
      <c r="J280" s="266">
        <v>19</v>
      </c>
      <c r="K280" s="79">
        <v>27305.66</v>
      </c>
      <c r="L280" s="268">
        <v>19</v>
      </c>
      <c r="M280" s="81">
        <f t="shared" si="19"/>
        <v>27305.66</v>
      </c>
      <c r="N280" s="79">
        <v>27305.66</v>
      </c>
      <c r="O280" s="313"/>
      <c r="P280" s="267">
        <v>2</v>
      </c>
      <c r="Q280" s="79">
        <v>4356.83</v>
      </c>
      <c r="R280" s="268">
        <v>2</v>
      </c>
      <c r="S280" s="81">
        <f t="shared" si="20"/>
        <v>4356.83</v>
      </c>
      <c r="T280" s="79">
        <v>4356.83</v>
      </c>
      <c r="U280" s="82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105"/>
      <c r="G281" s="35" t="s">
        <v>25</v>
      </c>
      <c r="H281" s="117">
        <v>1</v>
      </c>
      <c r="I281" s="38"/>
      <c r="J281" s="38"/>
      <c r="K281" s="39"/>
      <c r="L281" s="40"/>
      <c r="M281" s="39">
        <f t="shared" si="19"/>
        <v>0</v>
      </c>
      <c r="N281" s="39"/>
      <c r="O281" s="58"/>
      <c r="P281" s="115">
        <v>2</v>
      </c>
      <c r="Q281" s="68">
        <v>4418.3</v>
      </c>
      <c r="R281" s="285">
        <v>2</v>
      </c>
      <c r="S281" s="68">
        <v>4418.3</v>
      </c>
      <c r="T281" s="68">
        <v>4418.3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202</v>
      </c>
      <c r="C282" s="381" t="s">
        <v>39</v>
      </c>
      <c r="D282" s="377" t="s">
        <v>441</v>
      </c>
      <c r="E282" s="381" t="s">
        <v>27</v>
      </c>
      <c r="F282" s="204" t="s">
        <v>442</v>
      </c>
      <c r="G282" s="47" t="s">
        <v>24</v>
      </c>
      <c r="H282" s="48">
        <v>2</v>
      </c>
      <c r="I282" s="203">
        <v>2</v>
      </c>
      <c r="J282" s="203">
        <v>2</v>
      </c>
      <c r="K282" s="65">
        <v>2382.04</v>
      </c>
      <c r="L282" s="224">
        <v>2</v>
      </c>
      <c r="M282" s="50">
        <f t="shared" si="19"/>
        <v>2382.04</v>
      </c>
      <c r="N282" s="65">
        <v>2382.04</v>
      </c>
      <c r="O282" s="31"/>
      <c r="P282" s="108">
        <v>2</v>
      </c>
      <c r="Q282" s="65">
        <v>4082.51</v>
      </c>
      <c r="R282" s="224">
        <v>2</v>
      </c>
      <c r="S282" s="50">
        <f t="shared" ref="S282:S286" si="21">T282+U282</f>
        <v>4082.51</v>
      </c>
      <c r="T282" s="65">
        <v>4082.51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221" t="s">
        <v>262</v>
      </c>
      <c r="G283" s="55" t="s">
        <v>28</v>
      </c>
      <c r="H283" s="112">
        <v>2</v>
      </c>
      <c r="I283" s="130">
        <v>1</v>
      </c>
      <c r="J283" s="130">
        <v>1</v>
      </c>
      <c r="K283" s="114">
        <v>1479.17</v>
      </c>
      <c r="L283" s="316">
        <v>1</v>
      </c>
      <c r="M283" s="129">
        <f t="shared" si="19"/>
        <v>1479.17</v>
      </c>
      <c r="N283" s="43">
        <f>1479.17</f>
        <v>1479.17</v>
      </c>
      <c r="O283" s="45"/>
      <c r="P283" s="113">
        <v>4</v>
      </c>
      <c r="Q283" s="114">
        <v>17905.400000000001</v>
      </c>
      <c r="R283" s="316">
        <v>5</v>
      </c>
      <c r="S283" s="129">
        <f t="shared" si="21"/>
        <v>21555.3</v>
      </c>
      <c r="T283" s="114">
        <f>3649.9+1344.7+7107.7+4034.1+5418.9</f>
        <v>21555.3</v>
      </c>
      <c r="U283" s="4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2"/>
      <c r="B284" s="374" t="s">
        <v>203</v>
      </c>
      <c r="C284" s="377" t="s">
        <v>46</v>
      </c>
      <c r="D284" s="377" t="s">
        <v>459</v>
      </c>
      <c r="E284" s="374" t="s">
        <v>27</v>
      </c>
      <c r="F284" s="204" t="s">
        <v>475</v>
      </c>
      <c r="G284" s="23" t="s">
        <v>24</v>
      </c>
      <c r="H284" s="61">
        <v>2</v>
      </c>
      <c r="I284" s="25"/>
      <c r="J284" s="25"/>
      <c r="K284" s="26"/>
      <c r="L284" s="27"/>
      <c r="M284" s="26">
        <f t="shared" si="19"/>
        <v>0</v>
      </c>
      <c r="N284" s="26"/>
      <c r="O284" s="28"/>
      <c r="P284" s="120"/>
      <c r="Q284" s="26"/>
      <c r="R284" s="27"/>
      <c r="S284" s="26">
        <f t="shared" si="21"/>
        <v>0</v>
      </c>
      <c r="T284" s="26"/>
      <c r="U284" s="28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3"/>
      <c r="B285" s="375"/>
      <c r="C285" s="375"/>
      <c r="D285" s="375"/>
      <c r="E285" s="375"/>
      <c r="F285" s="34"/>
      <c r="G285" s="35" t="s">
        <v>28</v>
      </c>
      <c r="H285" s="117"/>
      <c r="I285" s="38"/>
      <c r="J285" s="38"/>
      <c r="K285" s="39"/>
      <c r="L285" s="40"/>
      <c r="M285" s="39">
        <f t="shared" si="19"/>
        <v>0</v>
      </c>
      <c r="N285" s="39"/>
      <c r="O285" s="41"/>
      <c r="P285" s="69"/>
      <c r="Q285" s="39"/>
      <c r="R285" s="40"/>
      <c r="S285" s="39">
        <f t="shared" si="21"/>
        <v>0</v>
      </c>
      <c r="T285" s="39"/>
      <c r="U285" s="4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82"/>
      <c r="B286" s="381" t="s">
        <v>204</v>
      </c>
      <c r="C286" s="377" t="s">
        <v>22</v>
      </c>
      <c r="D286" s="377"/>
      <c r="E286" s="381" t="s">
        <v>23</v>
      </c>
      <c r="F286" s="204" t="s">
        <v>431</v>
      </c>
      <c r="G286" s="47" t="s">
        <v>24</v>
      </c>
      <c r="H286" s="48">
        <v>11</v>
      </c>
      <c r="I286" s="203">
        <v>5</v>
      </c>
      <c r="J286" s="203">
        <v>6</v>
      </c>
      <c r="K286" s="65">
        <v>8254.93</v>
      </c>
      <c r="L286" s="224">
        <v>6</v>
      </c>
      <c r="M286" s="50">
        <f t="shared" si="19"/>
        <v>8254.93</v>
      </c>
      <c r="N286" s="65">
        <v>8254.93</v>
      </c>
      <c r="O286" s="225"/>
      <c r="P286" s="108">
        <v>4</v>
      </c>
      <c r="Q286" s="65">
        <v>3363.11</v>
      </c>
      <c r="R286" s="224">
        <v>4</v>
      </c>
      <c r="S286" s="50">
        <f t="shared" si="21"/>
        <v>3363.11</v>
      </c>
      <c r="T286" s="65">
        <v>3363.11</v>
      </c>
      <c r="U286" s="225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3"/>
      <c r="B287" s="375"/>
      <c r="C287" s="375"/>
      <c r="D287" s="375"/>
      <c r="E287" s="375"/>
      <c r="F287" s="34"/>
      <c r="G287" s="35" t="s">
        <v>25</v>
      </c>
      <c r="H287" s="111"/>
      <c r="I287" s="38"/>
      <c r="J287" s="38"/>
      <c r="K287" s="39"/>
      <c r="L287" s="40"/>
      <c r="M287" s="39">
        <f t="shared" si="19"/>
        <v>0</v>
      </c>
      <c r="N287" s="39"/>
      <c r="O287" s="41"/>
      <c r="P287" s="115">
        <v>1</v>
      </c>
      <c r="Q287" s="68">
        <v>2305.1999999999998</v>
      </c>
      <c r="R287" s="285">
        <v>1</v>
      </c>
      <c r="S287" s="68">
        <v>2305.1999999999998</v>
      </c>
      <c r="T287" s="68">
        <v>2305.1999999999998</v>
      </c>
      <c r="U287" s="41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179"/>
      <c r="B288" s="180" t="s">
        <v>205</v>
      </c>
      <c r="C288" s="180"/>
      <c r="D288" s="180"/>
      <c r="E288" s="180"/>
      <c r="F288" s="180"/>
      <c r="G288" s="181"/>
      <c r="H288" s="182">
        <f t="shared" ref="H288:U288" si="22">SUM(H9:H287)</f>
        <v>1459</v>
      </c>
      <c r="I288" s="183">
        <f t="shared" si="22"/>
        <v>884</v>
      </c>
      <c r="J288" s="183">
        <f t="shared" si="22"/>
        <v>1075</v>
      </c>
      <c r="K288" s="184">
        <f t="shared" si="22"/>
        <v>1933463.0399999998</v>
      </c>
      <c r="L288" s="185">
        <f t="shared" si="22"/>
        <v>954</v>
      </c>
      <c r="M288" s="184">
        <f t="shared" si="22"/>
        <v>1693056.8699999996</v>
      </c>
      <c r="N288" s="184">
        <f t="shared" si="22"/>
        <v>1693056.8699999996</v>
      </c>
      <c r="O288" s="186">
        <f t="shared" si="22"/>
        <v>0</v>
      </c>
      <c r="P288" s="187">
        <f t="shared" si="22"/>
        <v>1267</v>
      </c>
      <c r="Q288" s="188">
        <f t="shared" si="22"/>
        <v>4317398.8</v>
      </c>
      <c r="R288" s="185">
        <f t="shared" si="22"/>
        <v>1193</v>
      </c>
      <c r="S288" s="188">
        <f t="shared" si="22"/>
        <v>4113280.4099999974</v>
      </c>
      <c r="T288" s="188">
        <f t="shared" si="22"/>
        <v>4113280.4099999974</v>
      </c>
      <c r="U288" s="189">
        <f t="shared" si="22"/>
        <v>0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I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 t="s">
        <v>206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27.75" customHeight="1">
      <c r="A292" s="4"/>
      <c r="B292" s="4"/>
      <c r="C292" s="4"/>
      <c r="D292" s="4"/>
      <c r="E292" s="4"/>
      <c r="F292" s="394"/>
      <c r="G292" s="395" t="s">
        <v>5</v>
      </c>
      <c r="H292" s="396"/>
      <c r="I292" s="396"/>
      <c r="J292" s="396"/>
      <c r="K292" s="396"/>
      <c r="L292" s="396"/>
      <c r="M292" s="396"/>
      <c r="N292" s="397"/>
      <c r="O292" s="395" t="s">
        <v>6</v>
      </c>
      <c r="P292" s="396"/>
      <c r="Q292" s="396"/>
      <c r="R292" s="396"/>
      <c r="S292" s="396"/>
      <c r="T292" s="397"/>
      <c r="U292" s="393" t="s">
        <v>207</v>
      </c>
      <c r="V292" s="393" t="s">
        <v>208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386"/>
      <c r="G293" s="190" t="s">
        <v>13</v>
      </c>
      <c r="H293" s="190" t="s">
        <v>14</v>
      </c>
      <c r="I293" s="190" t="s">
        <v>15</v>
      </c>
      <c r="J293" s="190" t="s">
        <v>16</v>
      </c>
      <c r="K293" s="191" t="s">
        <v>17</v>
      </c>
      <c r="L293" s="190" t="s">
        <v>18</v>
      </c>
      <c r="M293" s="190" t="s">
        <v>19</v>
      </c>
      <c r="N293" s="190" t="s">
        <v>20</v>
      </c>
      <c r="O293" s="190" t="s">
        <v>15</v>
      </c>
      <c r="P293" s="190" t="s">
        <v>16</v>
      </c>
      <c r="Q293" s="191" t="s">
        <v>17</v>
      </c>
      <c r="R293" s="190" t="s">
        <v>18</v>
      </c>
      <c r="S293" s="190" t="s">
        <v>19</v>
      </c>
      <c r="T293" s="190" t="s">
        <v>20</v>
      </c>
      <c r="U293" s="392"/>
      <c r="V293" s="392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192" t="s">
        <v>24</v>
      </c>
      <c r="G294" s="193">
        <f t="shared" ref="G294:I294" si="23">SUMIF($G$9:$G$287,$F$294,H9:H287)</f>
        <v>1062</v>
      </c>
      <c r="H294" s="193">
        <f t="shared" si="23"/>
        <v>732</v>
      </c>
      <c r="I294" s="193">
        <f t="shared" si="23"/>
        <v>922</v>
      </c>
      <c r="J294" s="194">
        <f t="shared" ref="J294:J296" si="24">SUMIF($G$9:$G$287,F294,$K$9:$K$287)</f>
        <v>1649256.9999999993</v>
      </c>
      <c r="K294" s="195">
        <f t="shared" ref="K294:K296" si="25">SUMIF($G$9:$G$287,F294,$L$9:$L$287)</f>
        <v>828</v>
      </c>
      <c r="L294" s="194">
        <f t="shared" ref="L294:L296" si="26">SUMIF($G$9:$G$287,F294,$M$9:$M$287)</f>
        <v>1471198.3699999999</v>
      </c>
      <c r="M294" s="194">
        <f t="shared" ref="M294:O294" si="27">SUMIF($G$9:$G$287,$F$294,N9:N287)</f>
        <v>1471198.3699999999</v>
      </c>
      <c r="N294" s="194">
        <f t="shared" si="27"/>
        <v>0</v>
      </c>
      <c r="O294" s="193">
        <f t="shared" si="27"/>
        <v>1025</v>
      </c>
      <c r="P294" s="194">
        <f t="shared" ref="P294:P296" si="28">SUMIF($G$9:$G$287,F294,$Q$9:$Q$287)</f>
        <v>3570512.0199999991</v>
      </c>
      <c r="Q294" s="195">
        <f t="shared" ref="Q294:Q296" si="29">SUMIF($G$9:$G$287,F294,$R$9:$R$287)</f>
        <v>965</v>
      </c>
      <c r="R294" s="194">
        <f t="shared" ref="R294:R296" si="30">SUMIF($G$9:$G$287,F294,$S$9:$S$287)</f>
        <v>3389713.3599999989</v>
      </c>
      <c r="S294" s="194">
        <f t="shared" ref="S294:T294" si="31">SUMIF($G$9:$G$287,$F$294,T9:T287)</f>
        <v>3389713.3599999989</v>
      </c>
      <c r="T294" s="194">
        <f t="shared" si="31"/>
        <v>0</v>
      </c>
      <c r="U294" s="194">
        <f t="shared" ref="U294:U296" si="32">S294+M294</f>
        <v>4860911.7299999986</v>
      </c>
      <c r="V294" s="196">
        <f t="shared" ref="V294:V296" si="33">J294-M294+P294-S294</f>
        <v>358857.28999999957</v>
      </c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192" t="s">
        <v>28</v>
      </c>
      <c r="G295" s="349">
        <v>330</v>
      </c>
      <c r="H295" s="193">
        <f t="shared" ref="H295:I295" si="34">SUMIF($G$9:$G$287,$F$295,I9:I287)</f>
        <v>117</v>
      </c>
      <c r="I295" s="193">
        <f t="shared" si="34"/>
        <v>118</v>
      </c>
      <c r="J295" s="194">
        <f t="shared" si="24"/>
        <v>221481.7900000001</v>
      </c>
      <c r="K295" s="195">
        <f t="shared" si="25"/>
        <v>96</v>
      </c>
      <c r="L295" s="194">
        <f t="shared" si="26"/>
        <v>174186.79999999996</v>
      </c>
      <c r="M295" s="194">
        <f t="shared" ref="M295:O295" si="35">SUMIF($G$9:$G$287,$F$295,N9:N287)</f>
        <v>174186.79999999996</v>
      </c>
      <c r="N295" s="194">
        <f t="shared" si="35"/>
        <v>0</v>
      </c>
      <c r="O295" s="193">
        <f t="shared" si="35"/>
        <v>185</v>
      </c>
      <c r="P295" s="194">
        <f t="shared" si="28"/>
        <v>542787.44000000006</v>
      </c>
      <c r="Q295" s="195">
        <f t="shared" si="29"/>
        <v>175</v>
      </c>
      <c r="R295" s="194">
        <f t="shared" si="30"/>
        <v>523801.9499999999</v>
      </c>
      <c r="S295" s="194">
        <f t="shared" ref="S295:T295" si="36">SUMIF($G$9:$G$287,$F$295,T9:T287)</f>
        <v>523801.9499999999</v>
      </c>
      <c r="T295" s="194">
        <f t="shared" si="36"/>
        <v>0</v>
      </c>
      <c r="U295" s="194">
        <f t="shared" si="32"/>
        <v>697988.74999999988</v>
      </c>
      <c r="V295" s="196">
        <f t="shared" si="33"/>
        <v>66280.480000000272</v>
      </c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192" t="s">
        <v>25</v>
      </c>
      <c r="G296" s="193">
        <f t="shared" ref="G296:I296" si="37">SUMIF($G$9:$G$287,$F$296,H9:H287)</f>
        <v>67</v>
      </c>
      <c r="H296" s="193">
        <f t="shared" si="37"/>
        <v>35</v>
      </c>
      <c r="I296" s="193">
        <f t="shared" si="37"/>
        <v>35</v>
      </c>
      <c r="J296" s="194">
        <f t="shared" si="24"/>
        <v>62724.250000000007</v>
      </c>
      <c r="K296" s="195">
        <f t="shared" si="25"/>
        <v>30</v>
      </c>
      <c r="L296" s="194">
        <f t="shared" si="26"/>
        <v>47671.7</v>
      </c>
      <c r="M296" s="194">
        <f t="shared" ref="M296:O296" si="38">SUMIF($G$9:$G$287,$F$296,N9:N287)</f>
        <v>47671.7</v>
      </c>
      <c r="N296" s="194">
        <f t="shared" si="38"/>
        <v>0</v>
      </c>
      <c r="O296" s="193">
        <f t="shared" si="38"/>
        <v>57</v>
      </c>
      <c r="P296" s="194">
        <f t="shared" si="28"/>
        <v>204099.34</v>
      </c>
      <c r="Q296" s="195">
        <f t="shared" si="29"/>
        <v>53</v>
      </c>
      <c r="R296" s="194">
        <f t="shared" si="30"/>
        <v>199765.1</v>
      </c>
      <c r="S296" s="194">
        <f t="shared" ref="S296:T296" si="39">SUMIF($G$9:$G$287,$F$296,T9:T287)</f>
        <v>199765.1</v>
      </c>
      <c r="T296" s="194">
        <f t="shared" si="39"/>
        <v>0</v>
      </c>
      <c r="U296" s="194">
        <f t="shared" si="32"/>
        <v>247436.79999999999</v>
      </c>
      <c r="V296" s="196">
        <f t="shared" si="33"/>
        <v>19386.790000000008</v>
      </c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197">
        <f t="shared" ref="G297:V297" si="40">G296+G295+G294</f>
        <v>1459</v>
      </c>
      <c r="H297" s="197">
        <f t="shared" si="40"/>
        <v>884</v>
      </c>
      <c r="I297" s="197">
        <f t="shared" si="40"/>
        <v>1075</v>
      </c>
      <c r="J297" s="198">
        <f t="shared" si="40"/>
        <v>1933463.0399999993</v>
      </c>
      <c r="K297" s="199">
        <f t="shared" si="40"/>
        <v>954</v>
      </c>
      <c r="L297" s="198">
        <f t="shared" si="40"/>
        <v>1693056.8699999999</v>
      </c>
      <c r="M297" s="198">
        <f t="shared" si="40"/>
        <v>1693056.8699999999</v>
      </c>
      <c r="N297" s="198">
        <f t="shared" si="40"/>
        <v>0</v>
      </c>
      <c r="O297" s="197">
        <f t="shared" si="40"/>
        <v>1267</v>
      </c>
      <c r="P297" s="198">
        <f t="shared" si="40"/>
        <v>4317398.7999999989</v>
      </c>
      <c r="Q297" s="200">
        <f t="shared" si="40"/>
        <v>1193</v>
      </c>
      <c r="R297" s="198">
        <f t="shared" si="40"/>
        <v>4113280.4099999988</v>
      </c>
      <c r="S297" s="198">
        <f t="shared" si="40"/>
        <v>4113280.4099999988</v>
      </c>
      <c r="T297" s="198">
        <f t="shared" si="40"/>
        <v>0</v>
      </c>
      <c r="U297" s="198">
        <f t="shared" si="40"/>
        <v>5806337.2799999984</v>
      </c>
      <c r="V297" s="198">
        <f t="shared" si="40"/>
        <v>444524.55999999982</v>
      </c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L450" s="2"/>
      <c r="R450" s="2"/>
    </row>
    <row r="451" spans="11:18" ht="15.75" customHeight="1">
      <c r="L451" s="2"/>
      <c r="R451" s="2"/>
    </row>
    <row r="452" spans="11:18" ht="15.75" customHeight="1">
      <c r="L452" s="2"/>
      <c r="R452" s="2"/>
    </row>
    <row r="453" spans="11:18" ht="15.75" customHeight="1">
      <c r="L453" s="2"/>
      <c r="R453" s="2"/>
    </row>
    <row r="454" spans="11:18" ht="15.75" customHeight="1">
      <c r="L454" s="2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</sheetData>
  <mergeCells count="696">
    <mergeCell ref="A203:A205"/>
    <mergeCell ref="A206:A207"/>
    <mergeCell ref="B206:B207"/>
    <mergeCell ref="C206:C207"/>
    <mergeCell ref="A208:A209"/>
    <mergeCell ref="B208:B209"/>
    <mergeCell ref="C208:C209"/>
    <mergeCell ref="D224:D225"/>
    <mergeCell ref="E224:E225"/>
    <mergeCell ref="B224:B225"/>
    <mergeCell ref="C224:C225"/>
    <mergeCell ref="B203:B205"/>
    <mergeCell ref="C203:C205"/>
    <mergeCell ref="D206:D207"/>
    <mergeCell ref="D208:D209"/>
    <mergeCell ref="D199:D200"/>
    <mergeCell ref="E199:E200"/>
    <mergeCell ref="D201:D202"/>
    <mergeCell ref="E201:E202"/>
    <mergeCell ref="D203:D205"/>
    <mergeCell ref="E203:E205"/>
    <mergeCell ref="E206:E207"/>
    <mergeCell ref="E208:E209"/>
    <mergeCell ref="A197:A198"/>
    <mergeCell ref="B197:B198"/>
    <mergeCell ref="C197:C198"/>
    <mergeCell ref="D197:D198"/>
    <mergeCell ref="E197:E198"/>
    <mergeCell ref="A199:A200"/>
    <mergeCell ref="B199:B200"/>
    <mergeCell ref="C199:C200"/>
    <mergeCell ref="A201:A202"/>
    <mergeCell ref="B201:B202"/>
    <mergeCell ref="C201:C202"/>
    <mergeCell ref="C195:C196"/>
    <mergeCell ref="D195:D196"/>
    <mergeCell ref="A193:A194"/>
    <mergeCell ref="B193:B194"/>
    <mergeCell ref="C193:C194"/>
    <mergeCell ref="D193:D194"/>
    <mergeCell ref="E193:E194"/>
    <mergeCell ref="B195:B196"/>
    <mergeCell ref="E195:E196"/>
    <mergeCell ref="A195:A196"/>
    <mergeCell ref="D179:D180"/>
    <mergeCell ref="E179:E180"/>
    <mergeCell ref="A181:A182"/>
    <mergeCell ref="B189:B190"/>
    <mergeCell ref="C189:C190"/>
    <mergeCell ref="A191:A192"/>
    <mergeCell ref="B191:B192"/>
    <mergeCell ref="C191:C192"/>
    <mergeCell ref="D191:D192"/>
    <mergeCell ref="E191:E192"/>
    <mergeCell ref="A175:A176"/>
    <mergeCell ref="B175:B176"/>
    <mergeCell ref="C175:C176"/>
    <mergeCell ref="B177:B178"/>
    <mergeCell ref="C177:C178"/>
    <mergeCell ref="A177:A178"/>
    <mergeCell ref="A179:A180"/>
    <mergeCell ref="B179:B180"/>
    <mergeCell ref="C179:C180"/>
    <mergeCell ref="A169:A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89:D190"/>
    <mergeCell ref="E189:E190"/>
    <mergeCell ref="A185:A186"/>
    <mergeCell ref="A187:A188"/>
    <mergeCell ref="B187:B188"/>
    <mergeCell ref="C187:C188"/>
    <mergeCell ref="D187:D188"/>
    <mergeCell ref="E187:E188"/>
    <mergeCell ref="A189:A190"/>
    <mergeCell ref="D185:D186"/>
    <mergeCell ref="E185:E186"/>
    <mergeCell ref="B181:B182"/>
    <mergeCell ref="C181:C182"/>
    <mergeCell ref="A183:A184"/>
    <mergeCell ref="B183:B184"/>
    <mergeCell ref="C183:C184"/>
    <mergeCell ref="B185:B186"/>
    <mergeCell ref="C185:C186"/>
    <mergeCell ref="A165:A166"/>
    <mergeCell ref="B165:B166"/>
    <mergeCell ref="C165:C166"/>
    <mergeCell ref="D165:D166"/>
    <mergeCell ref="E165:E166"/>
    <mergeCell ref="D181:D182"/>
    <mergeCell ref="E181:E182"/>
    <mergeCell ref="D183:D184"/>
    <mergeCell ref="E183:E184"/>
    <mergeCell ref="C169:C170"/>
    <mergeCell ref="D169:D170"/>
    <mergeCell ref="A167:A168"/>
    <mergeCell ref="B167:B168"/>
    <mergeCell ref="C167:C168"/>
    <mergeCell ref="D167:D168"/>
    <mergeCell ref="E167:E168"/>
    <mergeCell ref="B169:B170"/>
    <mergeCell ref="E169:E170"/>
    <mergeCell ref="D173:D174"/>
    <mergeCell ref="E173:E174"/>
    <mergeCell ref="D175:D176"/>
    <mergeCell ref="E175:E176"/>
    <mergeCell ref="D177:D178"/>
    <mergeCell ref="E177:E178"/>
    <mergeCell ref="A153:A154"/>
    <mergeCell ref="B153:B154"/>
    <mergeCell ref="C153:C154"/>
    <mergeCell ref="D153:D154"/>
    <mergeCell ref="E153:E154"/>
    <mergeCell ref="B147:B148"/>
    <mergeCell ref="C147:C148"/>
    <mergeCell ref="A149:A150"/>
    <mergeCell ref="B149:B150"/>
    <mergeCell ref="C149:C150"/>
    <mergeCell ref="B151:B152"/>
    <mergeCell ref="C151:C152"/>
    <mergeCell ref="D147:D148"/>
    <mergeCell ref="E147:E148"/>
    <mergeCell ref="D149:D150"/>
    <mergeCell ref="E149:E150"/>
    <mergeCell ref="D151:D152"/>
    <mergeCell ref="E151:E152"/>
    <mergeCell ref="A142:A143"/>
    <mergeCell ref="A144:A146"/>
    <mergeCell ref="B144:B146"/>
    <mergeCell ref="C144:C146"/>
    <mergeCell ref="D144:D146"/>
    <mergeCell ref="E144:E146"/>
    <mergeCell ref="A147:A148"/>
    <mergeCell ref="A151:A152"/>
    <mergeCell ref="C142:C143"/>
    <mergeCell ref="D142:D143"/>
    <mergeCell ref="A140:A141"/>
    <mergeCell ref="B140:B141"/>
    <mergeCell ref="C140:C141"/>
    <mergeCell ref="D140:D141"/>
    <mergeCell ref="E140:E141"/>
    <mergeCell ref="B142:B143"/>
    <mergeCell ref="E142:E143"/>
    <mergeCell ref="D163:D164"/>
    <mergeCell ref="E163:E164"/>
    <mergeCell ref="A158:A159"/>
    <mergeCell ref="A160:A162"/>
    <mergeCell ref="B160:B162"/>
    <mergeCell ref="C160:C162"/>
    <mergeCell ref="D160:D162"/>
    <mergeCell ref="E160:E162"/>
    <mergeCell ref="A163:A164"/>
    <mergeCell ref="B163:B164"/>
    <mergeCell ref="C163:C164"/>
    <mergeCell ref="A274:A275"/>
    <mergeCell ref="B274:B275"/>
    <mergeCell ref="C274:C275"/>
    <mergeCell ref="D274:D275"/>
    <mergeCell ref="E274:E275"/>
    <mergeCell ref="A276:A277"/>
    <mergeCell ref="B284:B285"/>
    <mergeCell ref="C284:C285"/>
    <mergeCell ref="A286:A287"/>
    <mergeCell ref="B286:B287"/>
    <mergeCell ref="C286:C287"/>
    <mergeCell ref="D286:D287"/>
    <mergeCell ref="E286:E287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D284:D285"/>
    <mergeCell ref="E284:E285"/>
    <mergeCell ref="F292:F293"/>
    <mergeCell ref="G292:N292"/>
    <mergeCell ref="O292:T292"/>
    <mergeCell ref="U292:U293"/>
    <mergeCell ref="V292:V293"/>
    <mergeCell ref="A280:A281"/>
    <mergeCell ref="A282:A283"/>
    <mergeCell ref="B282:B283"/>
    <mergeCell ref="C282:C283"/>
    <mergeCell ref="D282:D283"/>
    <mergeCell ref="E282:E283"/>
    <mergeCell ref="A284:A285"/>
    <mergeCell ref="D276:D277"/>
    <mergeCell ref="E276:E277"/>
    <mergeCell ref="D278:D279"/>
    <mergeCell ref="E278:E279"/>
    <mergeCell ref="D280:D281"/>
    <mergeCell ref="E280:E281"/>
    <mergeCell ref="B276:B277"/>
    <mergeCell ref="C276:C277"/>
    <mergeCell ref="A278:A279"/>
    <mergeCell ref="B278:B279"/>
    <mergeCell ref="C278:C279"/>
    <mergeCell ref="B280:B281"/>
    <mergeCell ref="C280:C281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6:D227"/>
    <mergeCell ref="E226:E227"/>
    <mergeCell ref="D228:D229"/>
    <mergeCell ref="E228:E229"/>
    <mergeCell ref="A226:A227"/>
    <mergeCell ref="B226:B227"/>
    <mergeCell ref="C226:C227"/>
    <mergeCell ref="B228:B229"/>
    <mergeCell ref="C228:C229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E212:E213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158:C159"/>
    <mergeCell ref="D158:D159"/>
    <mergeCell ref="A155:A157"/>
    <mergeCell ref="B155:B157"/>
    <mergeCell ref="C155:C157"/>
    <mergeCell ref="D155:D157"/>
    <mergeCell ref="E155:E157"/>
    <mergeCell ref="B158:B159"/>
    <mergeCell ref="E158:E159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19:D121"/>
    <mergeCell ref="E119:E121"/>
    <mergeCell ref="D122:D123"/>
    <mergeCell ref="E122:E123"/>
    <mergeCell ref="D124:D125"/>
    <mergeCell ref="E124:E125"/>
    <mergeCell ref="A115:A116"/>
    <mergeCell ref="A117:A118"/>
    <mergeCell ref="B117:B118"/>
    <mergeCell ref="C117:C118"/>
    <mergeCell ref="D117:D118"/>
    <mergeCell ref="E117:E118"/>
    <mergeCell ref="A119:A121"/>
    <mergeCell ref="B119:B121"/>
    <mergeCell ref="C119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26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14</v>
      </c>
      <c r="Q9" s="30">
        <v>40163.040000000001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14</v>
      </c>
      <c r="K13" s="79">
        <v>28664.04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20</v>
      </c>
      <c r="I15" s="62">
        <v>19</v>
      </c>
      <c r="J15" s="62">
        <v>27</v>
      </c>
      <c r="K15" s="30">
        <v>68231.570000000007</v>
      </c>
      <c r="L15" s="205">
        <v>21</v>
      </c>
      <c r="M15" s="26">
        <f t="shared" si="0"/>
        <v>55399.29</v>
      </c>
      <c r="N15" s="30">
        <v>55399.29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4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1</v>
      </c>
      <c r="M18" s="211">
        <f t="shared" si="0"/>
        <v>576.29999999999995</v>
      </c>
      <c r="N18" s="211">
        <f>576.3</f>
        <v>576.29999999999995</v>
      </c>
      <c r="O18" s="212"/>
      <c r="P18" s="262">
        <v>7</v>
      </c>
      <c r="Q18" s="209">
        <v>24148.51</v>
      </c>
      <c r="R18" s="290">
        <v>3</v>
      </c>
      <c r="S18" s="211">
        <f t="shared" si="1"/>
        <v>11446</v>
      </c>
      <c r="T18" s="209">
        <f>7027.7+4418.3</f>
        <v>11446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13</v>
      </c>
      <c r="I19" s="62">
        <v>6</v>
      </c>
      <c r="J19" s="62">
        <v>6</v>
      </c>
      <c r="K19" s="30">
        <v>11306.13</v>
      </c>
      <c r="L19" s="205">
        <v>4</v>
      </c>
      <c r="M19" s="26">
        <f t="shared" si="0"/>
        <v>4141.68</v>
      </c>
      <c r="N19" s="30">
        <v>4141.68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5</v>
      </c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9</v>
      </c>
      <c r="I21" s="266">
        <v>8</v>
      </c>
      <c r="J21" s="266">
        <v>11</v>
      </c>
      <c r="K21" s="79">
        <v>18693.64</v>
      </c>
      <c r="L21" s="268">
        <v>11</v>
      </c>
      <c r="M21" s="81">
        <f t="shared" si="0"/>
        <v>18693.64</v>
      </c>
      <c r="N21" s="79">
        <v>18693.64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15</v>
      </c>
      <c r="I23" s="203">
        <v>13</v>
      </c>
      <c r="J23" s="203">
        <v>21</v>
      </c>
      <c r="K23" s="65">
        <v>29344.78</v>
      </c>
      <c r="L23" s="224">
        <v>18</v>
      </c>
      <c r="M23" s="50">
        <f t="shared" si="0"/>
        <v>25744.23</v>
      </c>
      <c r="N23" s="65">
        <v>25744.23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13</v>
      </c>
      <c r="I25" s="62">
        <v>8</v>
      </c>
      <c r="J25" s="62">
        <v>8</v>
      </c>
      <c r="K25" s="62">
        <v>6378.29</v>
      </c>
      <c r="L25" s="205">
        <v>6</v>
      </c>
      <c r="M25" s="26">
        <f t="shared" si="0"/>
        <v>4262.51</v>
      </c>
      <c r="N25" s="30">
        <v>4262.51</v>
      </c>
      <c r="O25" s="225"/>
      <c r="P25" s="53">
        <v>8</v>
      </c>
      <c r="Q25" s="30">
        <v>10662.31</v>
      </c>
      <c r="R25" s="205">
        <v>5</v>
      </c>
      <c r="S25" s="26">
        <f t="shared" si="1"/>
        <v>8390.39</v>
      </c>
      <c r="T25" s="30">
        <v>8390.39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12</v>
      </c>
      <c r="J27" s="203">
        <v>19</v>
      </c>
      <c r="K27" s="65">
        <v>36183.18</v>
      </c>
      <c r="L27" s="224">
        <v>19</v>
      </c>
      <c r="M27" s="50">
        <f t="shared" si="0"/>
        <v>36183.18</v>
      </c>
      <c r="N27" s="65">
        <v>36183.18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4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7</v>
      </c>
      <c r="Q28" s="68">
        <v>24423.7</v>
      </c>
      <c r="R28" s="285">
        <v>5</v>
      </c>
      <c r="S28" s="39">
        <f t="shared" si="1"/>
        <v>18263.100000000002</v>
      </c>
      <c r="T28" s="68">
        <f>4302+3533.6+960.5+5240.8+4226.2</f>
        <v>18263.100000000002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4</v>
      </c>
      <c r="S30" s="43">
        <f t="shared" si="1"/>
        <v>20471.98</v>
      </c>
      <c r="T30" s="114">
        <f>14247.38+1921+2497.3+1806.3</f>
        <v>20471.98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8</v>
      </c>
      <c r="I33" s="203">
        <v>4</v>
      </c>
      <c r="J33" s="203">
        <v>5</v>
      </c>
      <c r="K33" s="65">
        <v>8549.15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7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95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8</v>
      </c>
      <c r="I37" s="203">
        <v>6</v>
      </c>
      <c r="J37" s="203">
        <v>6</v>
      </c>
      <c r="K37" s="65">
        <v>7209.83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5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1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2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3</v>
      </c>
      <c r="Q43" s="30">
        <v>4264.95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13</v>
      </c>
      <c r="I45" s="266">
        <v>13</v>
      </c>
      <c r="J45" s="266">
        <v>15</v>
      </c>
      <c r="K45" s="79">
        <v>22284.3</v>
      </c>
      <c r="L45" s="268">
        <v>14</v>
      </c>
      <c r="M45" s="81">
        <f t="shared" si="2"/>
        <v>18895.68</v>
      </c>
      <c r="N45" s="79">
        <v>18895.68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21</v>
      </c>
      <c r="I47" s="62">
        <v>8</v>
      </c>
      <c r="J47" s="62">
        <v>10</v>
      </c>
      <c r="K47" s="30">
        <v>11785.71</v>
      </c>
      <c r="L47" s="205">
        <v>10</v>
      </c>
      <c r="M47" s="26">
        <f t="shared" si="2"/>
        <v>11785.71</v>
      </c>
      <c r="N47" s="30">
        <v>11785.71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80"/>
      <c r="F48" s="233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390</v>
      </c>
      <c r="C49" s="374" t="s">
        <v>22</v>
      </c>
      <c r="D49" s="374"/>
      <c r="E49" s="374" t="s">
        <v>391</v>
      </c>
      <c r="F49" s="204" t="s">
        <v>392</v>
      </c>
      <c r="G49" s="213" t="s">
        <v>24</v>
      </c>
      <c r="H49" s="61">
        <v>6</v>
      </c>
      <c r="I49" s="62">
        <v>2</v>
      </c>
      <c r="J49" s="62">
        <v>2</v>
      </c>
      <c r="K49" s="30">
        <v>3766.34</v>
      </c>
      <c r="L49" s="205">
        <v>1</v>
      </c>
      <c r="M49" s="26">
        <f t="shared" si="2"/>
        <v>1324.62</v>
      </c>
      <c r="N49" s="30">
        <v>1324.62</v>
      </c>
      <c r="O49" s="28"/>
      <c r="P49" s="275"/>
      <c r="Q49" s="26"/>
      <c r="R49" s="27"/>
      <c r="S49" s="26">
        <f t="shared" si="3"/>
        <v>0</v>
      </c>
      <c r="T49" s="26"/>
      <c r="U49" s="2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06"/>
      <c r="I50" s="38"/>
      <c r="J50" s="38"/>
      <c r="K50" s="39"/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6"/>
      <c r="B51" s="377" t="s">
        <v>358</v>
      </c>
      <c r="C51" s="377"/>
      <c r="D51" s="377"/>
      <c r="E51" s="377"/>
      <c r="F51" s="76"/>
      <c r="G51" s="73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82"/>
      <c r="P51" s="303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34"/>
      <c r="G52" s="215" t="s">
        <v>28</v>
      </c>
      <c r="H52" s="117">
        <v>1</v>
      </c>
      <c r="I52" s="37">
        <v>1</v>
      </c>
      <c r="J52" s="37">
        <v>1</v>
      </c>
      <c r="K52" s="68">
        <v>576.29999999999995</v>
      </c>
      <c r="L52" s="40"/>
      <c r="M52" s="39">
        <f t="shared" si="2"/>
        <v>0</v>
      </c>
      <c r="N52" s="39"/>
      <c r="O52" s="41"/>
      <c r="P52" s="276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60</v>
      </c>
      <c r="C53" s="374" t="s">
        <v>39</v>
      </c>
      <c r="D53" s="374" t="s">
        <v>61</v>
      </c>
      <c r="E53" s="383" t="s">
        <v>27</v>
      </c>
      <c r="F53" s="204" t="s">
        <v>463</v>
      </c>
      <c r="G53" s="176" t="s">
        <v>24</v>
      </c>
      <c r="H53" s="74"/>
      <c r="I53" s="96"/>
      <c r="J53" s="96"/>
      <c r="K53" s="81"/>
      <c r="L53" s="80"/>
      <c r="M53" s="81">
        <f t="shared" si="2"/>
        <v>0</v>
      </c>
      <c r="N53" s="81"/>
      <c r="O53" s="97"/>
      <c r="P53" s="277"/>
      <c r="Q53" s="81"/>
      <c r="R53" s="80"/>
      <c r="S53" s="81">
        <f t="shared" si="3"/>
        <v>0</v>
      </c>
      <c r="T53" s="81"/>
      <c r="U53" s="8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401"/>
      <c r="F54" s="34"/>
      <c r="G54" s="229" t="s">
        <v>28</v>
      </c>
      <c r="H54" s="112">
        <v>5</v>
      </c>
      <c r="I54" s="130">
        <v>2</v>
      </c>
      <c r="J54" s="130">
        <v>2</v>
      </c>
      <c r="K54" s="114">
        <v>3411.9</v>
      </c>
      <c r="L54" s="270">
        <v>2</v>
      </c>
      <c r="M54" s="43">
        <f t="shared" si="2"/>
        <v>3411.8999999999996</v>
      </c>
      <c r="N54" s="43">
        <f>1605.6+1806.3</f>
        <v>3411.8999999999996</v>
      </c>
      <c r="O54" s="58"/>
      <c r="P54" s="59"/>
      <c r="Q54" s="39"/>
      <c r="R54" s="40"/>
      <c r="S54" s="39">
        <f t="shared" si="3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62</v>
      </c>
      <c r="C55" s="374" t="s">
        <v>39</v>
      </c>
      <c r="D55" s="374" t="s">
        <v>63</v>
      </c>
      <c r="E55" s="374" t="s">
        <v>27</v>
      </c>
      <c r="F55" s="232" t="s">
        <v>359</v>
      </c>
      <c r="G55" s="23" t="s">
        <v>24</v>
      </c>
      <c r="H55" s="24">
        <v>6</v>
      </c>
      <c r="I55" s="62">
        <v>2</v>
      </c>
      <c r="J55" s="62">
        <v>2</v>
      </c>
      <c r="K55" s="30">
        <v>1754.47</v>
      </c>
      <c r="L55" s="205">
        <v>2</v>
      </c>
      <c r="M55" s="26">
        <f t="shared" si="2"/>
        <v>1754.47</v>
      </c>
      <c r="N55" s="30">
        <v>1754.47</v>
      </c>
      <c r="O55" s="31"/>
      <c r="P55" s="108">
        <v>7</v>
      </c>
      <c r="Q55" s="65">
        <v>15242.58</v>
      </c>
      <c r="R55" s="224">
        <v>7</v>
      </c>
      <c r="S55" s="50">
        <f t="shared" si="3"/>
        <v>15242.58</v>
      </c>
      <c r="T55" s="65">
        <v>15242.58</v>
      </c>
      <c r="U55" s="3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34"/>
      <c r="G56" s="35" t="s">
        <v>28</v>
      </c>
      <c r="H56" s="66">
        <v>4</v>
      </c>
      <c r="I56" s="37">
        <v>1</v>
      </c>
      <c r="J56" s="37">
        <v>1</v>
      </c>
      <c r="K56" s="68">
        <v>2007</v>
      </c>
      <c r="L56" s="285">
        <v>1</v>
      </c>
      <c r="M56" s="39">
        <f t="shared" si="2"/>
        <v>2007</v>
      </c>
      <c r="N56" s="39">
        <f>2007</f>
        <v>2007</v>
      </c>
      <c r="O56" s="41"/>
      <c r="P56" s="115">
        <v>7</v>
      </c>
      <c r="Q56" s="68">
        <v>14652.43</v>
      </c>
      <c r="R56" s="285">
        <v>12</v>
      </c>
      <c r="S56" s="39">
        <f t="shared" si="3"/>
        <v>26971.13</v>
      </c>
      <c r="T56" s="68">
        <f>2209.2+576.3+13639.1+1921+1921+3438.83+3265.7</f>
        <v>26971.13</v>
      </c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66</v>
      </c>
      <c r="C57" s="374" t="s">
        <v>22</v>
      </c>
      <c r="D57" s="374"/>
      <c r="E57" s="374" t="s">
        <v>67</v>
      </c>
      <c r="F57" s="223" t="s">
        <v>360</v>
      </c>
      <c r="G57" s="176" t="s">
        <v>24</v>
      </c>
      <c r="H57" s="278">
        <v>4</v>
      </c>
      <c r="I57" s="203">
        <v>4</v>
      </c>
      <c r="J57" s="203">
        <v>6</v>
      </c>
      <c r="K57" s="65">
        <v>9306.16</v>
      </c>
      <c r="L57" s="224">
        <v>5</v>
      </c>
      <c r="M57" s="50">
        <f t="shared" si="2"/>
        <v>6927.86</v>
      </c>
      <c r="N57" s="65">
        <v>6927.86</v>
      </c>
      <c r="O57" s="31"/>
      <c r="P57" s="53">
        <v>4</v>
      </c>
      <c r="Q57" s="30">
        <v>12223.84</v>
      </c>
      <c r="R57" s="205">
        <v>4</v>
      </c>
      <c r="S57" s="26">
        <f t="shared" si="3"/>
        <v>12223.84</v>
      </c>
      <c r="T57" s="30">
        <v>12223.84</v>
      </c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105"/>
      <c r="G58" s="229" t="s">
        <v>28</v>
      </c>
      <c r="H58" s="230"/>
      <c r="I58" s="57"/>
      <c r="J58" s="57"/>
      <c r="K58" s="43"/>
      <c r="L58" s="44"/>
      <c r="M58" s="43">
        <f t="shared" si="2"/>
        <v>0</v>
      </c>
      <c r="N58" s="43"/>
      <c r="O58" s="41"/>
      <c r="P58" s="59"/>
      <c r="Q58" s="39"/>
      <c r="R58" s="40"/>
      <c r="S58" s="39">
        <f t="shared" si="3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6"/>
      <c r="B59" s="377" t="s">
        <v>68</v>
      </c>
      <c r="C59" s="377" t="s">
        <v>39</v>
      </c>
      <c r="D59" s="377" t="s">
        <v>69</v>
      </c>
      <c r="E59" s="377" t="s">
        <v>65</v>
      </c>
      <c r="F59" s="223" t="s">
        <v>263</v>
      </c>
      <c r="G59" s="95" t="s">
        <v>24</v>
      </c>
      <c r="H59" s="61">
        <v>13</v>
      </c>
      <c r="I59" s="62">
        <v>12</v>
      </c>
      <c r="J59" s="62">
        <v>13</v>
      </c>
      <c r="K59" s="30">
        <v>23872.07</v>
      </c>
      <c r="L59" s="205">
        <v>13</v>
      </c>
      <c r="M59" s="26">
        <f t="shared" si="2"/>
        <v>23872.07</v>
      </c>
      <c r="N59" s="30">
        <v>23872.07</v>
      </c>
      <c r="O59" s="225"/>
      <c r="P59" s="53">
        <v>6</v>
      </c>
      <c r="Q59" s="30">
        <v>45189.01</v>
      </c>
      <c r="R59" s="205">
        <v>6</v>
      </c>
      <c r="S59" s="26">
        <f t="shared" si="3"/>
        <v>45189.01</v>
      </c>
      <c r="T59" s="30">
        <v>45189.01</v>
      </c>
      <c r="U59" s="225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05" t="s">
        <v>222</v>
      </c>
      <c r="G60" s="35" t="s">
        <v>28</v>
      </c>
      <c r="H60" s="117">
        <v>4</v>
      </c>
      <c r="I60" s="37">
        <v>3</v>
      </c>
      <c r="J60" s="37">
        <v>3</v>
      </c>
      <c r="K60" s="68">
        <v>3099.46</v>
      </c>
      <c r="L60" s="285">
        <v>3</v>
      </c>
      <c r="M60" s="39">
        <f t="shared" si="2"/>
        <v>3099.4</v>
      </c>
      <c r="N60" s="39">
        <f>1921+576.3+602.1</f>
        <v>3099.4</v>
      </c>
      <c r="O60" s="41"/>
      <c r="P60" s="115">
        <v>1</v>
      </c>
      <c r="Q60" s="68">
        <v>576.29999999999995</v>
      </c>
      <c r="R60" s="285">
        <v>1</v>
      </c>
      <c r="S60" s="39">
        <f t="shared" si="3"/>
        <v>144.08000000000001</v>
      </c>
      <c r="T60" s="39">
        <f>144.08</f>
        <v>144.08000000000001</v>
      </c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70</v>
      </c>
      <c r="C61" s="374" t="s">
        <v>39</v>
      </c>
      <c r="D61" s="374" t="s">
        <v>284</v>
      </c>
      <c r="E61" s="374" t="s">
        <v>55</v>
      </c>
      <c r="F61" s="204" t="s">
        <v>285</v>
      </c>
      <c r="G61" s="176" t="s">
        <v>24</v>
      </c>
      <c r="H61" s="48">
        <v>24</v>
      </c>
      <c r="I61" s="203">
        <v>12</v>
      </c>
      <c r="J61" s="203">
        <v>18</v>
      </c>
      <c r="K61" s="65">
        <v>40586.410000000003</v>
      </c>
      <c r="L61" s="224">
        <v>17</v>
      </c>
      <c r="M61" s="50">
        <f t="shared" si="2"/>
        <v>39743.47</v>
      </c>
      <c r="N61" s="65">
        <v>39743.47</v>
      </c>
      <c r="O61" s="225"/>
      <c r="P61" s="53">
        <v>35</v>
      </c>
      <c r="Q61" s="30">
        <v>84174.76</v>
      </c>
      <c r="R61" s="205">
        <v>34</v>
      </c>
      <c r="S61" s="26">
        <f t="shared" si="3"/>
        <v>83293.759999999995</v>
      </c>
      <c r="T61" s="30">
        <v>83293.759999999995</v>
      </c>
      <c r="U61" s="243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229" t="s">
        <v>25</v>
      </c>
      <c r="H62" s="272"/>
      <c r="I62" s="261"/>
      <c r="J62" s="261"/>
      <c r="K62" s="211"/>
      <c r="L62" s="210"/>
      <c r="M62" s="211">
        <f t="shared" si="2"/>
        <v>0</v>
      </c>
      <c r="N62" s="211"/>
      <c r="O62" s="212"/>
      <c r="P62" s="273"/>
      <c r="Q62" s="211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361</v>
      </c>
      <c r="C63" s="374" t="s">
        <v>39</v>
      </c>
      <c r="D63" s="374" t="s">
        <v>393</v>
      </c>
      <c r="E63" s="377" t="s">
        <v>27</v>
      </c>
      <c r="F63" s="204" t="s">
        <v>394</v>
      </c>
      <c r="G63" s="213" t="s">
        <v>24</v>
      </c>
      <c r="H63" s="24">
        <v>12</v>
      </c>
      <c r="I63" s="62">
        <v>9</v>
      </c>
      <c r="J63" s="62">
        <v>10</v>
      </c>
      <c r="K63" s="30">
        <v>13332.05</v>
      </c>
      <c r="L63" s="205">
        <v>3</v>
      </c>
      <c r="M63" s="26">
        <f t="shared" si="2"/>
        <v>5443.83</v>
      </c>
      <c r="N63" s="30">
        <v>5443.83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247"/>
      <c r="G64" s="279" t="s">
        <v>28</v>
      </c>
      <c r="H64" s="207">
        <v>5</v>
      </c>
      <c r="I64" s="208"/>
      <c r="J64" s="208"/>
      <c r="K64" s="209"/>
      <c r="L64" s="210"/>
      <c r="M64" s="211">
        <f t="shared" si="2"/>
        <v>0</v>
      </c>
      <c r="N64" s="211"/>
      <c r="O64" s="212"/>
      <c r="P64" s="280"/>
      <c r="Q64" s="209"/>
      <c r="R64" s="210"/>
      <c r="S64" s="211">
        <f t="shared" si="3"/>
        <v>0</v>
      </c>
      <c r="T64" s="211"/>
      <c r="U64" s="212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362</v>
      </c>
      <c r="C65" s="374" t="s">
        <v>39</v>
      </c>
      <c r="D65" s="374" t="s">
        <v>395</v>
      </c>
      <c r="E65" s="374" t="s">
        <v>27</v>
      </c>
      <c r="F65" s="204" t="s">
        <v>396</v>
      </c>
      <c r="G65" s="176" t="s">
        <v>24</v>
      </c>
      <c r="H65" s="248">
        <v>7</v>
      </c>
      <c r="I65" s="62">
        <v>3</v>
      </c>
      <c r="J65" s="62">
        <v>4</v>
      </c>
      <c r="K65" s="30">
        <v>8451.36</v>
      </c>
      <c r="L65" s="205">
        <v>4</v>
      </c>
      <c r="M65" s="26">
        <f t="shared" si="2"/>
        <v>8451.36</v>
      </c>
      <c r="N65" s="30">
        <v>8451.36</v>
      </c>
      <c r="O65" s="28"/>
      <c r="P65" s="214"/>
      <c r="Q65" s="30"/>
      <c r="R65" s="27"/>
      <c r="S65" s="26">
        <f t="shared" si="3"/>
        <v>0</v>
      </c>
      <c r="T65" s="26"/>
      <c r="U65" s="2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34"/>
      <c r="G66" s="229" t="s">
        <v>28</v>
      </c>
      <c r="H66" s="258">
        <v>6</v>
      </c>
      <c r="I66" s="37">
        <v>1</v>
      </c>
      <c r="J66" s="37">
        <v>1</v>
      </c>
      <c r="K66" s="68">
        <v>2207.6999999999998</v>
      </c>
      <c r="L66" s="40"/>
      <c r="M66" s="39">
        <f t="shared" si="2"/>
        <v>0</v>
      </c>
      <c r="N66" s="39"/>
      <c r="O66" s="41"/>
      <c r="P66" s="217"/>
      <c r="Q66" s="68"/>
      <c r="R66" s="40"/>
      <c r="S66" s="39">
        <f t="shared" si="3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6"/>
      <c r="B67" s="377" t="s">
        <v>72</v>
      </c>
      <c r="C67" s="377" t="s">
        <v>39</v>
      </c>
      <c r="D67" s="377" t="s">
        <v>363</v>
      </c>
      <c r="E67" s="377" t="s">
        <v>27</v>
      </c>
      <c r="F67" s="232" t="s">
        <v>364</v>
      </c>
      <c r="G67" s="95" t="s">
        <v>24</v>
      </c>
      <c r="H67" s="281">
        <v>7</v>
      </c>
      <c r="I67" s="266">
        <v>4</v>
      </c>
      <c r="J67" s="266">
        <v>4</v>
      </c>
      <c r="K67" s="79">
        <v>11251.64</v>
      </c>
      <c r="L67" s="268">
        <v>3</v>
      </c>
      <c r="M67" s="81">
        <f t="shared" si="2"/>
        <v>10543.17</v>
      </c>
      <c r="N67" s="79">
        <v>10543.17</v>
      </c>
      <c r="O67" s="219"/>
      <c r="P67" s="267">
        <v>3</v>
      </c>
      <c r="Q67" s="79">
        <v>4835.93</v>
      </c>
      <c r="R67" s="268">
        <v>3</v>
      </c>
      <c r="S67" s="81">
        <f t="shared" si="3"/>
        <v>4835.93</v>
      </c>
      <c r="T67" s="79">
        <v>4835.93</v>
      </c>
      <c r="U67" s="269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9"/>
      <c r="B68" s="380"/>
      <c r="C68" s="380"/>
      <c r="D68" s="380"/>
      <c r="E68" s="380"/>
      <c r="F68" s="233" t="s">
        <v>223</v>
      </c>
      <c r="G68" s="227" t="s">
        <v>28</v>
      </c>
      <c r="H68" s="112">
        <v>6</v>
      </c>
      <c r="I68" s="130">
        <v>4</v>
      </c>
      <c r="J68" s="130">
        <v>4</v>
      </c>
      <c r="K68" s="114">
        <v>6601.18</v>
      </c>
      <c r="L68" s="316">
        <v>4</v>
      </c>
      <c r="M68" s="129">
        <f t="shared" si="2"/>
        <v>6601.18</v>
      </c>
      <c r="N68" s="43">
        <f>1344.7+1738.48+2113.1+1404.9</f>
        <v>6601.18</v>
      </c>
      <c r="O68" s="45"/>
      <c r="P68" s="103"/>
      <c r="Q68" s="43"/>
      <c r="R68" s="128"/>
      <c r="S68" s="129">
        <f t="shared" si="3"/>
        <v>0</v>
      </c>
      <c r="T68" s="43"/>
      <c r="U68" s="45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73</v>
      </c>
      <c r="C69" s="374" t="s">
        <v>22</v>
      </c>
      <c r="D69" s="374"/>
      <c r="E69" s="374" t="s">
        <v>27</v>
      </c>
      <c r="F69" s="204" t="s">
        <v>209</v>
      </c>
      <c r="G69" s="176" t="s">
        <v>24</v>
      </c>
      <c r="H69" s="61">
        <v>5</v>
      </c>
      <c r="I69" s="62">
        <v>4</v>
      </c>
      <c r="J69" s="62">
        <v>4</v>
      </c>
      <c r="K69" s="30">
        <v>5904.82</v>
      </c>
      <c r="L69" s="205">
        <v>4</v>
      </c>
      <c r="M69" s="26">
        <f t="shared" si="2"/>
        <v>5904.82</v>
      </c>
      <c r="N69" s="30">
        <v>5904.82</v>
      </c>
      <c r="O69" s="28"/>
      <c r="P69" s="29">
        <v>9</v>
      </c>
      <c r="Q69" s="30">
        <v>16995.990000000002</v>
      </c>
      <c r="R69" s="205">
        <v>9</v>
      </c>
      <c r="S69" s="26">
        <f t="shared" si="3"/>
        <v>16995.990000000002</v>
      </c>
      <c r="T69" s="30">
        <v>16995.990000000002</v>
      </c>
      <c r="U69" s="2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05"/>
      <c r="G70" s="229" t="s">
        <v>28</v>
      </c>
      <c r="H70" s="106"/>
      <c r="I70" s="38"/>
      <c r="J70" s="38"/>
      <c r="K70" s="39"/>
      <c r="L70" s="40"/>
      <c r="M70" s="39">
        <f t="shared" si="2"/>
        <v>0</v>
      </c>
      <c r="N70" s="39"/>
      <c r="O70" s="41"/>
      <c r="P70" s="69"/>
      <c r="Q70" s="39"/>
      <c r="R70" s="40"/>
      <c r="S70" s="39">
        <f t="shared" si="3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74</v>
      </c>
      <c r="C71" s="374" t="s">
        <v>39</v>
      </c>
      <c r="D71" s="374" t="s">
        <v>264</v>
      </c>
      <c r="E71" s="374" t="s">
        <v>27</v>
      </c>
      <c r="F71" s="204" t="s">
        <v>265</v>
      </c>
      <c r="G71" s="176" t="s">
        <v>24</v>
      </c>
      <c r="H71" s="48">
        <v>2</v>
      </c>
      <c r="I71" s="49"/>
      <c r="J71" s="49"/>
      <c r="K71" s="50"/>
      <c r="L71" s="51"/>
      <c r="M71" s="50">
        <f t="shared" si="2"/>
        <v>0</v>
      </c>
      <c r="N71" s="50"/>
      <c r="O71" s="31"/>
      <c r="P71" s="108">
        <v>20</v>
      </c>
      <c r="Q71" s="65">
        <v>107069.27</v>
      </c>
      <c r="R71" s="224">
        <v>15</v>
      </c>
      <c r="S71" s="50">
        <f t="shared" si="3"/>
        <v>73353.95</v>
      </c>
      <c r="T71" s="65">
        <v>73353.95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286</v>
      </c>
      <c r="G72" s="229" t="s">
        <v>28</v>
      </c>
      <c r="H72" s="56">
        <v>5</v>
      </c>
      <c r="I72" s="130">
        <v>1</v>
      </c>
      <c r="J72" s="130">
        <v>1</v>
      </c>
      <c r="K72" s="114">
        <v>1056.5999999999999</v>
      </c>
      <c r="L72" s="270">
        <v>1</v>
      </c>
      <c r="M72" s="43">
        <f t="shared" si="2"/>
        <v>1152.5999999999999</v>
      </c>
      <c r="N72" s="43">
        <f>1152.6</f>
        <v>1152.5999999999999</v>
      </c>
      <c r="O72" s="41"/>
      <c r="P72" s="113">
        <v>1</v>
      </c>
      <c r="Q72" s="114">
        <v>2881.5</v>
      </c>
      <c r="R72" s="270">
        <v>1</v>
      </c>
      <c r="S72" s="43">
        <f t="shared" si="3"/>
        <v>2881.5</v>
      </c>
      <c r="T72" s="114">
        <v>2881.5</v>
      </c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76</v>
      </c>
      <c r="C73" s="374" t="s">
        <v>39</v>
      </c>
      <c r="D73" s="374" t="s">
        <v>397</v>
      </c>
      <c r="E73" s="374" t="s">
        <v>77</v>
      </c>
      <c r="F73" s="232" t="s">
        <v>398</v>
      </c>
      <c r="G73" s="23" t="s">
        <v>24</v>
      </c>
      <c r="H73" s="61">
        <v>10</v>
      </c>
      <c r="I73" s="62">
        <v>9</v>
      </c>
      <c r="J73" s="62">
        <v>12</v>
      </c>
      <c r="K73" s="30">
        <v>34420.35</v>
      </c>
      <c r="L73" s="205">
        <v>12</v>
      </c>
      <c r="M73" s="26">
        <f t="shared" si="2"/>
        <v>34420.35</v>
      </c>
      <c r="N73" s="30">
        <v>34420.35</v>
      </c>
      <c r="O73" s="225"/>
      <c r="P73" s="29">
        <v>5</v>
      </c>
      <c r="Q73" s="30">
        <v>10539.19</v>
      </c>
      <c r="R73" s="205">
        <v>5</v>
      </c>
      <c r="S73" s="26">
        <f t="shared" si="3"/>
        <v>10539.19</v>
      </c>
      <c r="T73" s="30">
        <v>10539.19</v>
      </c>
      <c r="U73" s="225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220" t="s">
        <v>287</v>
      </c>
      <c r="G74" s="35" t="s">
        <v>28</v>
      </c>
      <c r="H74" s="117">
        <v>4</v>
      </c>
      <c r="I74" s="38"/>
      <c r="J74" s="38"/>
      <c r="K74" s="39"/>
      <c r="L74" s="40"/>
      <c r="M74" s="39">
        <f t="shared" si="2"/>
        <v>0</v>
      </c>
      <c r="N74" s="39"/>
      <c r="O74" s="41"/>
      <c r="P74" s="69"/>
      <c r="Q74" s="39"/>
      <c r="R74" s="40"/>
      <c r="S74" s="39">
        <f t="shared" si="3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78</v>
      </c>
      <c r="C75" s="381" t="s">
        <v>22</v>
      </c>
      <c r="D75" s="381"/>
      <c r="E75" s="374" t="s">
        <v>77</v>
      </c>
      <c r="F75" s="204" t="s">
        <v>408</v>
      </c>
      <c r="G75" s="47" t="s">
        <v>24</v>
      </c>
      <c r="H75" s="48">
        <v>2</v>
      </c>
      <c r="I75" s="203">
        <v>2</v>
      </c>
      <c r="J75" s="203">
        <v>3</v>
      </c>
      <c r="K75" s="65">
        <v>1661.67</v>
      </c>
      <c r="L75" s="224">
        <v>1</v>
      </c>
      <c r="M75" s="50">
        <f t="shared" si="2"/>
        <v>633.92999999999995</v>
      </c>
      <c r="N75" s="65">
        <v>633.92999999999995</v>
      </c>
      <c r="O75" s="225"/>
      <c r="P75" s="123"/>
      <c r="Q75" s="50"/>
      <c r="R75" s="51"/>
      <c r="S75" s="50">
        <f t="shared" si="3"/>
        <v>0</v>
      </c>
      <c r="T75" s="50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26"/>
      <c r="G76" s="55" t="s">
        <v>28</v>
      </c>
      <c r="H76" s="131"/>
      <c r="I76" s="57"/>
      <c r="J76" s="57"/>
      <c r="K76" s="43"/>
      <c r="L76" s="44"/>
      <c r="M76" s="43">
        <f t="shared" si="2"/>
        <v>0</v>
      </c>
      <c r="N76" s="43"/>
      <c r="O76" s="41"/>
      <c r="P76" s="103"/>
      <c r="Q76" s="43"/>
      <c r="R76" s="44"/>
      <c r="S76" s="43">
        <f t="shared" si="3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79</v>
      </c>
      <c r="C77" s="374" t="s">
        <v>22</v>
      </c>
      <c r="D77" s="374"/>
      <c r="E77" s="374" t="s">
        <v>50</v>
      </c>
      <c r="F77" s="204" t="s">
        <v>444</v>
      </c>
      <c r="G77" s="23" t="s">
        <v>24</v>
      </c>
      <c r="H77" s="61">
        <v>8</v>
      </c>
      <c r="I77" s="62">
        <v>6</v>
      </c>
      <c r="J77" s="62">
        <v>9</v>
      </c>
      <c r="K77" s="30">
        <v>14971.8</v>
      </c>
      <c r="L77" s="205">
        <v>9</v>
      </c>
      <c r="M77" s="26">
        <f t="shared" si="2"/>
        <v>14971.8</v>
      </c>
      <c r="N77" s="30">
        <v>14971.8</v>
      </c>
      <c r="O77" s="31"/>
      <c r="P77" s="53">
        <v>3</v>
      </c>
      <c r="Q77" s="30">
        <v>6335.58</v>
      </c>
      <c r="R77" s="205">
        <v>2</v>
      </c>
      <c r="S77" s="26">
        <f t="shared" si="3"/>
        <v>4729.9799999999996</v>
      </c>
      <c r="T77" s="30">
        <v>4729.9799999999996</v>
      </c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35" t="s">
        <v>25</v>
      </c>
      <c r="H78" s="117">
        <v>3</v>
      </c>
      <c r="I78" s="37">
        <v>2</v>
      </c>
      <c r="J78" s="37">
        <v>2</v>
      </c>
      <c r="K78" s="68">
        <v>1479.45</v>
      </c>
      <c r="L78" s="285">
        <v>2</v>
      </c>
      <c r="M78" s="68">
        <v>1479.45</v>
      </c>
      <c r="N78" s="68">
        <v>1479.45</v>
      </c>
      <c r="O78" s="41"/>
      <c r="P78" s="59"/>
      <c r="Q78" s="39"/>
      <c r="R78" s="40"/>
      <c r="S78" s="39">
        <f t="shared" si="3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82"/>
      <c r="B79" s="381" t="s">
        <v>80</v>
      </c>
      <c r="C79" s="381" t="s">
        <v>22</v>
      </c>
      <c r="D79" s="381"/>
      <c r="E79" s="381" t="s">
        <v>67</v>
      </c>
      <c r="F79" s="223" t="s">
        <v>399</v>
      </c>
      <c r="G79" s="47" t="s">
        <v>24</v>
      </c>
      <c r="H79" s="48">
        <v>11</v>
      </c>
      <c r="I79" s="203">
        <v>6</v>
      </c>
      <c r="J79" s="203">
        <v>9</v>
      </c>
      <c r="K79" s="158">
        <v>12064.84</v>
      </c>
      <c r="L79" s="224">
        <v>9</v>
      </c>
      <c r="M79" s="50">
        <f t="shared" ref="M79:M95" si="4">N79+O79</f>
        <v>12064.84</v>
      </c>
      <c r="N79" s="65">
        <v>12064.84</v>
      </c>
      <c r="O79" s="225"/>
      <c r="P79" s="108">
        <v>10</v>
      </c>
      <c r="Q79" s="65">
        <v>40632.5</v>
      </c>
      <c r="R79" s="224">
        <v>10</v>
      </c>
      <c r="S79" s="50">
        <f t="shared" si="3"/>
        <v>40632.5</v>
      </c>
      <c r="T79" s="65">
        <v>40632.5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9"/>
      <c r="B80" s="380"/>
      <c r="C80" s="380"/>
      <c r="D80" s="380"/>
      <c r="E80" s="380"/>
      <c r="F80" s="226"/>
      <c r="G80" s="227" t="s">
        <v>28</v>
      </c>
      <c r="H80" s="118"/>
      <c r="I80" s="57"/>
      <c r="J80" s="57"/>
      <c r="L80" s="44"/>
      <c r="M80" s="43">
        <f t="shared" si="4"/>
        <v>0</v>
      </c>
      <c r="N80" s="43"/>
      <c r="O80" s="41"/>
      <c r="P80" s="103"/>
      <c r="Q80" s="43"/>
      <c r="R80" s="44"/>
      <c r="S80" s="43">
        <f t="shared" si="3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81</v>
      </c>
      <c r="C81" s="374" t="s">
        <v>39</v>
      </c>
      <c r="D81" s="374" t="s">
        <v>224</v>
      </c>
      <c r="E81" s="374" t="s">
        <v>65</v>
      </c>
      <c r="F81" s="204" t="s">
        <v>225</v>
      </c>
      <c r="G81" s="176" t="s">
        <v>24</v>
      </c>
      <c r="H81" s="248">
        <v>36</v>
      </c>
      <c r="I81" s="62">
        <v>32</v>
      </c>
      <c r="J81" s="62">
        <v>48</v>
      </c>
      <c r="K81" s="30">
        <v>91477.55</v>
      </c>
      <c r="L81" s="205">
        <v>48</v>
      </c>
      <c r="M81" s="26">
        <f t="shared" si="4"/>
        <v>91477.55</v>
      </c>
      <c r="N81" s="30">
        <v>91477.55</v>
      </c>
      <c r="O81" s="225"/>
      <c r="P81" s="29">
        <v>24</v>
      </c>
      <c r="Q81" s="30">
        <v>80699.88</v>
      </c>
      <c r="R81" s="205">
        <v>24</v>
      </c>
      <c r="S81" s="26">
        <f t="shared" si="3"/>
        <v>80699.88</v>
      </c>
      <c r="T81" s="30">
        <v>80699.88</v>
      </c>
      <c r="U81" s="225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282" t="s">
        <v>28</v>
      </c>
      <c r="H82" s="283"/>
      <c r="I82" s="261"/>
      <c r="J82" s="261"/>
      <c r="K82" s="211"/>
      <c r="L82" s="210"/>
      <c r="M82" s="211">
        <f t="shared" si="4"/>
        <v>0</v>
      </c>
      <c r="N82" s="211"/>
      <c r="O82" s="212"/>
      <c r="P82" s="284"/>
      <c r="Q82" s="211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365</v>
      </c>
      <c r="C83" s="374" t="s">
        <v>39</v>
      </c>
      <c r="D83" s="378" t="s">
        <v>409</v>
      </c>
      <c r="E83" s="374" t="s">
        <v>65</v>
      </c>
      <c r="F83" s="232" t="s">
        <v>410</v>
      </c>
      <c r="G83" s="213" t="s">
        <v>24</v>
      </c>
      <c r="H83" s="24">
        <v>6</v>
      </c>
      <c r="I83" s="62">
        <v>4</v>
      </c>
      <c r="J83" s="62">
        <v>4</v>
      </c>
      <c r="K83" s="30">
        <v>6490.05</v>
      </c>
      <c r="L83" s="205">
        <v>3</v>
      </c>
      <c r="M83" s="26">
        <f t="shared" si="4"/>
        <v>4115.55</v>
      </c>
      <c r="N83" s="30">
        <v>4115.55</v>
      </c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47"/>
      <c r="G84" s="279" t="s">
        <v>28</v>
      </c>
      <c r="H84" s="207">
        <v>4</v>
      </c>
      <c r="I84" s="208">
        <v>1</v>
      </c>
      <c r="J84" s="208">
        <v>1</v>
      </c>
      <c r="K84" s="209">
        <v>2305.1999999999998</v>
      </c>
      <c r="L84" s="290">
        <v>1</v>
      </c>
      <c r="M84" s="211">
        <f t="shared" si="4"/>
        <v>2305.1999999999998</v>
      </c>
      <c r="N84" s="211">
        <f>2305.2</f>
        <v>2305.1999999999998</v>
      </c>
      <c r="O84" s="212"/>
      <c r="P84" s="280"/>
      <c r="Q84" s="209"/>
      <c r="R84" s="210"/>
      <c r="S84" s="211">
        <f t="shared" si="3"/>
        <v>0</v>
      </c>
      <c r="T84" s="211"/>
      <c r="U84" s="212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400</v>
      </c>
      <c r="C85" s="374" t="s">
        <v>22</v>
      </c>
      <c r="D85" s="378"/>
      <c r="E85" s="374" t="s">
        <v>401</v>
      </c>
      <c r="F85" s="204" t="s">
        <v>402</v>
      </c>
      <c r="G85" s="213" t="s">
        <v>24</v>
      </c>
      <c r="H85" s="24"/>
      <c r="I85" s="62"/>
      <c r="J85" s="62"/>
      <c r="K85" s="30"/>
      <c r="L85" s="27"/>
      <c r="M85" s="26">
        <f t="shared" si="4"/>
        <v>0</v>
      </c>
      <c r="N85" s="26"/>
      <c r="O85" s="28"/>
      <c r="P85" s="214"/>
      <c r="Q85" s="30"/>
      <c r="R85" s="27"/>
      <c r="S85" s="26">
        <f t="shared" si="3"/>
        <v>0</v>
      </c>
      <c r="T85" s="26"/>
      <c r="U85" s="2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34"/>
      <c r="G86" s="215" t="s">
        <v>28</v>
      </c>
      <c r="H86" s="66"/>
      <c r="I86" s="37"/>
      <c r="J86" s="37"/>
      <c r="K86" s="68"/>
      <c r="L86" s="40"/>
      <c r="M86" s="39">
        <f t="shared" si="4"/>
        <v>0</v>
      </c>
      <c r="N86" s="39"/>
      <c r="O86" s="41"/>
      <c r="P86" s="217"/>
      <c r="Q86" s="68"/>
      <c r="R86" s="40"/>
      <c r="S86" s="39">
        <f t="shared" si="3"/>
        <v>0</v>
      </c>
      <c r="T86" s="39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6"/>
      <c r="B87" s="377" t="s">
        <v>82</v>
      </c>
      <c r="C87" s="377" t="s">
        <v>22</v>
      </c>
      <c r="D87" s="400"/>
      <c r="E87" s="377" t="s">
        <v>83</v>
      </c>
      <c r="F87" s="223" t="s">
        <v>404</v>
      </c>
      <c r="G87" s="95" t="s">
        <v>24</v>
      </c>
      <c r="H87" s="281">
        <v>10</v>
      </c>
      <c r="I87" s="266">
        <v>8</v>
      </c>
      <c r="J87" s="266">
        <v>13</v>
      </c>
      <c r="K87" s="79">
        <v>22197.56</v>
      </c>
      <c r="L87" s="268">
        <v>13</v>
      </c>
      <c r="M87" s="81">
        <f t="shared" si="4"/>
        <v>22197.56</v>
      </c>
      <c r="N87" s="79">
        <v>22197.56</v>
      </c>
      <c r="O87" s="269"/>
      <c r="P87" s="267">
        <v>10</v>
      </c>
      <c r="Q87" s="79">
        <v>23116.35</v>
      </c>
      <c r="R87" s="268">
        <v>9</v>
      </c>
      <c r="S87" s="81">
        <f t="shared" si="3"/>
        <v>22011.75</v>
      </c>
      <c r="T87" s="79">
        <v>22011.75</v>
      </c>
      <c r="U87" s="269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54"/>
      <c r="G88" s="55" t="s">
        <v>25</v>
      </c>
      <c r="H88" s="121">
        <v>2</v>
      </c>
      <c r="I88" s="130">
        <v>1</v>
      </c>
      <c r="J88" s="130">
        <v>1</v>
      </c>
      <c r="K88" s="114">
        <v>1344.7</v>
      </c>
      <c r="L88" s="270">
        <v>1</v>
      </c>
      <c r="M88" s="43">
        <f t="shared" si="4"/>
        <v>1344.7</v>
      </c>
      <c r="N88" s="114">
        <v>1344.7</v>
      </c>
      <c r="O88" s="234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84</v>
      </c>
      <c r="C89" s="374"/>
      <c r="D89" s="378"/>
      <c r="E89" s="374"/>
      <c r="F89" s="60"/>
      <c r="G89" s="23" t="s">
        <v>24</v>
      </c>
      <c r="H89" s="119"/>
      <c r="I89" s="25"/>
      <c r="J89" s="25"/>
      <c r="K89" s="26"/>
      <c r="L89" s="27"/>
      <c r="M89" s="26">
        <f t="shared" si="4"/>
        <v>0</v>
      </c>
      <c r="N89" s="26"/>
      <c r="O89" s="31"/>
      <c r="P89" s="120"/>
      <c r="Q89" s="26"/>
      <c r="R89" s="27"/>
      <c r="S89" s="26">
        <f t="shared" si="3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132"/>
      <c r="G90" s="35" t="s">
        <v>28</v>
      </c>
      <c r="H90" s="36"/>
      <c r="I90" s="38"/>
      <c r="J90" s="38"/>
      <c r="K90" s="39"/>
      <c r="L90" s="40"/>
      <c r="M90" s="39">
        <f t="shared" si="4"/>
        <v>0</v>
      </c>
      <c r="N90" s="39"/>
      <c r="O90" s="41"/>
      <c r="P90" s="69"/>
      <c r="Q90" s="39"/>
      <c r="R90" s="40"/>
      <c r="S90" s="39">
        <f t="shared" si="3"/>
        <v>0</v>
      </c>
      <c r="T90" s="39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82"/>
      <c r="B91" s="381" t="s">
        <v>85</v>
      </c>
      <c r="C91" s="381" t="s">
        <v>22</v>
      </c>
      <c r="D91" s="385"/>
      <c r="E91" s="381" t="s">
        <v>27</v>
      </c>
      <c r="F91" s="127"/>
      <c r="G91" s="47" t="s">
        <v>24</v>
      </c>
      <c r="H91" s="98"/>
      <c r="I91" s="49"/>
      <c r="J91" s="49"/>
      <c r="K91" s="50"/>
      <c r="L91" s="51"/>
      <c r="M91" s="50">
        <f t="shared" si="4"/>
        <v>0</v>
      </c>
      <c r="N91" s="50"/>
      <c r="O91" s="31"/>
      <c r="P91" s="108">
        <v>1</v>
      </c>
      <c r="Q91" s="65">
        <v>405.02</v>
      </c>
      <c r="R91" s="51"/>
      <c r="S91" s="50">
        <f t="shared" si="3"/>
        <v>0</v>
      </c>
      <c r="T91" s="50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26"/>
      <c r="G92" s="227" t="s">
        <v>28</v>
      </c>
      <c r="H92" s="116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86</v>
      </c>
      <c r="C93" s="374" t="s">
        <v>39</v>
      </c>
      <c r="D93" s="374" t="s">
        <v>266</v>
      </c>
      <c r="E93" s="374" t="s">
        <v>23</v>
      </c>
      <c r="F93" s="204" t="s">
        <v>267</v>
      </c>
      <c r="G93" s="176" t="s">
        <v>24</v>
      </c>
      <c r="H93" s="151">
        <v>2</v>
      </c>
      <c r="I93" s="25"/>
      <c r="J93" s="25"/>
      <c r="K93" s="26"/>
      <c r="L93" s="27"/>
      <c r="M93" s="26">
        <f t="shared" si="4"/>
        <v>0</v>
      </c>
      <c r="N93" s="26"/>
      <c r="O93" s="31"/>
      <c r="P93" s="53">
        <v>8</v>
      </c>
      <c r="Q93" s="30">
        <v>23413.73</v>
      </c>
      <c r="R93" s="205">
        <v>8</v>
      </c>
      <c r="S93" s="26">
        <f t="shared" si="3"/>
        <v>23413.73</v>
      </c>
      <c r="T93" s="30">
        <v>23413.73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25</v>
      </c>
      <c r="H94" s="118"/>
      <c r="I94" s="57"/>
      <c r="J94" s="57"/>
      <c r="K94" s="43"/>
      <c r="L94" s="44"/>
      <c r="M94" s="43">
        <f t="shared" si="4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87</v>
      </c>
      <c r="C95" s="374" t="s">
        <v>39</v>
      </c>
      <c r="D95" s="374" t="s">
        <v>88</v>
      </c>
      <c r="E95" s="374" t="s">
        <v>89</v>
      </c>
      <c r="F95" s="232" t="s">
        <v>268</v>
      </c>
      <c r="G95" s="23" t="s">
        <v>24</v>
      </c>
      <c r="H95" s="61">
        <v>15</v>
      </c>
      <c r="I95" s="62">
        <v>12</v>
      </c>
      <c r="J95" s="62">
        <v>17</v>
      </c>
      <c r="K95" s="30">
        <v>29987.31</v>
      </c>
      <c r="L95" s="205">
        <v>17</v>
      </c>
      <c r="M95" s="26">
        <f t="shared" si="4"/>
        <v>29987.31</v>
      </c>
      <c r="N95" s="30">
        <v>29987.31</v>
      </c>
      <c r="O95" s="31"/>
      <c r="P95" s="53">
        <v>10</v>
      </c>
      <c r="Q95" s="30">
        <v>37366.67</v>
      </c>
      <c r="R95" s="205">
        <v>10</v>
      </c>
      <c r="S95" s="26">
        <f t="shared" si="3"/>
        <v>37366.67</v>
      </c>
      <c r="T95" s="30">
        <v>37366.67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290</v>
      </c>
      <c r="G96" s="35" t="s">
        <v>25</v>
      </c>
      <c r="H96" s="117">
        <v>7</v>
      </c>
      <c r="I96" s="37">
        <v>5</v>
      </c>
      <c r="J96" s="37">
        <v>5</v>
      </c>
      <c r="K96" s="68">
        <v>8538.9599999999991</v>
      </c>
      <c r="L96" s="285">
        <v>5</v>
      </c>
      <c r="M96" s="68">
        <v>8538.9599999999991</v>
      </c>
      <c r="N96" s="68">
        <v>8538.9599999999991</v>
      </c>
      <c r="O96" s="234"/>
      <c r="P96" s="115">
        <v>7</v>
      </c>
      <c r="Q96" s="68">
        <v>19517.39</v>
      </c>
      <c r="R96" s="285">
        <v>7</v>
      </c>
      <c r="S96" s="68">
        <v>19517.36</v>
      </c>
      <c r="T96" s="68">
        <v>19517.36</v>
      </c>
      <c r="U96" s="23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90</v>
      </c>
      <c r="C97" s="374" t="s">
        <v>39</v>
      </c>
      <c r="D97" s="374" t="s">
        <v>91</v>
      </c>
      <c r="E97" s="374" t="s">
        <v>27</v>
      </c>
      <c r="F97" s="204" t="s">
        <v>291</v>
      </c>
      <c r="G97" s="176" t="s">
        <v>24</v>
      </c>
      <c r="H97" s="48">
        <v>5</v>
      </c>
      <c r="I97" s="203">
        <v>2</v>
      </c>
      <c r="J97" s="203">
        <v>2</v>
      </c>
      <c r="K97" s="65">
        <v>2539.56</v>
      </c>
      <c r="L97" s="224">
        <v>2</v>
      </c>
      <c r="M97" s="50">
        <f>N97+O97</f>
        <v>2539.56</v>
      </c>
      <c r="N97" s="65">
        <v>2539.56</v>
      </c>
      <c r="O97" s="31"/>
      <c r="P97" s="108">
        <v>8</v>
      </c>
      <c r="Q97" s="65">
        <v>93924.24</v>
      </c>
      <c r="R97" s="224">
        <v>8</v>
      </c>
      <c r="S97" s="50">
        <f t="shared" ref="S97:S103" si="5">T97+U97</f>
        <v>93924.24</v>
      </c>
      <c r="T97" s="65">
        <v>93924.24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229</v>
      </c>
      <c r="G98" s="229" t="s">
        <v>28</v>
      </c>
      <c r="H98" s="133">
        <v>4</v>
      </c>
      <c r="I98" s="130">
        <v>1</v>
      </c>
      <c r="J98" s="130">
        <v>1</v>
      </c>
      <c r="K98" s="114">
        <v>1344.7</v>
      </c>
      <c r="L98" s="270">
        <v>1</v>
      </c>
      <c r="M98" s="114">
        <v>1344.7</v>
      </c>
      <c r="N98" s="114">
        <v>1344.7</v>
      </c>
      <c r="O98" s="41"/>
      <c r="P98" s="113">
        <v>1</v>
      </c>
      <c r="Q98" s="114">
        <v>1404.9</v>
      </c>
      <c r="R98" s="44"/>
      <c r="S98" s="43">
        <f t="shared" si="5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92</v>
      </c>
      <c r="C99" s="374" t="s">
        <v>22</v>
      </c>
      <c r="D99" s="374"/>
      <c r="E99" s="374" t="s">
        <v>27</v>
      </c>
      <c r="F99" s="232" t="s">
        <v>269</v>
      </c>
      <c r="G99" s="23" t="s">
        <v>24</v>
      </c>
      <c r="H99" s="151">
        <v>4</v>
      </c>
      <c r="I99" s="62">
        <v>3</v>
      </c>
      <c r="J99" s="62">
        <v>3</v>
      </c>
      <c r="K99" s="30">
        <v>7389.22</v>
      </c>
      <c r="L99" s="205">
        <v>2</v>
      </c>
      <c r="M99" s="26">
        <f t="shared" ref="M99:M103" si="6">N99+O99</f>
        <v>6064.6</v>
      </c>
      <c r="N99" s="30">
        <v>6064.6</v>
      </c>
      <c r="O99" s="31"/>
      <c r="P99" s="53">
        <v>8</v>
      </c>
      <c r="Q99" s="30">
        <v>39013.760000000002</v>
      </c>
      <c r="R99" s="205">
        <v>7</v>
      </c>
      <c r="S99" s="26">
        <f t="shared" si="5"/>
        <v>37669.07</v>
      </c>
      <c r="T99" s="30">
        <v>37669.07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9"/>
      <c r="B100" s="380"/>
      <c r="C100" s="380"/>
      <c r="D100" s="380"/>
      <c r="E100" s="380"/>
      <c r="F100" s="233" t="s">
        <v>230</v>
      </c>
      <c r="G100" s="227" t="s">
        <v>28</v>
      </c>
      <c r="H100" s="133">
        <v>2</v>
      </c>
      <c r="I100" s="130">
        <v>2</v>
      </c>
      <c r="J100" s="130">
        <v>2</v>
      </c>
      <c r="K100" s="114">
        <v>1756.5</v>
      </c>
      <c r="L100" s="270">
        <v>2</v>
      </c>
      <c r="M100" s="43">
        <f t="shared" si="6"/>
        <v>1780.5</v>
      </c>
      <c r="N100" s="43">
        <f>576.3+1204.2</f>
        <v>1780.5</v>
      </c>
      <c r="O100" s="41"/>
      <c r="P100" s="103"/>
      <c r="Q100" s="43"/>
      <c r="R100" s="44"/>
      <c r="S100" s="43">
        <f t="shared" si="5"/>
        <v>0</v>
      </c>
      <c r="T100" s="43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93</v>
      </c>
      <c r="C101" s="374" t="s">
        <v>22</v>
      </c>
      <c r="D101" s="374"/>
      <c r="E101" s="374" t="s">
        <v>27</v>
      </c>
      <c r="F101" s="204" t="s">
        <v>412</v>
      </c>
      <c r="G101" s="176" t="s">
        <v>24</v>
      </c>
      <c r="H101" s="151">
        <v>3</v>
      </c>
      <c r="I101" s="62">
        <v>2</v>
      </c>
      <c r="J101" s="62">
        <v>3</v>
      </c>
      <c r="K101" s="30">
        <v>4738.63</v>
      </c>
      <c r="L101" s="205">
        <v>3</v>
      </c>
      <c r="M101" s="26">
        <f t="shared" si="6"/>
        <v>4738.63</v>
      </c>
      <c r="N101" s="30">
        <v>4738.63</v>
      </c>
      <c r="O101" s="225"/>
      <c r="P101" s="53">
        <v>3</v>
      </c>
      <c r="Q101" s="30">
        <v>15479.57</v>
      </c>
      <c r="R101" s="205">
        <v>3</v>
      </c>
      <c r="S101" s="26">
        <f t="shared" si="5"/>
        <v>15479.57</v>
      </c>
      <c r="T101" s="30">
        <v>15479.57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105"/>
      <c r="G102" s="229" t="s">
        <v>28</v>
      </c>
      <c r="H102" s="116"/>
      <c r="I102" s="57"/>
      <c r="J102" s="57"/>
      <c r="K102" s="43"/>
      <c r="L102" s="44"/>
      <c r="M102" s="43">
        <f t="shared" si="6"/>
        <v>0</v>
      </c>
      <c r="N102" s="43"/>
      <c r="O102" s="41"/>
      <c r="P102" s="103"/>
      <c r="Q102" s="43"/>
      <c r="R102" s="44"/>
      <c r="S102" s="43">
        <f t="shared" si="5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94</v>
      </c>
      <c r="C103" s="374" t="s">
        <v>39</v>
      </c>
      <c r="D103" s="374" t="s">
        <v>95</v>
      </c>
      <c r="E103" s="374" t="s">
        <v>96</v>
      </c>
      <c r="F103" s="204" t="s">
        <v>292</v>
      </c>
      <c r="G103" s="176" t="s">
        <v>24</v>
      </c>
      <c r="H103" s="48">
        <v>6</v>
      </c>
      <c r="I103" s="62">
        <v>4</v>
      </c>
      <c r="J103" s="62">
        <v>5</v>
      </c>
      <c r="K103" s="30">
        <v>15598.88</v>
      </c>
      <c r="L103" s="205">
        <v>5</v>
      </c>
      <c r="M103" s="26">
        <f t="shared" si="6"/>
        <v>15598.88</v>
      </c>
      <c r="N103" s="30">
        <v>15598.88</v>
      </c>
      <c r="O103" s="31"/>
      <c r="P103" s="53">
        <v>23</v>
      </c>
      <c r="Q103" s="30">
        <v>58950.239999999998</v>
      </c>
      <c r="R103" s="205">
        <v>23</v>
      </c>
      <c r="S103" s="26">
        <f t="shared" si="5"/>
        <v>58950.239999999998</v>
      </c>
      <c r="T103" s="30">
        <v>58950.239999999998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293</v>
      </c>
      <c r="G104" s="307" t="s">
        <v>25</v>
      </c>
      <c r="H104" s="112">
        <v>7</v>
      </c>
      <c r="I104" s="130">
        <v>7</v>
      </c>
      <c r="J104" s="130">
        <v>7</v>
      </c>
      <c r="K104" s="114">
        <v>9494.5</v>
      </c>
      <c r="L104" s="270">
        <v>7</v>
      </c>
      <c r="M104" s="114">
        <v>9494.5</v>
      </c>
      <c r="N104" s="114">
        <v>9494.5</v>
      </c>
      <c r="O104" s="234"/>
      <c r="P104" s="113">
        <v>10</v>
      </c>
      <c r="Q104" s="114">
        <v>23572.240000000002</v>
      </c>
      <c r="R104" s="270">
        <v>8</v>
      </c>
      <c r="S104" s="114">
        <v>20762.439999999999</v>
      </c>
      <c r="T104" s="114">
        <v>20762.439999999999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97</v>
      </c>
      <c r="C105" s="374" t="s">
        <v>22</v>
      </c>
      <c r="D105" s="374"/>
      <c r="E105" s="374" t="s">
        <v>27</v>
      </c>
      <c r="F105" s="232" t="s">
        <v>406</v>
      </c>
      <c r="G105" s="176" t="s">
        <v>24</v>
      </c>
      <c r="H105" s="248">
        <v>7</v>
      </c>
      <c r="I105" s="62">
        <v>6</v>
      </c>
      <c r="J105" s="62">
        <v>6</v>
      </c>
      <c r="K105" s="30">
        <v>4786.25</v>
      </c>
      <c r="L105" s="205">
        <v>6</v>
      </c>
      <c r="M105" s="26">
        <f t="shared" ref="M105:M120" si="7">N105+O105</f>
        <v>4786.25</v>
      </c>
      <c r="N105" s="30">
        <v>4786.25</v>
      </c>
      <c r="O105" s="225"/>
      <c r="P105" s="53">
        <v>7</v>
      </c>
      <c r="Q105" s="30">
        <v>12035.94</v>
      </c>
      <c r="R105" s="205">
        <v>7</v>
      </c>
      <c r="S105" s="26">
        <f t="shared" ref="S105:S136" si="8">T105+U105</f>
        <v>12035.94</v>
      </c>
      <c r="T105" s="30">
        <v>12035.94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294</v>
      </c>
      <c r="G106" s="229" t="s">
        <v>28</v>
      </c>
      <c r="H106" s="251">
        <v>6</v>
      </c>
      <c r="I106" s="208">
        <v>4</v>
      </c>
      <c r="J106" s="208">
        <v>4</v>
      </c>
      <c r="K106" s="209">
        <v>5955.1</v>
      </c>
      <c r="L106" s="290">
        <v>4</v>
      </c>
      <c r="M106" s="211">
        <f t="shared" si="7"/>
        <v>5955.0999999999995</v>
      </c>
      <c r="N106" s="209">
        <f>1344.7+3265.7+1344.7</f>
        <v>5955.0999999999995</v>
      </c>
      <c r="O106" s="212"/>
      <c r="P106" s="103"/>
      <c r="Q106" s="43"/>
      <c r="R106" s="270">
        <v>1</v>
      </c>
      <c r="S106" s="43">
        <f t="shared" si="8"/>
        <v>2209.15</v>
      </c>
      <c r="T106" s="114">
        <v>2209.15</v>
      </c>
      <c r="U106" s="23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6"/>
      <c r="B107" s="377" t="s">
        <v>98</v>
      </c>
      <c r="C107" s="377" t="s">
        <v>39</v>
      </c>
      <c r="D107" s="377" t="s">
        <v>270</v>
      </c>
      <c r="E107" s="377" t="s">
        <v>99</v>
      </c>
      <c r="F107" s="232" t="s">
        <v>271</v>
      </c>
      <c r="G107" s="73" t="s">
        <v>24</v>
      </c>
      <c r="H107" s="24">
        <v>11</v>
      </c>
      <c r="I107" s="62">
        <v>8</v>
      </c>
      <c r="J107" s="62">
        <v>11</v>
      </c>
      <c r="K107" s="30">
        <v>21963.53</v>
      </c>
      <c r="L107" s="205">
        <v>9</v>
      </c>
      <c r="M107" s="26">
        <f t="shared" si="7"/>
        <v>18370.830000000002</v>
      </c>
      <c r="N107" s="30">
        <v>18370.830000000002</v>
      </c>
      <c r="O107" s="241"/>
      <c r="P107" s="214">
        <v>13</v>
      </c>
      <c r="Q107" s="30">
        <v>57575.81</v>
      </c>
      <c r="R107" s="205">
        <v>12</v>
      </c>
      <c r="S107" s="26">
        <f t="shared" si="8"/>
        <v>50650.69</v>
      </c>
      <c r="T107" s="30">
        <v>50650.69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295</v>
      </c>
      <c r="G108" s="215" t="s">
        <v>28</v>
      </c>
      <c r="H108" s="66">
        <v>7</v>
      </c>
      <c r="I108" s="286">
        <v>5</v>
      </c>
      <c r="J108" s="286">
        <v>5</v>
      </c>
      <c r="K108" s="287">
        <v>11331</v>
      </c>
      <c r="L108" s="315">
        <v>5</v>
      </c>
      <c r="M108" s="39">
        <f t="shared" si="7"/>
        <v>11331</v>
      </c>
      <c r="N108" s="39">
        <f>1921+3073.6+1921+3010.5+1404.9</f>
        <v>11331</v>
      </c>
      <c r="O108" s="41"/>
      <c r="P108" s="217">
        <v>3</v>
      </c>
      <c r="Q108" s="37">
        <v>7587.95</v>
      </c>
      <c r="R108" s="285">
        <v>3</v>
      </c>
      <c r="S108" s="39">
        <f t="shared" si="8"/>
        <v>8740.5499999999993</v>
      </c>
      <c r="T108" s="68">
        <f>1056.55+3457.8+4226.2</f>
        <v>8740.5499999999993</v>
      </c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100</v>
      </c>
      <c r="C109" s="374" t="s">
        <v>39</v>
      </c>
      <c r="D109" s="381" t="s">
        <v>296</v>
      </c>
      <c r="E109" s="381" t="s">
        <v>27</v>
      </c>
      <c r="F109" s="223" t="s">
        <v>297</v>
      </c>
      <c r="G109" s="47" t="s">
        <v>24</v>
      </c>
      <c r="H109" s="218"/>
      <c r="I109" s="96"/>
      <c r="J109" s="96"/>
      <c r="K109" s="81"/>
      <c r="L109" s="80"/>
      <c r="M109" s="81">
        <f t="shared" si="7"/>
        <v>0</v>
      </c>
      <c r="N109" s="81"/>
      <c r="O109" s="219"/>
      <c r="P109" s="108">
        <v>5</v>
      </c>
      <c r="Q109" s="65">
        <v>33607.81</v>
      </c>
      <c r="R109" s="224">
        <v>4</v>
      </c>
      <c r="S109" s="50">
        <f t="shared" si="8"/>
        <v>17684.7</v>
      </c>
      <c r="T109" s="65">
        <v>17684.7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3"/>
      <c r="B110" s="375"/>
      <c r="C110" s="375"/>
      <c r="D110" s="375"/>
      <c r="E110" s="375"/>
      <c r="F110" s="220" t="s">
        <v>298</v>
      </c>
      <c r="G110" s="35" t="s">
        <v>28</v>
      </c>
      <c r="H110" s="133">
        <v>5</v>
      </c>
      <c r="I110" s="37">
        <v>1</v>
      </c>
      <c r="J110" s="37">
        <v>1</v>
      </c>
      <c r="K110" s="68">
        <v>864.45</v>
      </c>
      <c r="L110" s="285">
        <v>1</v>
      </c>
      <c r="M110" s="39">
        <f t="shared" si="7"/>
        <v>864.15</v>
      </c>
      <c r="N110" s="39">
        <f>864.15</f>
        <v>864.15</v>
      </c>
      <c r="O110" s="41"/>
      <c r="P110" s="115">
        <v>1</v>
      </c>
      <c r="Q110" s="68">
        <v>1152.5999999999999</v>
      </c>
      <c r="R110" s="40"/>
      <c r="S110" s="39">
        <f t="shared" si="8"/>
        <v>0</v>
      </c>
      <c r="T110" s="39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82"/>
      <c r="B111" s="381" t="s">
        <v>102</v>
      </c>
      <c r="C111" s="381" t="s">
        <v>22</v>
      </c>
      <c r="D111" s="381"/>
      <c r="E111" s="381" t="s">
        <v>67</v>
      </c>
      <c r="F111" s="223" t="s">
        <v>272</v>
      </c>
      <c r="G111" s="23" t="s">
        <v>24</v>
      </c>
      <c r="H111" s="48">
        <v>7</v>
      </c>
      <c r="I111" s="203">
        <v>5</v>
      </c>
      <c r="J111" s="203">
        <v>6</v>
      </c>
      <c r="K111" s="65">
        <v>10235.59</v>
      </c>
      <c r="L111" s="224">
        <v>6</v>
      </c>
      <c r="M111" s="50">
        <f t="shared" si="7"/>
        <v>10235.59</v>
      </c>
      <c r="N111" s="65">
        <v>10235.59</v>
      </c>
      <c r="O111" s="225"/>
      <c r="P111" s="108">
        <v>9</v>
      </c>
      <c r="Q111" s="65">
        <v>19656.830000000002</v>
      </c>
      <c r="R111" s="224">
        <v>9</v>
      </c>
      <c r="S111" s="50">
        <f t="shared" si="8"/>
        <v>19656.830000000002</v>
      </c>
      <c r="T111" s="65">
        <v>19656.830000000002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9"/>
      <c r="B112" s="380"/>
      <c r="C112" s="380"/>
      <c r="D112" s="380"/>
      <c r="E112" s="380"/>
      <c r="F112" s="220" t="s">
        <v>299</v>
      </c>
      <c r="G112" s="55" t="s">
        <v>28</v>
      </c>
      <c r="H112" s="153">
        <v>8</v>
      </c>
      <c r="I112" s="130">
        <v>2</v>
      </c>
      <c r="J112" s="130">
        <v>2</v>
      </c>
      <c r="K112" s="114">
        <v>2443.1999999999998</v>
      </c>
      <c r="L112" s="316">
        <v>4</v>
      </c>
      <c r="M112" s="50">
        <f t="shared" si="7"/>
        <v>4428.0999999999995</v>
      </c>
      <c r="N112" s="43">
        <f>1290.6+1152.6+1290.6+694.3</f>
        <v>4428.0999999999995</v>
      </c>
      <c r="O112" s="41"/>
      <c r="P112" s="113">
        <v>3</v>
      </c>
      <c r="Q112" s="114">
        <v>14347.1</v>
      </c>
      <c r="R112" s="270">
        <v>4</v>
      </c>
      <c r="S112" s="43">
        <f t="shared" si="8"/>
        <v>19149.900000000001</v>
      </c>
      <c r="T112" s="114">
        <f>4358.2+3649.9+4802.5+6339.3</f>
        <v>19149.900000000001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103</v>
      </c>
      <c r="C113" s="374" t="s">
        <v>22</v>
      </c>
      <c r="D113" s="374"/>
      <c r="E113" s="374" t="s">
        <v>67</v>
      </c>
      <c r="F113" s="232" t="s">
        <v>407</v>
      </c>
      <c r="G113" s="23" t="s">
        <v>24</v>
      </c>
      <c r="H113" s="48">
        <v>6</v>
      </c>
      <c r="I113" s="62">
        <v>4</v>
      </c>
      <c r="J113" s="62">
        <v>5</v>
      </c>
      <c r="K113" s="30">
        <v>8528</v>
      </c>
      <c r="L113" s="205">
        <v>5</v>
      </c>
      <c r="M113" s="26">
        <f t="shared" si="7"/>
        <v>8528</v>
      </c>
      <c r="N113" s="30">
        <v>8528</v>
      </c>
      <c r="O113" s="225"/>
      <c r="P113" s="53">
        <v>6</v>
      </c>
      <c r="Q113" s="30">
        <v>12782.06</v>
      </c>
      <c r="R113" s="205">
        <v>6</v>
      </c>
      <c r="S113" s="26">
        <f t="shared" si="8"/>
        <v>12782.06</v>
      </c>
      <c r="T113" s="30">
        <v>12782.06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220" t="s">
        <v>300</v>
      </c>
      <c r="G114" s="35" t="s">
        <v>28</v>
      </c>
      <c r="H114" s="133">
        <v>6</v>
      </c>
      <c r="I114" s="37">
        <v>5</v>
      </c>
      <c r="J114" s="37">
        <v>6</v>
      </c>
      <c r="K114" s="68">
        <v>12151</v>
      </c>
      <c r="L114" s="285">
        <v>2</v>
      </c>
      <c r="M114" s="39">
        <f t="shared" si="7"/>
        <v>4934.5</v>
      </c>
      <c r="N114" s="39">
        <f>1580.8+3353.7</f>
        <v>4934.5</v>
      </c>
      <c r="O114" s="41"/>
      <c r="P114" s="115">
        <v>2</v>
      </c>
      <c r="Q114" s="68">
        <v>3490.8</v>
      </c>
      <c r="R114" s="285">
        <v>3</v>
      </c>
      <c r="S114" s="39">
        <f t="shared" si="8"/>
        <v>8836.6</v>
      </c>
      <c r="T114" s="39">
        <f>5378.8+1344.7+2113.1</f>
        <v>8836.6</v>
      </c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104</v>
      </c>
      <c r="C115" s="374" t="s">
        <v>39</v>
      </c>
      <c r="D115" s="374" t="s">
        <v>301</v>
      </c>
      <c r="E115" s="374" t="s">
        <v>27</v>
      </c>
      <c r="F115" s="204" t="s">
        <v>302</v>
      </c>
      <c r="G115" s="176" t="s">
        <v>24</v>
      </c>
      <c r="H115" s="48">
        <v>22</v>
      </c>
      <c r="I115" s="203">
        <v>14</v>
      </c>
      <c r="J115" s="203">
        <v>15</v>
      </c>
      <c r="K115" s="65">
        <v>38208.519999999997</v>
      </c>
      <c r="L115" s="224">
        <v>9</v>
      </c>
      <c r="M115" s="50">
        <f t="shared" si="7"/>
        <v>21370</v>
      </c>
      <c r="N115" s="65">
        <v>21370</v>
      </c>
      <c r="O115" s="225"/>
      <c r="P115" s="108">
        <v>20</v>
      </c>
      <c r="Q115" s="65">
        <v>59066.38</v>
      </c>
      <c r="R115" s="224">
        <v>16</v>
      </c>
      <c r="S115" s="50">
        <f t="shared" si="8"/>
        <v>54023.4</v>
      </c>
      <c r="T115" s="65">
        <v>54023.4</v>
      </c>
      <c r="U115" s="225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3"/>
      <c r="B116" s="375"/>
      <c r="C116" s="375"/>
      <c r="D116" s="375"/>
      <c r="E116" s="375"/>
      <c r="F116" s="34"/>
      <c r="G116" s="229" t="s">
        <v>28</v>
      </c>
      <c r="H116" s="116"/>
      <c r="I116" s="57"/>
      <c r="J116" s="57"/>
      <c r="K116" s="43"/>
      <c r="L116" s="44"/>
      <c r="M116" s="43">
        <f t="shared" si="7"/>
        <v>0</v>
      </c>
      <c r="N116" s="43"/>
      <c r="O116" s="41"/>
      <c r="P116" s="103"/>
      <c r="Q116" s="43"/>
      <c r="R116" s="44"/>
      <c r="S116" s="43">
        <f t="shared" si="8"/>
        <v>0</v>
      </c>
      <c r="T116" s="43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106</v>
      </c>
      <c r="C117" s="377" t="s">
        <v>39</v>
      </c>
      <c r="D117" s="374" t="s">
        <v>107</v>
      </c>
      <c r="E117" s="374" t="s">
        <v>27</v>
      </c>
      <c r="F117" s="232" t="s">
        <v>366</v>
      </c>
      <c r="G117" s="23" t="s">
        <v>24</v>
      </c>
      <c r="H117" s="48">
        <v>10</v>
      </c>
      <c r="I117" s="62">
        <v>9</v>
      </c>
      <c r="J117" s="62">
        <v>9</v>
      </c>
      <c r="K117" s="30">
        <v>7593.07</v>
      </c>
      <c r="L117" s="205">
        <v>9</v>
      </c>
      <c r="M117" s="26">
        <f t="shared" si="7"/>
        <v>7593.07</v>
      </c>
      <c r="N117" s="30">
        <v>7593.07</v>
      </c>
      <c r="O117" s="31"/>
      <c r="P117" s="53">
        <v>11</v>
      </c>
      <c r="Q117" s="30">
        <v>73773.25</v>
      </c>
      <c r="R117" s="205">
        <v>11</v>
      </c>
      <c r="S117" s="26">
        <f t="shared" si="8"/>
        <v>73773.25</v>
      </c>
      <c r="T117" s="30">
        <v>73773.25</v>
      </c>
      <c r="U117" s="3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9"/>
      <c r="B118" s="380"/>
      <c r="C118" s="380"/>
      <c r="D118" s="380"/>
      <c r="E118" s="380"/>
      <c r="F118" s="233" t="s">
        <v>233</v>
      </c>
      <c r="G118" s="227" t="s">
        <v>28</v>
      </c>
      <c r="H118" s="153">
        <v>6</v>
      </c>
      <c r="I118" s="57"/>
      <c r="J118" s="57"/>
      <c r="K118" s="43"/>
      <c r="L118" s="270">
        <v>1</v>
      </c>
      <c r="M118" s="43">
        <f t="shared" si="7"/>
        <v>576.29999999999995</v>
      </c>
      <c r="N118" s="43">
        <f>576.3</f>
        <v>576.29999999999995</v>
      </c>
      <c r="O118" s="41"/>
      <c r="P118" s="113">
        <v>2</v>
      </c>
      <c r="Q118" s="114">
        <v>2881.5</v>
      </c>
      <c r="R118" s="270">
        <v>2</v>
      </c>
      <c r="S118" s="43">
        <f t="shared" si="8"/>
        <v>2881.5</v>
      </c>
      <c r="T118" s="57">
        <f>576.3+2305.2</f>
        <v>2881.5</v>
      </c>
      <c r="U118" s="4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2"/>
      <c r="B119" s="374" t="s">
        <v>108</v>
      </c>
      <c r="C119" s="374" t="s">
        <v>46</v>
      </c>
      <c r="D119" s="374" t="s">
        <v>109</v>
      </c>
      <c r="E119" s="374" t="s">
        <v>27</v>
      </c>
      <c r="F119" s="204" t="s">
        <v>273</v>
      </c>
      <c r="G119" s="176" t="s">
        <v>24</v>
      </c>
      <c r="H119" s="151">
        <v>12</v>
      </c>
      <c r="I119" s="62">
        <v>9</v>
      </c>
      <c r="J119" s="62">
        <v>9</v>
      </c>
      <c r="K119" s="30">
        <v>8773.83</v>
      </c>
      <c r="L119" s="205">
        <v>9</v>
      </c>
      <c r="M119" s="26">
        <f t="shared" si="7"/>
        <v>8773.83</v>
      </c>
      <c r="N119" s="30">
        <v>8773.83</v>
      </c>
      <c r="O119" s="31"/>
      <c r="P119" s="53">
        <v>8</v>
      </c>
      <c r="Q119" s="30">
        <v>32433.51</v>
      </c>
      <c r="R119" s="205">
        <v>8</v>
      </c>
      <c r="S119" s="26">
        <f t="shared" si="8"/>
        <v>32433.51</v>
      </c>
      <c r="T119" s="30">
        <v>32433.51</v>
      </c>
      <c r="U119" s="225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7"/>
      <c r="B120" s="386"/>
      <c r="C120" s="386"/>
      <c r="D120" s="386"/>
      <c r="E120" s="386"/>
      <c r="F120" s="235" t="s">
        <v>234</v>
      </c>
      <c r="G120" s="252" t="s">
        <v>28</v>
      </c>
      <c r="H120" s="48">
        <v>6</v>
      </c>
      <c r="I120" s="246">
        <v>3</v>
      </c>
      <c r="J120" s="246">
        <v>3</v>
      </c>
      <c r="K120" s="158">
        <v>3159.6</v>
      </c>
      <c r="L120" s="317">
        <v>1</v>
      </c>
      <c r="M120" s="142">
        <f t="shared" si="7"/>
        <v>576.29999999999995</v>
      </c>
      <c r="N120" s="142">
        <f>576.3</f>
        <v>576.29999999999995</v>
      </c>
      <c r="O120" s="45"/>
      <c r="P120" s="157">
        <v>7</v>
      </c>
      <c r="Q120" s="158">
        <v>15445.86</v>
      </c>
      <c r="R120" s="317">
        <v>5</v>
      </c>
      <c r="S120" s="142">
        <f t="shared" si="8"/>
        <v>13044.61</v>
      </c>
      <c r="T120" s="142">
        <f>288.15+576.3+5648.76+3649.9+2881.5</f>
        <v>13044.61</v>
      </c>
      <c r="U120" s="4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45"/>
      <c r="G121" s="253" t="s">
        <v>25</v>
      </c>
      <c r="H121" s="306">
        <v>1</v>
      </c>
      <c r="I121" s="37">
        <v>1</v>
      </c>
      <c r="J121" s="37">
        <v>1</v>
      </c>
      <c r="K121" s="68">
        <v>2881.5</v>
      </c>
      <c r="L121" s="285">
        <v>1</v>
      </c>
      <c r="M121" s="68">
        <v>2881.5</v>
      </c>
      <c r="N121" s="68">
        <v>2881.5</v>
      </c>
      <c r="O121" s="41"/>
      <c r="P121" s="59"/>
      <c r="Q121" s="39"/>
      <c r="R121" s="40"/>
      <c r="S121" s="39">
        <f t="shared" si="8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6"/>
      <c r="B122" s="377" t="s">
        <v>110</v>
      </c>
      <c r="C122" s="377" t="s">
        <v>22</v>
      </c>
      <c r="D122" s="377"/>
      <c r="E122" s="377" t="s">
        <v>67</v>
      </c>
      <c r="F122" s="232" t="s">
        <v>274</v>
      </c>
      <c r="G122" s="23" t="s">
        <v>24</v>
      </c>
      <c r="H122" s="48">
        <v>3</v>
      </c>
      <c r="I122" s="203">
        <v>2</v>
      </c>
      <c r="J122" s="203">
        <v>3</v>
      </c>
      <c r="K122" s="65">
        <v>5015.66</v>
      </c>
      <c r="L122" s="224">
        <v>2</v>
      </c>
      <c r="M122" s="50">
        <f t="shared" ref="M122:M136" si="9">N122+O122</f>
        <v>4022.19</v>
      </c>
      <c r="N122" s="65">
        <v>4022.19</v>
      </c>
      <c r="O122" s="31"/>
      <c r="P122" s="108">
        <v>8</v>
      </c>
      <c r="Q122" s="65">
        <v>34759.74</v>
      </c>
      <c r="R122" s="224">
        <v>7</v>
      </c>
      <c r="S122" s="50">
        <f t="shared" si="8"/>
        <v>34054.94</v>
      </c>
      <c r="T122" s="65">
        <v>34054.94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34"/>
      <c r="G123" s="55" t="s">
        <v>28</v>
      </c>
      <c r="H123" s="116"/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111</v>
      </c>
      <c r="C124" s="374" t="s">
        <v>39</v>
      </c>
      <c r="D124" s="374" t="s">
        <v>435</v>
      </c>
      <c r="E124" s="374" t="s">
        <v>112</v>
      </c>
      <c r="F124" s="232" t="s">
        <v>436</v>
      </c>
      <c r="G124" s="23" t="s">
        <v>24</v>
      </c>
      <c r="H124" s="48">
        <v>8</v>
      </c>
      <c r="I124" s="62">
        <v>5</v>
      </c>
      <c r="J124" s="62">
        <v>6</v>
      </c>
      <c r="K124" s="30">
        <v>7001.47</v>
      </c>
      <c r="L124" s="205">
        <v>5</v>
      </c>
      <c r="M124" s="26">
        <f t="shared" si="9"/>
        <v>5109.87</v>
      </c>
      <c r="N124" s="30">
        <v>5109.87</v>
      </c>
      <c r="O124" s="31"/>
      <c r="P124" s="53">
        <v>4</v>
      </c>
      <c r="Q124" s="30">
        <v>3732.5</v>
      </c>
      <c r="R124" s="205">
        <v>4</v>
      </c>
      <c r="S124" s="26">
        <f t="shared" si="8"/>
        <v>3732.5</v>
      </c>
      <c r="T124" s="30">
        <v>3732.5</v>
      </c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33" t="s">
        <v>235</v>
      </c>
      <c r="G125" s="227" t="s">
        <v>28</v>
      </c>
      <c r="H125" s="133">
        <v>1</v>
      </c>
      <c r="I125" s="57"/>
      <c r="J125" s="57"/>
      <c r="K125" s="43"/>
      <c r="L125" s="44"/>
      <c r="M125" s="43">
        <f t="shared" si="9"/>
        <v>0</v>
      </c>
      <c r="N125" s="43"/>
      <c r="O125" s="41"/>
      <c r="P125" s="103"/>
      <c r="Q125" s="43"/>
      <c r="R125" s="44"/>
      <c r="S125" s="43">
        <f t="shared" si="8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113</v>
      </c>
      <c r="C126" s="374" t="s">
        <v>39</v>
      </c>
      <c r="D126" s="374" t="s">
        <v>114</v>
      </c>
      <c r="E126" s="374" t="s">
        <v>27</v>
      </c>
      <c r="F126" s="204" t="s">
        <v>305</v>
      </c>
      <c r="G126" s="176" t="s">
        <v>24</v>
      </c>
      <c r="H126" s="48">
        <v>16</v>
      </c>
      <c r="I126" s="62">
        <v>16</v>
      </c>
      <c r="J126" s="62">
        <v>22</v>
      </c>
      <c r="K126" s="30">
        <v>45233.25</v>
      </c>
      <c r="L126" s="205">
        <v>18</v>
      </c>
      <c r="M126" s="26">
        <f t="shared" si="9"/>
        <v>38332.99</v>
      </c>
      <c r="N126" s="30">
        <v>38332.99</v>
      </c>
      <c r="O126" s="225"/>
      <c r="P126" s="53">
        <v>10</v>
      </c>
      <c r="Q126" s="30">
        <v>25611.57</v>
      </c>
      <c r="R126" s="205">
        <v>10</v>
      </c>
      <c r="S126" s="26">
        <f t="shared" si="8"/>
        <v>25611.57</v>
      </c>
      <c r="T126" s="30">
        <v>25611.57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220" t="s">
        <v>306</v>
      </c>
      <c r="G127" s="229" t="s">
        <v>28</v>
      </c>
      <c r="H127" s="56">
        <v>3</v>
      </c>
      <c r="I127" s="130">
        <v>3</v>
      </c>
      <c r="J127" s="130">
        <v>3</v>
      </c>
      <c r="K127" s="114">
        <v>4816.8</v>
      </c>
      <c r="L127" s="270">
        <v>2</v>
      </c>
      <c r="M127" s="43">
        <f t="shared" si="9"/>
        <v>2497.3000000000002</v>
      </c>
      <c r="N127" s="43">
        <f>1152.6+1344.7</f>
        <v>2497.3000000000002</v>
      </c>
      <c r="O127" s="45"/>
      <c r="P127" s="113">
        <v>2</v>
      </c>
      <c r="Q127" s="114">
        <v>5186.7</v>
      </c>
      <c r="R127" s="270">
        <v>2</v>
      </c>
      <c r="S127" s="43">
        <f t="shared" si="8"/>
        <v>5186.7</v>
      </c>
      <c r="T127" s="43">
        <f>5186.7</f>
        <v>5186.7</v>
      </c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115</v>
      </c>
      <c r="C128" s="374" t="s">
        <v>22</v>
      </c>
      <c r="D128" s="374"/>
      <c r="E128" s="374" t="s">
        <v>27</v>
      </c>
      <c r="F128" s="22"/>
      <c r="G128" s="23" t="s">
        <v>24</v>
      </c>
      <c r="H128" s="104"/>
      <c r="I128" s="25"/>
      <c r="J128" s="25"/>
      <c r="K128" s="26"/>
      <c r="L128" s="148"/>
      <c r="M128" s="149">
        <f t="shared" si="9"/>
        <v>0</v>
      </c>
      <c r="N128" s="26"/>
      <c r="O128" s="100"/>
      <c r="P128" s="120"/>
      <c r="Q128" s="26"/>
      <c r="R128" s="27"/>
      <c r="S128" s="26">
        <f t="shared" si="8"/>
        <v>0</v>
      </c>
      <c r="T128" s="26"/>
      <c r="U128" s="3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06"/>
      <c r="I129" s="38"/>
      <c r="J129" s="38"/>
      <c r="K129" s="39"/>
      <c r="L129" s="40"/>
      <c r="M129" s="39">
        <f t="shared" si="9"/>
        <v>0</v>
      </c>
      <c r="N129" s="39"/>
      <c r="O129" s="41"/>
      <c r="P129" s="69"/>
      <c r="Q129" s="39"/>
      <c r="R129" s="40"/>
      <c r="S129" s="39">
        <f t="shared" si="8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116</v>
      </c>
      <c r="C130" s="381" t="s">
        <v>22</v>
      </c>
      <c r="D130" s="381"/>
      <c r="E130" s="381" t="s">
        <v>27</v>
      </c>
      <c r="F130" s="223" t="s">
        <v>307</v>
      </c>
      <c r="G130" s="47" t="s">
        <v>24</v>
      </c>
      <c r="H130" s="61">
        <v>8</v>
      </c>
      <c r="I130" s="62">
        <v>6</v>
      </c>
      <c r="J130" s="62">
        <v>8</v>
      </c>
      <c r="K130" s="30">
        <v>12647.96</v>
      </c>
      <c r="L130" s="205">
        <v>6</v>
      </c>
      <c r="M130" s="26">
        <f t="shared" si="9"/>
        <v>9207.69</v>
      </c>
      <c r="N130" s="30">
        <v>9207.69</v>
      </c>
      <c r="O130" s="243"/>
      <c r="P130" s="64">
        <v>4</v>
      </c>
      <c r="Q130" s="65">
        <v>10597.93</v>
      </c>
      <c r="R130" s="224">
        <v>4</v>
      </c>
      <c r="S130" s="50">
        <f t="shared" si="8"/>
        <v>10597.93</v>
      </c>
      <c r="T130" s="65">
        <v>10597.93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34"/>
      <c r="G131" s="35" t="s">
        <v>28</v>
      </c>
      <c r="H131" s="133">
        <v>3</v>
      </c>
      <c r="I131" s="38"/>
      <c r="J131" s="38"/>
      <c r="K131" s="39"/>
      <c r="L131" s="40"/>
      <c r="M131" s="39">
        <f t="shared" si="9"/>
        <v>0</v>
      </c>
      <c r="N131" s="39"/>
      <c r="O131" s="41"/>
      <c r="P131" s="67">
        <v>1</v>
      </c>
      <c r="Q131" s="68">
        <v>2305.1999999999998</v>
      </c>
      <c r="R131" s="285">
        <v>1</v>
      </c>
      <c r="S131" s="39">
        <f t="shared" si="8"/>
        <v>2305.1999999999998</v>
      </c>
      <c r="T131" s="39">
        <f>2305.2</f>
        <v>2305.1999999999998</v>
      </c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82"/>
      <c r="B132" s="381" t="s">
        <v>117</v>
      </c>
      <c r="C132" s="381" t="s">
        <v>22</v>
      </c>
      <c r="D132" s="381"/>
      <c r="E132" s="381" t="s">
        <v>67</v>
      </c>
      <c r="F132" s="223" t="s">
        <v>308</v>
      </c>
      <c r="G132" s="23" t="s">
        <v>24</v>
      </c>
      <c r="H132" s="48">
        <v>17</v>
      </c>
      <c r="I132" s="203">
        <v>12</v>
      </c>
      <c r="J132" s="203">
        <v>18</v>
      </c>
      <c r="K132" s="65">
        <v>44935.58</v>
      </c>
      <c r="L132" s="224">
        <v>13</v>
      </c>
      <c r="M132" s="50">
        <f t="shared" si="9"/>
        <v>27739.32</v>
      </c>
      <c r="N132" s="65">
        <v>27739.32</v>
      </c>
      <c r="O132" s="225"/>
      <c r="P132" s="108">
        <v>31</v>
      </c>
      <c r="Q132" s="65">
        <v>115143.38</v>
      </c>
      <c r="R132" s="224">
        <v>28</v>
      </c>
      <c r="S132" s="50">
        <f t="shared" si="8"/>
        <v>110872.94</v>
      </c>
      <c r="T132" s="65">
        <v>110872.94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9"/>
      <c r="B133" s="380"/>
      <c r="C133" s="380"/>
      <c r="D133" s="380"/>
      <c r="E133" s="380"/>
      <c r="F133" s="226"/>
      <c r="G133" s="227" t="s">
        <v>28</v>
      </c>
      <c r="H133" s="116"/>
      <c r="I133" s="57"/>
      <c r="J133" s="57"/>
      <c r="K133" s="43"/>
      <c r="L133" s="44"/>
      <c r="M133" s="43">
        <f t="shared" si="9"/>
        <v>0</v>
      </c>
      <c r="N133" s="43"/>
      <c r="O133" s="41"/>
      <c r="P133" s="103"/>
      <c r="Q133" s="43"/>
      <c r="R133" s="44"/>
      <c r="S133" s="43">
        <f t="shared" si="8"/>
        <v>0</v>
      </c>
      <c r="T133" s="43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118</v>
      </c>
      <c r="C134" s="374" t="s">
        <v>39</v>
      </c>
      <c r="D134" s="374" t="s">
        <v>309</v>
      </c>
      <c r="E134" s="374" t="s">
        <v>27</v>
      </c>
      <c r="F134" s="152"/>
      <c r="G134" s="176" t="s">
        <v>24</v>
      </c>
      <c r="H134" s="151">
        <v>12</v>
      </c>
      <c r="I134" s="62">
        <v>8</v>
      </c>
      <c r="J134" s="62">
        <v>11</v>
      </c>
      <c r="K134" s="30">
        <v>20338.259999999998</v>
      </c>
      <c r="L134" s="205">
        <v>6</v>
      </c>
      <c r="M134" s="26">
        <f t="shared" si="9"/>
        <v>11483.56</v>
      </c>
      <c r="N134" s="30">
        <v>11483.56</v>
      </c>
      <c r="O134" s="31"/>
      <c r="P134" s="53">
        <v>14</v>
      </c>
      <c r="Q134" s="30">
        <v>53062.44</v>
      </c>
      <c r="R134" s="205">
        <v>13</v>
      </c>
      <c r="S134" s="26">
        <f t="shared" si="8"/>
        <v>52477.24</v>
      </c>
      <c r="T134" s="30">
        <v>52477.24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75"/>
      <c r="C135" s="375"/>
      <c r="D135" s="375"/>
      <c r="E135" s="375"/>
      <c r="G135" s="229" t="s">
        <v>28</v>
      </c>
      <c r="H135" s="116"/>
      <c r="I135" s="38"/>
      <c r="J135" s="38"/>
      <c r="K135" s="39"/>
      <c r="L135" s="40"/>
      <c r="M135" s="39">
        <f t="shared" si="9"/>
        <v>0</v>
      </c>
      <c r="N135" s="39"/>
      <c r="O135" s="41"/>
      <c r="P135" s="59"/>
      <c r="Q135" s="39"/>
      <c r="R135" s="40"/>
      <c r="S135" s="39">
        <f t="shared" si="8"/>
        <v>0</v>
      </c>
      <c r="T135" s="39"/>
      <c r="U135" s="4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119</v>
      </c>
      <c r="C136" s="374" t="s">
        <v>39</v>
      </c>
      <c r="D136" s="374" t="s">
        <v>311</v>
      </c>
      <c r="E136" s="374" t="s">
        <v>121</v>
      </c>
      <c r="F136" s="232" t="s">
        <v>312</v>
      </c>
      <c r="G136" s="23" t="s">
        <v>24</v>
      </c>
      <c r="H136" s="151">
        <v>24</v>
      </c>
      <c r="I136" s="62">
        <v>15</v>
      </c>
      <c r="J136" s="62">
        <v>16</v>
      </c>
      <c r="K136" s="30">
        <v>24898.959999999999</v>
      </c>
      <c r="L136" s="205">
        <v>10</v>
      </c>
      <c r="M136" s="26">
        <f t="shared" si="9"/>
        <v>16966.09</v>
      </c>
      <c r="N136" s="30">
        <v>16966.09</v>
      </c>
      <c r="O136" s="31"/>
      <c r="P136" s="53">
        <v>27</v>
      </c>
      <c r="Q136" s="30">
        <v>47822.16</v>
      </c>
      <c r="R136" s="205">
        <v>26</v>
      </c>
      <c r="S136" s="26">
        <f t="shared" si="8"/>
        <v>41600.46</v>
      </c>
      <c r="T136" s="30">
        <v>41600.46</v>
      </c>
      <c r="U136" s="225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80"/>
      <c r="C137" s="380"/>
      <c r="D137" s="380"/>
      <c r="E137" s="380"/>
      <c r="G137" s="227" t="s">
        <v>25</v>
      </c>
      <c r="H137" s="260">
        <v>5</v>
      </c>
      <c r="I137" s="208">
        <v>3</v>
      </c>
      <c r="J137" s="208">
        <v>3</v>
      </c>
      <c r="K137" s="209">
        <v>3668.91</v>
      </c>
      <c r="L137" s="290">
        <v>3</v>
      </c>
      <c r="M137" s="209">
        <v>3668.91</v>
      </c>
      <c r="N137" s="209">
        <v>3668.91</v>
      </c>
      <c r="O137" s="263"/>
      <c r="P137" s="262">
        <v>4</v>
      </c>
      <c r="Q137" s="209">
        <v>16712.7</v>
      </c>
      <c r="R137" s="290">
        <v>4</v>
      </c>
      <c r="S137" s="209">
        <v>16712.7</v>
      </c>
      <c r="T137" s="209">
        <v>16712.7</v>
      </c>
      <c r="U137" s="212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2"/>
      <c r="B138" s="374" t="s">
        <v>464</v>
      </c>
      <c r="C138" s="374" t="s">
        <v>22</v>
      </c>
      <c r="D138" s="374"/>
      <c r="E138" s="374" t="s">
        <v>391</v>
      </c>
      <c r="F138" s="204" t="s">
        <v>465</v>
      </c>
      <c r="G138" s="176" t="s">
        <v>24</v>
      </c>
      <c r="H138" s="61"/>
      <c r="I138" s="62"/>
      <c r="J138" s="62"/>
      <c r="K138" s="30"/>
      <c r="L138" s="27"/>
      <c r="M138" s="26">
        <f t="shared" ref="M138:M153" si="10">N138+O138</f>
        <v>0</v>
      </c>
      <c r="N138" s="26"/>
      <c r="O138" s="28"/>
      <c r="P138" s="214"/>
      <c r="Q138" s="30"/>
      <c r="R138" s="205"/>
      <c r="S138" s="26">
        <f t="shared" ref="S138:S153" si="11">T138+U138</f>
        <v>0</v>
      </c>
      <c r="T138" s="30"/>
      <c r="U138" s="2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86"/>
      <c r="C139" s="375"/>
      <c r="D139" s="386"/>
      <c r="E139" s="386"/>
      <c r="F139" s="152"/>
      <c r="G139" s="229" t="s">
        <v>28</v>
      </c>
      <c r="H139" s="344"/>
      <c r="I139" s="231"/>
      <c r="J139" s="231"/>
      <c r="K139" s="91"/>
      <c r="L139" s="92"/>
      <c r="M139" s="81">
        <f t="shared" si="10"/>
        <v>0</v>
      </c>
      <c r="N139" s="93"/>
      <c r="O139" s="94"/>
      <c r="P139" s="90"/>
      <c r="Q139" s="91"/>
      <c r="R139" s="330"/>
      <c r="S139" s="81">
        <f t="shared" si="11"/>
        <v>0</v>
      </c>
      <c r="T139" s="91"/>
      <c r="U139" s="3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367</v>
      </c>
      <c r="C140" s="374"/>
      <c r="D140" s="374"/>
      <c r="E140" s="374"/>
      <c r="F140" s="204"/>
      <c r="G140" s="213" t="s">
        <v>24</v>
      </c>
      <c r="H140" s="61"/>
      <c r="I140" s="62"/>
      <c r="J140" s="62"/>
      <c r="K140" s="30"/>
      <c r="L140" s="27"/>
      <c r="M140" s="26">
        <f t="shared" si="10"/>
        <v>0</v>
      </c>
      <c r="N140" s="26"/>
      <c r="O140" s="28"/>
      <c r="P140" s="214"/>
      <c r="Q140" s="30"/>
      <c r="R140" s="205"/>
      <c r="S140" s="26">
        <f t="shared" si="11"/>
        <v>0</v>
      </c>
      <c r="T140" s="30"/>
      <c r="U140" s="2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220"/>
      <c r="G141" s="215" t="s">
        <v>28</v>
      </c>
      <c r="H141" s="117">
        <v>4</v>
      </c>
      <c r="I141" s="37"/>
      <c r="J141" s="37"/>
      <c r="K141" s="68"/>
      <c r="L141" s="40"/>
      <c r="M141" s="39">
        <f t="shared" si="10"/>
        <v>0</v>
      </c>
      <c r="N141" s="39"/>
      <c r="O141" s="41"/>
      <c r="P141" s="217"/>
      <c r="Q141" s="68"/>
      <c r="R141" s="285"/>
      <c r="S141" s="39">
        <f t="shared" si="11"/>
        <v>0</v>
      </c>
      <c r="T141" s="68"/>
      <c r="U141" s="23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6"/>
      <c r="B142" s="377" t="s">
        <v>122</v>
      </c>
      <c r="C142" s="377" t="s">
        <v>39</v>
      </c>
      <c r="D142" s="377" t="s">
        <v>123</v>
      </c>
      <c r="E142" s="377" t="s">
        <v>55</v>
      </c>
      <c r="F142" s="232" t="s">
        <v>236</v>
      </c>
      <c r="G142" s="291" t="s">
        <v>24</v>
      </c>
      <c r="H142" s="265">
        <v>21</v>
      </c>
      <c r="I142" s="266">
        <v>19</v>
      </c>
      <c r="J142" s="266">
        <v>27</v>
      </c>
      <c r="K142" s="79">
        <v>52653.62</v>
      </c>
      <c r="L142" s="268">
        <v>22</v>
      </c>
      <c r="M142" s="81">
        <f t="shared" si="10"/>
        <v>34969.29</v>
      </c>
      <c r="N142" s="79">
        <v>34969.29</v>
      </c>
      <c r="O142" s="269"/>
      <c r="P142" s="267">
        <v>18</v>
      </c>
      <c r="Q142" s="79">
        <v>78992.89</v>
      </c>
      <c r="R142" s="268">
        <v>16</v>
      </c>
      <c r="S142" s="81">
        <f t="shared" si="11"/>
        <v>76490.14</v>
      </c>
      <c r="T142" s="79">
        <v>76490.14</v>
      </c>
      <c r="U142" s="269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34"/>
      <c r="G143" s="229" t="s">
        <v>25</v>
      </c>
      <c r="H143" s="116"/>
      <c r="I143" s="38"/>
      <c r="J143" s="38"/>
      <c r="K143" s="39"/>
      <c r="L143" s="40"/>
      <c r="M143" s="39">
        <f t="shared" si="10"/>
        <v>0</v>
      </c>
      <c r="N143" s="39"/>
      <c r="O143" s="41"/>
      <c r="P143" s="59"/>
      <c r="Q143" s="39"/>
      <c r="R143" s="40"/>
      <c r="S143" s="39">
        <f t="shared" si="11"/>
        <v>0</v>
      </c>
      <c r="T143" s="39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6"/>
      <c r="B144" s="377" t="s">
        <v>124</v>
      </c>
      <c r="C144" s="377" t="s">
        <v>39</v>
      </c>
      <c r="D144" s="377" t="s">
        <v>314</v>
      </c>
      <c r="E144" s="377" t="s">
        <v>27</v>
      </c>
      <c r="F144" s="232" t="s">
        <v>237</v>
      </c>
      <c r="G144" s="23" t="s">
        <v>24</v>
      </c>
      <c r="H144" s="48">
        <v>18</v>
      </c>
      <c r="I144" s="203">
        <v>13</v>
      </c>
      <c r="J144" s="203">
        <v>16</v>
      </c>
      <c r="K144" s="65">
        <v>36210.6</v>
      </c>
      <c r="L144" s="224">
        <v>10</v>
      </c>
      <c r="M144" s="50">
        <f t="shared" si="10"/>
        <v>28601.06</v>
      </c>
      <c r="N144" s="65">
        <v>28601.06</v>
      </c>
      <c r="O144" s="225"/>
      <c r="P144" s="108">
        <v>56</v>
      </c>
      <c r="Q144" s="65">
        <v>335574.55</v>
      </c>
      <c r="R144" s="224">
        <v>52</v>
      </c>
      <c r="S144" s="50">
        <f t="shared" si="11"/>
        <v>311364.90999999997</v>
      </c>
      <c r="T144" s="65">
        <v>311364.90999999997</v>
      </c>
      <c r="U144" s="225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7"/>
      <c r="B145" s="386"/>
      <c r="C145" s="386"/>
      <c r="D145" s="386"/>
      <c r="E145" s="386"/>
      <c r="F145" s="135"/>
      <c r="G145" s="154" t="s">
        <v>25</v>
      </c>
      <c r="H145" s="98"/>
      <c r="I145" s="155"/>
      <c r="J145" s="155"/>
      <c r="K145" s="239" t="s">
        <v>43</v>
      </c>
      <c r="L145" s="128"/>
      <c r="M145" s="129">
        <f t="shared" si="10"/>
        <v>0</v>
      </c>
      <c r="N145" s="129"/>
      <c r="O145" s="45"/>
      <c r="P145" s="156"/>
      <c r="Q145" s="129"/>
      <c r="R145" s="128"/>
      <c r="S145" s="129">
        <f t="shared" si="11"/>
        <v>0</v>
      </c>
      <c r="T145" s="129"/>
      <c r="U145" s="4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9"/>
      <c r="B146" s="380"/>
      <c r="C146" s="380"/>
      <c r="D146" s="380"/>
      <c r="E146" s="380"/>
      <c r="F146" s="34"/>
      <c r="G146" s="55" t="s">
        <v>28</v>
      </c>
      <c r="H146" s="111"/>
      <c r="I146" s="57"/>
      <c r="J146" s="57"/>
      <c r="K146" s="43"/>
      <c r="L146" s="44"/>
      <c r="M146" s="43">
        <f t="shared" si="10"/>
        <v>0</v>
      </c>
      <c r="N146" s="43"/>
      <c r="O146" s="41"/>
      <c r="P146" s="113">
        <v>3</v>
      </c>
      <c r="Q146" s="114">
        <v>8317.5</v>
      </c>
      <c r="R146" s="270">
        <v>4</v>
      </c>
      <c r="S146" s="43">
        <f t="shared" si="11"/>
        <v>10625.699999999999</v>
      </c>
      <c r="T146" s="114">
        <f>2305.2+4226.2+2689.4+1404.9</f>
        <v>10625.699999999999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126</v>
      </c>
      <c r="C147" s="374" t="s">
        <v>22</v>
      </c>
      <c r="D147" s="378"/>
      <c r="E147" s="374" t="s">
        <v>65</v>
      </c>
      <c r="F147" s="232" t="s">
        <v>443</v>
      </c>
      <c r="G147" s="23" t="s">
        <v>24</v>
      </c>
      <c r="H147" s="151">
        <v>5</v>
      </c>
      <c r="I147" s="62">
        <v>1</v>
      </c>
      <c r="J147" s="62">
        <v>1</v>
      </c>
      <c r="K147" s="30">
        <v>384.2</v>
      </c>
      <c r="L147" s="205">
        <v>1</v>
      </c>
      <c r="M147" s="26">
        <f t="shared" si="10"/>
        <v>384.2</v>
      </c>
      <c r="N147" s="30">
        <v>384.2</v>
      </c>
      <c r="O147" s="225"/>
      <c r="P147" s="53">
        <v>15</v>
      </c>
      <c r="Q147" s="30">
        <v>10414.84</v>
      </c>
      <c r="R147" s="205">
        <v>4</v>
      </c>
      <c r="S147" s="26">
        <f t="shared" si="11"/>
        <v>10414.84</v>
      </c>
      <c r="T147" s="30">
        <v>10414.84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54" t="s">
        <v>316</v>
      </c>
      <c r="G148" s="35" t="s">
        <v>28</v>
      </c>
      <c r="H148" s="153">
        <v>6</v>
      </c>
      <c r="I148" s="37">
        <v>3</v>
      </c>
      <c r="J148" s="37">
        <v>3</v>
      </c>
      <c r="K148" s="68">
        <v>3710.1</v>
      </c>
      <c r="L148" s="285">
        <v>3</v>
      </c>
      <c r="M148" s="39">
        <f t="shared" si="10"/>
        <v>3710.1</v>
      </c>
      <c r="N148" s="39">
        <f>2305.2+1404.9</f>
        <v>3710.1</v>
      </c>
      <c r="O148" s="41"/>
      <c r="P148" s="115">
        <v>3</v>
      </c>
      <c r="Q148" s="68">
        <v>7062.2</v>
      </c>
      <c r="R148" s="285">
        <v>3</v>
      </c>
      <c r="S148" s="39">
        <f t="shared" si="11"/>
        <v>7418.45</v>
      </c>
      <c r="T148" s="39">
        <f>1056.55+1344.4+5017.5</f>
        <v>7418.45</v>
      </c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2"/>
      <c r="B149" s="381" t="s">
        <v>127</v>
      </c>
      <c r="C149" s="381" t="s">
        <v>22</v>
      </c>
      <c r="D149" s="381"/>
      <c r="E149" s="381" t="s">
        <v>67</v>
      </c>
      <c r="F149" s="223" t="s">
        <v>368</v>
      </c>
      <c r="G149" s="47" t="s">
        <v>24</v>
      </c>
      <c r="H149" s="48">
        <v>9</v>
      </c>
      <c r="I149" s="203">
        <v>7</v>
      </c>
      <c r="J149" s="203">
        <v>10</v>
      </c>
      <c r="K149" s="65">
        <v>19226.240000000002</v>
      </c>
      <c r="L149" s="224">
        <v>10</v>
      </c>
      <c r="M149" s="50">
        <f t="shared" si="10"/>
        <v>19226.240000000002</v>
      </c>
      <c r="N149" s="65">
        <v>19226.240000000002</v>
      </c>
      <c r="O149" s="225"/>
      <c r="P149" s="108">
        <v>8</v>
      </c>
      <c r="Q149" s="65">
        <v>29582.03</v>
      </c>
      <c r="R149" s="224">
        <v>8</v>
      </c>
      <c r="S149" s="50">
        <f t="shared" si="11"/>
        <v>29582.03</v>
      </c>
      <c r="T149" s="65">
        <v>29582.03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33" t="s">
        <v>317</v>
      </c>
      <c r="G150" s="227" t="s">
        <v>28</v>
      </c>
      <c r="H150" s="153">
        <v>7</v>
      </c>
      <c r="I150" s="37">
        <v>4</v>
      </c>
      <c r="J150" s="37">
        <v>4</v>
      </c>
      <c r="K150" s="68">
        <v>5174.6000000000004</v>
      </c>
      <c r="L150" s="285">
        <v>4</v>
      </c>
      <c r="M150" s="39">
        <f t="shared" si="10"/>
        <v>5220.5999999999995</v>
      </c>
      <c r="N150" s="39">
        <f>1578.8+1152.6+1152.6+1336.6</f>
        <v>5220.5999999999995</v>
      </c>
      <c r="O150" s="41"/>
      <c r="P150" s="115">
        <v>3</v>
      </c>
      <c r="Q150" s="68">
        <v>17095</v>
      </c>
      <c r="R150" s="285">
        <v>2</v>
      </c>
      <c r="S150" s="39">
        <f t="shared" si="11"/>
        <v>15088</v>
      </c>
      <c r="T150" s="39">
        <f>4034.1+11053.9</f>
        <v>15088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128</v>
      </c>
      <c r="C151" s="374" t="s">
        <v>39</v>
      </c>
      <c r="D151" s="374" t="s">
        <v>129</v>
      </c>
      <c r="E151" s="374" t="s">
        <v>121</v>
      </c>
      <c r="F151" s="60"/>
      <c r="G151" s="176" t="s">
        <v>24</v>
      </c>
      <c r="H151" s="107"/>
      <c r="I151" s="49"/>
      <c r="J151" s="127"/>
      <c r="K151" s="50"/>
      <c r="L151" s="51"/>
      <c r="M151" s="50">
        <f t="shared" si="10"/>
        <v>0</v>
      </c>
      <c r="N151" s="50"/>
      <c r="O151" s="31"/>
      <c r="P151" s="108">
        <v>1</v>
      </c>
      <c r="Q151" s="65">
        <v>14638.71</v>
      </c>
      <c r="R151" s="51"/>
      <c r="S151" s="50">
        <f t="shared" si="11"/>
        <v>0</v>
      </c>
      <c r="T151" s="50"/>
      <c r="U151" s="3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229" t="s">
        <v>25</v>
      </c>
      <c r="H152" s="153">
        <v>1</v>
      </c>
      <c r="I152" s="57"/>
      <c r="J152" s="57"/>
      <c r="K152" s="43"/>
      <c r="L152" s="44"/>
      <c r="M152" s="43">
        <f t="shared" si="10"/>
        <v>0</v>
      </c>
      <c r="N152" s="43"/>
      <c r="O152" s="41"/>
      <c r="P152" s="103"/>
      <c r="Q152" s="43"/>
      <c r="R152" s="44"/>
      <c r="S152" s="43">
        <f t="shared" si="11"/>
        <v>0</v>
      </c>
      <c r="T152" s="43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130</v>
      </c>
      <c r="C153" s="374" t="s">
        <v>22</v>
      </c>
      <c r="D153" s="374"/>
      <c r="E153" s="374" t="s">
        <v>131</v>
      </c>
      <c r="F153" s="232" t="s">
        <v>411</v>
      </c>
      <c r="G153" s="176" t="s">
        <v>24</v>
      </c>
      <c r="H153" s="48">
        <v>10</v>
      </c>
      <c r="I153" s="62">
        <v>5</v>
      </c>
      <c r="J153" s="62">
        <v>5</v>
      </c>
      <c r="K153" s="30">
        <v>6688.2</v>
      </c>
      <c r="L153" s="205">
        <v>2</v>
      </c>
      <c r="M153" s="26">
        <f t="shared" si="10"/>
        <v>2935.73</v>
      </c>
      <c r="N153" s="30">
        <v>2935.73</v>
      </c>
      <c r="O153" s="31"/>
      <c r="P153" s="53">
        <v>4</v>
      </c>
      <c r="Q153" s="30">
        <v>22885.21</v>
      </c>
      <c r="R153" s="205">
        <v>4</v>
      </c>
      <c r="S153" s="26">
        <f t="shared" si="11"/>
        <v>22885.21</v>
      </c>
      <c r="T153" s="30">
        <v>22885.21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34"/>
      <c r="G154" s="229" t="s">
        <v>25</v>
      </c>
      <c r="H154" s="112">
        <v>7</v>
      </c>
      <c r="I154" s="130">
        <v>4</v>
      </c>
      <c r="J154" s="130">
        <v>4</v>
      </c>
      <c r="K154" s="114">
        <v>3685.73</v>
      </c>
      <c r="L154" s="270">
        <v>3</v>
      </c>
      <c r="M154" s="114">
        <v>2782.58</v>
      </c>
      <c r="N154" s="114">
        <v>2782.58</v>
      </c>
      <c r="O154" s="234"/>
      <c r="P154" s="113">
        <v>3</v>
      </c>
      <c r="Q154" s="114">
        <v>7539.8</v>
      </c>
      <c r="R154" s="270">
        <v>3</v>
      </c>
      <c r="S154" s="114">
        <v>7539.8</v>
      </c>
      <c r="T154" s="114">
        <v>7539.8</v>
      </c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132</v>
      </c>
      <c r="C155" s="374" t="s">
        <v>39</v>
      </c>
      <c r="D155" s="374" t="s">
        <v>238</v>
      </c>
      <c r="E155" s="377" t="s">
        <v>136</v>
      </c>
      <c r="F155" s="232" t="s">
        <v>239</v>
      </c>
      <c r="G155" s="23" t="s">
        <v>24</v>
      </c>
      <c r="H155" s="61">
        <v>12</v>
      </c>
      <c r="I155" s="62">
        <v>8</v>
      </c>
      <c r="J155" s="62">
        <v>10</v>
      </c>
      <c r="K155" s="30">
        <v>13129.56</v>
      </c>
      <c r="L155" s="205">
        <v>10</v>
      </c>
      <c r="M155" s="26">
        <f t="shared" ref="M155:M231" si="12">N155+O155</f>
        <v>13129.56</v>
      </c>
      <c r="N155" s="30">
        <v>13129.56</v>
      </c>
      <c r="O155" s="225"/>
      <c r="P155" s="53">
        <v>13</v>
      </c>
      <c r="Q155" s="30">
        <v>50593.43</v>
      </c>
      <c r="R155" s="205">
        <v>12</v>
      </c>
      <c r="S155" s="26">
        <f t="shared" ref="S155:S187" si="13">T155+U155</f>
        <v>49378.37</v>
      </c>
      <c r="T155" s="30">
        <v>49378.37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7"/>
      <c r="B156" s="386"/>
      <c r="C156" s="386"/>
      <c r="D156" s="386"/>
      <c r="E156" s="386"/>
      <c r="F156" s="237" t="s">
        <v>240</v>
      </c>
      <c r="G156" s="154" t="s">
        <v>28</v>
      </c>
      <c r="H156" s="112">
        <v>13</v>
      </c>
      <c r="I156" s="271">
        <v>7</v>
      </c>
      <c r="J156" s="271">
        <v>7</v>
      </c>
      <c r="K156" s="239">
        <v>13627.6</v>
      </c>
      <c r="L156" s="316">
        <v>4</v>
      </c>
      <c r="M156" s="129">
        <f t="shared" si="12"/>
        <v>9412.9</v>
      </c>
      <c r="N156" s="129">
        <f>1728.9+2305.2+576.3+4802.5</f>
        <v>9412.9</v>
      </c>
      <c r="O156" s="45"/>
      <c r="P156" s="238">
        <v>7</v>
      </c>
      <c r="Q156" s="239">
        <v>11775.73</v>
      </c>
      <c r="R156" s="316">
        <v>8</v>
      </c>
      <c r="S156" s="129">
        <f t="shared" si="13"/>
        <v>12985.960000000001</v>
      </c>
      <c r="T156" s="239">
        <f>288.15+6934.81+3073.6+1344.7+1344.7</f>
        <v>12985.960000000001</v>
      </c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105"/>
      <c r="G157" s="55" t="s">
        <v>25</v>
      </c>
      <c r="H157" s="131"/>
      <c r="I157" s="57"/>
      <c r="J157" s="57"/>
      <c r="K157" s="43"/>
      <c r="L157" s="44"/>
      <c r="M157" s="43">
        <f t="shared" si="12"/>
        <v>0</v>
      </c>
      <c r="N157" s="43"/>
      <c r="O157" s="41"/>
      <c r="P157" s="103"/>
      <c r="Q157" s="43"/>
      <c r="R157" s="44"/>
      <c r="S157" s="43">
        <f t="shared" si="13"/>
        <v>0</v>
      </c>
      <c r="T157" s="43"/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133</v>
      </c>
      <c r="C158" s="374" t="s">
        <v>39</v>
      </c>
      <c r="D158" s="374" t="s">
        <v>448</v>
      </c>
      <c r="E158" s="381" t="s">
        <v>23</v>
      </c>
      <c r="F158" s="232" t="s">
        <v>449</v>
      </c>
      <c r="G158" s="23" t="s">
        <v>24</v>
      </c>
      <c r="H158" s="61">
        <v>10</v>
      </c>
      <c r="I158" s="62">
        <v>6</v>
      </c>
      <c r="J158" s="62">
        <v>6</v>
      </c>
      <c r="K158" s="30">
        <v>16306.8</v>
      </c>
      <c r="L158" s="205">
        <v>6</v>
      </c>
      <c r="M158" s="26">
        <f t="shared" si="12"/>
        <v>16306.8</v>
      </c>
      <c r="N158" s="30">
        <v>16306.8</v>
      </c>
      <c r="O158" s="31"/>
      <c r="P158" s="53">
        <v>1</v>
      </c>
      <c r="Q158" s="30">
        <v>1415.78</v>
      </c>
      <c r="R158" s="205">
        <v>1</v>
      </c>
      <c r="S158" s="26">
        <f t="shared" si="13"/>
        <v>1415.78</v>
      </c>
      <c r="T158" s="30">
        <v>1415.78</v>
      </c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34"/>
      <c r="G159" s="35" t="s">
        <v>25</v>
      </c>
      <c r="H159" s="106"/>
      <c r="I159" s="38"/>
      <c r="J159" s="38"/>
      <c r="K159" s="39"/>
      <c r="L159" s="40"/>
      <c r="M159" s="39">
        <f t="shared" si="12"/>
        <v>0</v>
      </c>
      <c r="N159" s="39"/>
      <c r="O159" s="41"/>
      <c r="P159" s="59"/>
      <c r="Q159" s="39"/>
      <c r="R159" s="40"/>
      <c r="S159" s="39">
        <f t="shared" si="13"/>
        <v>0</v>
      </c>
      <c r="T159" s="39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134</v>
      </c>
      <c r="C160" s="374" t="s">
        <v>39</v>
      </c>
      <c r="D160" s="374" t="s">
        <v>280</v>
      </c>
      <c r="E160" s="374" t="s">
        <v>136</v>
      </c>
      <c r="F160" s="204" t="s">
        <v>282</v>
      </c>
      <c r="G160" s="176" t="s">
        <v>24</v>
      </c>
      <c r="H160" s="48">
        <v>11</v>
      </c>
      <c r="I160" s="203">
        <v>9</v>
      </c>
      <c r="J160" s="203">
        <v>9</v>
      </c>
      <c r="K160" s="65">
        <v>12433.98</v>
      </c>
      <c r="L160" s="224">
        <v>8</v>
      </c>
      <c r="M160" s="50">
        <f t="shared" si="12"/>
        <v>9644.25</v>
      </c>
      <c r="N160" s="65">
        <v>9644.25</v>
      </c>
      <c r="O160" s="225"/>
      <c r="P160" s="108">
        <v>6</v>
      </c>
      <c r="Q160" s="65">
        <v>33605.230000000003</v>
      </c>
      <c r="R160" s="224">
        <v>6</v>
      </c>
      <c r="S160" s="50">
        <f t="shared" si="13"/>
        <v>33605.230000000003</v>
      </c>
      <c r="T160" s="65">
        <v>33605.230000000003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7"/>
      <c r="B161" s="386"/>
      <c r="C161" s="386"/>
      <c r="D161" s="386"/>
      <c r="E161" s="386"/>
      <c r="F161" s="235" t="s">
        <v>321</v>
      </c>
      <c r="G161" s="252" t="s">
        <v>28</v>
      </c>
      <c r="H161" s="151">
        <v>10</v>
      </c>
      <c r="I161" s="246">
        <v>4</v>
      </c>
      <c r="J161" s="246">
        <v>4</v>
      </c>
      <c r="K161" s="158">
        <v>8842.2999999999993</v>
      </c>
      <c r="L161" s="317">
        <v>2</v>
      </c>
      <c r="M161" s="142">
        <f t="shared" si="12"/>
        <v>4226.2</v>
      </c>
      <c r="N161" s="142">
        <f>1921+2305.2</f>
        <v>4226.2</v>
      </c>
      <c r="O161" s="45"/>
      <c r="P161" s="157">
        <v>4</v>
      </c>
      <c r="Q161" s="158">
        <v>8625.2900000000009</v>
      </c>
      <c r="R161" s="224">
        <v>5</v>
      </c>
      <c r="S161" s="50">
        <f t="shared" si="13"/>
        <v>9681.84</v>
      </c>
      <c r="T161" s="158">
        <f>6224.04+3457.8</f>
        <v>9681.84</v>
      </c>
      <c r="U161" s="4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229" t="s">
        <v>25</v>
      </c>
      <c r="H162" s="118"/>
      <c r="I162" s="57"/>
      <c r="J162" s="57"/>
      <c r="K162" s="43"/>
      <c r="L162" s="44"/>
      <c r="M162" s="43">
        <f t="shared" si="12"/>
        <v>0</v>
      </c>
      <c r="N162" s="43"/>
      <c r="O162" s="41"/>
      <c r="P162" s="103"/>
      <c r="Q162" s="43"/>
      <c r="R162" s="44"/>
      <c r="S162" s="43">
        <f t="shared" si="13"/>
        <v>0</v>
      </c>
      <c r="T162" s="43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137</v>
      </c>
      <c r="C163" s="377" t="s">
        <v>39</v>
      </c>
      <c r="D163" s="374" t="s">
        <v>322</v>
      </c>
      <c r="E163" s="377" t="s">
        <v>27</v>
      </c>
      <c r="F163" s="232" t="s">
        <v>323</v>
      </c>
      <c r="G163" s="23" t="s">
        <v>24</v>
      </c>
      <c r="H163" s="24">
        <v>12</v>
      </c>
      <c r="I163" s="62">
        <v>6</v>
      </c>
      <c r="J163" s="62">
        <v>8</v>
      </c>
      <c r="K163" s="30">
        <v>16100.36</v>
      </c>
      <c r="L163" s="205">
        <v>6</v>
      </c>
      <c r="M163" s="26">
        <f t="shared" si="12"/>
        <v>10738.18</v>
      </c>
      <c r="N163" s="30">
        <v>10738.18</v>
      </c>
      <c r="O163" s="31"/>
      <c r="P163" s="53">
        <v>2</v>
      </c>
      <c r="Q163" s="30">
        <v>3779.47</v>
      </c>
      <c r="R163" s="205">
        <v>2</v>
      </c>
      <c r="S163" s="26">
        <f t="shared" si="13"/>
        <v>3779.47</v>
      </c>
      <c r="T163" s="30">
        <v>3779.47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80"/>
      <c r="F164" s="220" t="s">
        <v>241</v>
      </c>
      <c r="G164" s="35" t="s">
        <v>28</v>
      </c>
      <c r="H164" s="66">
        <v>7</v>
      </c>
      <c r="I164" s="37">
        <v>4</v>
      </c>
      <c r="J164" s="37">
        <v>4</v>
      </c>
      <c r="K164" s="68">
        <v>5042.7</v>
      </c>
      <c r="L164" s="285">
        <v>3</v>
      </c>
      <c r="M164" s="39">
        <f t="shared" si="12"/>
        <v>3637.8</v>
      </c>
      <c r="N164" s="39">
        <f>576.3+1716.8+1344.7</f>
        <v>3637.8</v>
      </c>
      <c r="O164" s="41"/>
      <c r="P164" s="115">
        <v>2</v>
      </c>
      <c r="Q164" s="68">
        <v>3265.7</v>
      </c>
      <c r="R164" s="285">
        <v>2</v>
      </c>
      <c r="S164" s="39">
        <f t="shared" si="13"/>
        <v>3265.7</v>
      </c>
      <c r="T164" s="39">
        <f>1921+1344.7</f>
        <v>3265.7</v>
      </c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138</v>
      </c>
      <c r="C165" s="374" t="s">
        <v>22</v>
      </c>
      <c r="D165" s="374"/>
      <c r="E165" s="374" t="s">
        <v>27</v>
      </c>
      <c r="F165" s="204" t="s">
        <v>324</v>
      </c>
      <c r="G165" s="176" t="s">
        <v>24</v>
      </c>
      <c r="H165" s="151">
        <v>8</v>
      </c>
      <c r="I165" s="203">
        <v>5</v>
      </c>
      <c r="J165" s="203">
        <v>6</v>
      </c>
      <c r="K165" s="65">
        <v>13186.17</v>
      </c>
      <c r="L165" s="224">
        <v>6</v>
      </c>
      <c r="M165" s="50">
        <f t="shared" si="12"/>
        <v>13186.17</v>
      </c>
      <c r="N165" s="65">
        <v>13186.17</v>
      </c>
      <c r="O165" s="31"/>
      <c r="P165" s="108">
        <v>9</v>
      </c>
      <c r="Q165" s="65">
        <v>17335.71</v>
      </c>
      <c r="R165" s="224">
        <v>8</v>
      </c>
      <c r="S165" s="50">
        <f t="shared" si="13"/>
        <v>16335.71</v>
      </c>
      <c r="T165" s="65">
        <v>16335.71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 t="s">
        <v>242</v>
      </c>
      <c r="G166" s="229" t="s">
        <v>28</v>
      </c>
      <c r="H166" s="133">
        <v>6</v>
      </c>
      <c r="I166" s="130">
        <v>5</v>
      </c>
      <c r="J166" s="130">
        <v>5</v>
      </c>
      <c r="K166" s="114">
        <v>18356.64</v>
      </c>
      <c r="L166" s="270">
        <v>4</v>
      </c>
      <c r="M166" s="43">
        <f t="shared" si="12"/>
        <v>7146.12</v>
      </c>
      <c r="N166" s="43">
        <f>3880.42+1344.7+1921</f>
        <v>7146.12</v>
      </c>
      <c r="O166" s="41"/>
      <c r="P166" s="113">
        <v>5</v>
      </c>
      <c r="Q166" s="114">
        <v>11814.15</v>
      </c>
      <c r="R166" s="270">
        <v>4</v>
      </c>
      <c r="S166" s="43">
        <f t="shared" si="13"/>
        <v>9893.15</v>
      </c>
      <c r="T166" s="114">
        <f>4802.5+2401.25+2689.4</f>
        <v>9893.15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139</v>
      </c>
      <c r="C167" s="374" t="s">
        <v>22</v>
      </c>
      <c r="D167" s="374"/>
      <c r="E167" s="374" t="s">
        <v>67</v>
      </c>
      <c r="F167" s="232" t="s">
        <v>325</v>
      </c>
      <c r="G167" s="23" t="s">
        <v>24</v>
      </c>
      <c r="H167" s="151">
        <v>6</v>
      </c>
      <c r="I167" s="62">
        <v>5</v>
      </c>
      <c r="J167" s="62">
        <v>6</v>
      </c>
      <c r="K167" s="30">
        <v>13798.74</v>
      </c>
      <c r="L167" s="205">
        <v>6</v>
      </c>
      <c r="M167" s="26">
        <f t="shared" si="12"/>
        <v>13798.74</v>
      </c>
      <c r="N167" s="30">
        <v>13798.74</v>
      </c>
      <c r="O167" s="225"/>
      <c r="P167" s="53">
        <v>15</v>
      </c>
      <c r="Q167" s="30">
        <v>52937.79</v>
      </c>
      <c r="R167" s="205">
        <v>15</v>
      </c>
      <c r="S167" s="26">
        <f t="shared" si="13"/>
        <v>52937.79</v>
      </c>
      <c r="T167" s="30">
        <v>52937.79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33" t="s">
        <v>326</v>
      </c>
      <c r="G168" s="227" t="s">
        <v>28</v>
      </c>
      <c r="H168" s="112">
        <v>6</v>
      </c>
      <c r="I168" s="130">
        <v>3</v>
      </c>
      <c r="J168" s="130">
        <v>3</v>
      </c>
      <c r="K168" s="114">
        <v>4835.3999999999996</v>
      </c>
      <c r="L168" s="270">
        <v>2</v>
      </c>
      <c r="M168" s="43">
        <f t="shared" si="12"/>
        <v>2331</v>
      </c>
      <c r="N168" s="43">
        <f>1728.9+602.1</f>
        <v>2331</v>
      </c>
      <c r="O168" s="45"/>
      <c r="P168" s="113">
        <v>4</v>
      </c>
      <c r="Q168" s="114">
        <v>9785.2000000000007</v>
      </c>
      <c r="R168" s="270">
        <v>6</v>
      </c>
      <c r="S168" s="43">
        <f t="shared" si="13"/>
        <v>16062.800000000001</v>
      </c>
      <c r="T168" s="114">
        <f>6269.7+3984+2305.2+3503.9</f>
        <v>16062.800000000001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140</v>
      </c>
      <c r="C169" s="374" t="s">
        <v>39</v>
      </c>
      <c r="D169" s="374" t="s">
        <v>369</v>
      </c>
      <c r="E169" s="374" t="s">
        <v>27</v>
      </c>
      <c r="F169" s="204" t="s">
        <v>370</v>
      </c>
      <c r="G169" s="176" t="s">
        <v>24</v>
      </c>
      <c r="H169" s="24">
        <v>14</v>
      </c>
      <c r="I169" s="62">
        <v>8</v>
      </c>
      <c r="J169" s="62">
        <v>9</v>
      </c>
      <c r="K169" s="30">
        <v>20727.88</v>
      </c>
      <c r="L169" s="205">
        <v>7</v>
      </c>
      <c r="M169" s="26">
        <f t="shared" si="12"/>
        <v>17674.52</v>
      </c>
      <c r="N169" s="30">
        <v>17674.52</v>
      </c>
      <c r="O169" s="159"/>
      <c r="P169" s="53">
        <v>4</v>
      </c>
      <c r="Q169" s="30">
        <v>37770.129999999997</v>
      </c>
      <c r="R169" s="205">
        <v>3</v>
      </c>
      <c r="S169" s="26">
        <f t="shared" si="13"/>
        <v>20168.78</v>
      </c>
      <c r="T169" s="30">
        <v>20168.78</v>
      </c>
      <c r="U169" s="2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233" t="s">
        <v>243</v>
      </c>
      <c r="G170" s="282" t="s">
        <v>28</v>
      </c>
      <c r="H170" s="207">
        <v>5</v>
      </c>
      <c r="I170" s="208">
        <v>1</v>
      </c>
      <c r="J170" s="208">
        <v>1</v>
      </c>
      <c r="K170" s="209">
        <v>1728</v>
      </c>
      <c r="L170" s="210"/>
      <c r="M170" s="211">
        <f t="shared" si="12"/>
        <v>1728.9</v>
      </c>
      <c r="N170" s="211">
        <f>1728.9</f>
        <v>1728.9</v>
      </c>
      <c r="O170" s="274"/>
      <c r="P170" s="262">
        <v>3</v>
      </c>
      <c r="Q170" s="209">
        <v>5494.06</v>
      </c>
      <c r="R170" s="290">
        <v>6</v>
      </c>
      <c r="S170" s="211">
        <f t="shared" si="13"/>
        <v>14023.3</v>
      </c>
      <c r="T170" s="211">
        <f>4034.1+3073.6+5071.44+1267.86+576.3</f>
        <v>14023.3</v>
      </c>
      <c r="U170" s="212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413</v>
      </c>
      <c r="C171" s="374" t="s">
        <v>22</v>
      </c>
      <c r="D171" s="374"/>
      <c r="E171" s="374" t="s">
        <v>391</v>
      </c>
      <c r="F171" s="204" t="s">
        <v>414</v>
      </c>
      <c r="G171" s="176" t="s">
        <v>24</v>
      </c>
      <c r="H171" s="24">
        <v>4</v>
      </c>
      <c r="I171" s="62">
        <v>2</v>
      </c>
      <c r="J171" s="62">
        <v>5</v>
      </c>
      <c r="K171" s="30">
        <v>15627.55</v>
      </c>
      <c r="L171" s="205">
        <v>5</v>
      </c>
      <c r="M171" s="26">
        <f t="shared" si="12"/>
        <v>15627.55</v>
      </c>
      <c r="N171" s="30">
        <v>15627.55</v>
      </c>
      <c r="O171" s="28"/>
      <c r="P171" s="214"/>
      <c r="Q171" s="30"/>
      <c r="R171" s="205"/>
      <c r="S171" s="26">
        <f t="shared" si="13"/>
        <v>0</v>
      </c>
      <c r="T171" s="30"/>
      <c r="U171" s="2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0"/>
      <c r="G172" s="229" t="s">
        <v>28</v>
      </c>
      <c r="H172" s="66"/>
      <c r="I172" s="38"/>
      <c r="J172" s="38"/>
      <c r="K172" s="39"/>
      <c r="L172" s="40"/>
      <c r="M172" s="39">
        <f t="shared" si="12"/>
        <v>0</v>
      </c>
      <c r="N172" s="39"/>
      <c r="O172" s="41"/>
      <c r="P172" s="217"/>
      <c r="Q172" s="68"/>
      <c r="R172" s="285"/>
      <c r="S172" s="39">
        <f t="shared" si="13"/>
        <v>0</v>
      </c>
      <c r="T172" s="68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141</v>
      </c>
      <c r="C173" s="374" t="s">
        <v>39</v>
      </c>
      <c r="D173" s="374" t="s">
        <v>371</v>
      </c>
      <c r="E173" s="374" t="s">
        <v>27</v>
      </c>
      <c r="F173" s="204" t="s">
        <v>372</v>
      </c>
      <c r="G173" s="176" t="s">
        <v>24</v>
      </c>
      <c r="H173" s="281">
        <v>8</v>
      </c>
      <c r="I173" s="266">
        <v>5</v>
      </c>
      <c r="J173" s="266">
        <v>5</v>
      </c>
      <c r="K173" s="79">
        <v>11395.47</v>
      </c>
      <c r="L173" s="268">
        <v>4</v>
      </c>
      <c r="M173" s="81">
        <f t="shared" si="12"/>
        <v>10015.66</v>
      </c>
      <c r="N173" s="79">
        <v>10015.66</v>
      </c>
      <c r="O173" s="219"/>
      <c r="P173" s="267">
        <v>2</v>
      </c>
      <c r="Q173" s="79">
        <v>4949.17</v>
      </c>
      <c r="R173" s="268">
        <v>2</v>
      </c>
      <c r="S173" s="81">
        <f t="shared" si="13"/>
        <v>4949.17</v>
      </c>
      <c r="T173" s="79">
        <v>4949.17</v>
      </c>
      <c r="U173" s="219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34"/>
      <c r="G174" s="229" t="s">
        <v>28</v>
      </c>
      <c r="H174" s="118"/>
      <c r="I174" s="57"/>
      <c r="J174" s="57"/>
      <c r="K174" s="43"/>
      <c r="L174" s="44"/>
      <c r="M174" s="43">
        <f t="shared" si="12"/>
        <v>0</v>
      </c>
      <c r="N174" s="43"/>
      <c r="O174" s="45"/>
      <c r="P174" s="103"/>
      <c r="Q174" s="43"/>
      <c r="R174" s="44"/>
      <c r="S174" s="43">
        <f t="shared" si="13"/>
        <v>0</v>
      </c>
      <c r="T174" s="43"/>
      <c r="U174" s="4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142</v>
      </c>
      <c r="C175" s="374" t="s">
        <v>39</v>
      </c>
      <c r="D175" s="374" t="s">
        <v>415</v>
      </c>
      <c r="E175" s="374" t="s">
        <v>27</v>
      </c>
      <c r="F175" s="232" t="s">
        <v>416</v>
      </c>
      <c r="G175" s="23" t="s">
        <v>24</v>
      </c>
      <c r="H175" s="24">
        <v>4</v>
      </c>
      <c r="I175" s="62">
        <v>2</v>
      </c>
      <c r="J175" s="62">
        <v>2</v>
      </c>
      <c r="K175" s="30">
        <v>524.91</v>
      </c>
      <c r="L175" s="205">
        <v>2</v>
      </c>
      <c r="M175" s="26">
        <f t="shared" si="12"/>
        <v>524.91</v>
      </c>
      <c r="N175" s="30">
        <v>524.91</v>
      </c>
      <c r="O175" s="241"/>
      <c r="P175" s="53">
        <v>1</v>
      </c>
      <c r="Q175" s="30">
        <v>412.05</v>
      </c>
      <c r="R175" s="205">
        <v>1</v>
      </c>
      <c r="S175" s="26">
        <f t="shared" si="13"/>
        <v>412.05</v>
      </c>
      <c r="T175" s="30">
        <v>412.05</v>
      </c>
      <c r="U175" s="2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227" t="s">
        <v>28</v>
      </c>
      <c r="H176" s="311"/>
      <c r="I176" s="261"/>
      <c r="J176" s="261"/>
      <c r="K176" s="211"/>
      <c r="L176" s="210"/>
      <c r="M176" s="211">
        <f t="shared" si="12"/>
        <v>0</v>
      </c>
      <c r="N176" s="211"/>
      <c r="O176" s="212"/>
      <c r="P176" s="273"/>
      <c r="Q176" s="211"/>
      <c r="R176" s="210"/>
      <c r="S176" s="211">
        <f t="shared" si="13"/>
        <v>0</v>
      </c>
      <c r="T176" s="211"/>
      <c r="U176" s="212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424</v>
      </c>
      <c r="C177" s="374" t="s">
        <v>22</v>
      </c>
      <c r="D177" s="374"/>
      <c r="E177" s="374" t="s">
        <v>65</v>
      </c>
      <c r="F177" s="232" t="s">
        <v>437</v>
      </c>
      <c r="G177" s="213" t="s">
        <v>24</v>
      </c>
      <c r="H177" s="24">
        <v>4</v>
      </c>
      <c r="I177" s="62">
        <v>1</v>
      </c>
      <c r="J177" s="62">
        <v>1</v>
      </c>
      <c r="K177" s="30">
        <v>1285.1500000000001</v>
      </c>
      <c r="L177" s="205">
        <v>1</v>
      </c>
      <c r="M177" s="26">
        <f t="shared" si="12"/>
        <v>1285.1500000000001</v>
      </c>
      <c r="N177" s="30">
        <v>1285.1500000000001</v>
      </c>
      <c r="O177" s="28"/>
      <c r="P177" s="214"/>
      <c r="Q177" s="30"/>
      <c r="R177" s="205"/>
      <c r="S177" s="26">
        <f t="shared" si="13"/>
        <v>0</v>
      </c>
      <c r="T177" s="30"/>
      <c r="U177" s="24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/>
      <c r="G178" s="215" t="s">
        <v>28</v>
      </c>
      <c r="H178" s="66"/>
      <c r="I178" s="38"/>
      <c r="J178" s="38"/>
      <c r="K178" s="39"/>
      <c r="L178" s="40"/>
      <c r="M178" s="39">
        <f t="shared" si="12"/>
        <v>0</v>
      </c>
      <c r="N178" s="39"/>
      <c r="O178" s="41"/>
      <c r="P178" s="217"/>
      <c r="Q178" s="68"/>
      <c r="R178" s="285"/>
      <c r="S178" s="39">
        <f t="shared" si="13"/>
        <v>0</v>
      </c>
      <c r="T178" s="68"/>
      <c r="U178" s="23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6"/>
      <c r="B179" s="377" t="s">
        <v>143</v>
      </c>
      <c r="C179" s="377" t="s">
        <v>39</v>
      </c>
      <c r="D179" s="377" t="s">
        <v>327</v>
      </c>
      <c r="E179" s="377" t="s">
        <v>145</v>
      </c>
      <c r="F179" s="232" t="s">
        <v>215</v>
      </c>
      <c r="G179" s="95" t="s">
        <v>24</v>
      </c>
      <c r="H179" s="281">
        <v>4</v>
      </c>
      <c r="I179" s="266">
        <v>3</v>
      </c>
      <c r="J179" s="266">
        <v>3</v>
      </c>
      <c r="K179" s="79">
        <v>3521.24</v>
      </c>
      <c r="L179" s="268">
        <v>3</v>
      </c>
      <c r="M179" s="81">
        <f t="shared" si="12"/>
        <v>3521.24</v>
      </c>
      <c r="N179" s="79">
        <v>3521.24</v>
      </c>
      <c r="O179" s="219"/>
      <c r="P179" s="267">
        <v>15</v>
      </c>
      <c r="Q179" s="79">
        <v>43575.18</v>
      </c>
      <c r="R179" s="268">
        <v>15</v>
      </c>
      <c r="S179" s="81">
        <f t="shared" si="13"/>
        <v>43575.18</v>
      </c>
      <c r="T179" s="79">
        <v>43575.18</v>
      </c>
      <c r="U179" s="269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9"/>
      <c r="B180" s="380"/>
      <c r="C180" s="380"/>
      <c r="D180" s="380"/>
      <c r="E180" s="380"/>
      <c r="F180" s="233" t="s">
        <v>244</v>
      </c>
      <c r="G180" s="227" t="s">
        <v>28</v>
      </c>
      <c r="H180" s="133">
        <v>9</v>
      </c>
      <c r="I180" s="130">
        <v>4</v>
      </c>
      <c r="J180" s="130">
        <v>4</v>
      </c>
      <c r="K180" s="114">
        <v>14993.72</v>
      </c>
      <c r="L180" s="316">
        <v>3</v>
      </c>
      <c r="M180" s="50">
        <f t="shared" si="12"/>
        <v>9569.92</v>
      </c>
      <c r="N180" s="43">
        <f>2497.3+1152.6+5920.02</f>
        <v>9569.92</v>
      </c>
      <c r="O180" s="41"/>
      <c r="P180" s="113">
        <v>2</v>
      </c>
      <c r="Q180" s="114">
        <v>7924</v>
      </c>
      <c r="R180" s="270">
        <v>3</v>
      </c>
      <c r="S180" s="43">
        <f t="shared" si="13"/>
        <v>8500.2999999999993</v>
      </c>
      <c r="T180" s="114">
        <f>576.3+5426.7+2497.3</f>
        <v>8500.2999999999993</v>
      </c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146</v>
      </c>
      <c r="C181" s="374" t="s">
        <v>39</v>
      </c>
      <c r="D181" s="374" t="s">
        <v>328</v>
      </c>
      <c r="E181" s="374" t="s">
        <v>27</v>
      </c>
      <c r="F181" s="204" t="s">
        <v>329</v>
      </c>
      <c r="G181" s="176" t="s">
        <v>24</v>
      </c>
      <c r="H181" s="48">
        <v>8</v>
      </c>
      <c r="I181" s="62">
        <v>6</v>
      </c>
      <c r="J181" s="62">
        <v>6</v>
      </c>
      <c r="K181" s="30">
        <v>22780.46</v>
      </c>
      <c r="L181" s="205">
        <v>6</v>
      </c>
      <c r="M181" s="26">
        <f t="shared" si="12"/>
        <v>22780.46</v>
      </c>
      <c r="N181" s="30">
        <v>22780.46</v>
      </c>
      <c r="O181" s="225"/>
      <c r="P181" s="53">
        <v>11</v>
      </c>
      <c r="Q181" s="30">
        <v>34917.42</v>
      </c>
      <c r="R181" s="205">
        <v>11</v>
      </c>
      <c r="S181" s="26">
        <f t="shared" si="13"/>
        <v>34917.42</v>
      </c>
      <c r="T181" s="30">
        <v>34917.42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220" t="s">
        <v>330</v>
      </c>
      <c r="G182" s="229" t="s">
        <v>28</v>
      </c>
      <c r="H182" s="153">
        <v>4</v>
      </c>
      <c r="I182" s="57"/>
      <c r="J182" s="57"/>
      <c r="K182" s="43"/>
      <c r="L182" s="44"/>
      <c r="M182" s="43">
        <f t="shared" si="12"/>
        <v>0</v>
      </c>
      <c r="N182" s="43"/>
      <c r="O182" s="41"/>
      <c r="P182" s="115">
        <v>7</v>
      </c>
      <c r="Q182" s="68">
        <v>28978.07</v>
      </c>
      <c r="R182" s="285">
        <v>6</v>
      </c>
      <c r="S182" s="39">
        <f t="shared" si="13"/>
        <v>27573.17</v>
      </c>
      <c r="T182" s="68">
        <f>576.3+15944.3+1479.17+1344.7+8228.7</f>
        <v>27573.17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148</v>
      </c>
      <c r="C183" s="374" t="s">
        <v>39</v>
      </c>
      <c r="D183" s="374" t="s">
        <v>149</v>
      </c>
      <c r="E183" s="374" t="s">
        <v>27</v>
      </c>
      <c r="F183" s="204" t="s">
        <v>218</v>
      </c>
      <c r="G183" s="176" t="s">
        <v>24</v>
      </c>
      <c r="H183" s="48">
        <v>17</v>
      </c>
      <c r="I183" s="62">
        <v>17</v>
      </c>
      <c r="J183" s="204">
        <v>21</v>
      </c>
      <c r="K183" s="30">
        <v>38411.870000000003</v>
      </c>
      <c r="L183" s="205">
        <v>19</v>
      </c>
      <c r="M183" s="26">
        <f t="shared" si="12"/>
        <v>35669.300000000003</v>
      </c>
      <c r="N183" s="30">
        <v>35669.300000000003</v>
      </c>
      <c r="O183" s="225"/>
      <c r="P183" s="108">
        <v>23</v>
      </c>
      <c r="Q183" s="65">
        <v>81517.899999999994</v>
      </c>
      <c r="R183" s="224">
        <v>22</v>
      </c>
      <c r="S183" s="50">
        <f t="shared" si="13"/>
        <v>79924.350000000006</v>
      </c>
      <c r="T183" s="65">
        <v>79924.350000000006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34"/>
      <c r="G184" s="229" t="s">
        <v>28</v>
      </c>
      <c r="H184" s="292">
        <v>2</v>
      </c>
      <c r="I184" s="208">
        <v>1</v>
      </c>
      <c r="J184" s="208">
        <v>1</v>
      </c>
      <c r="K184" s="209">
        <v>3010.5</v>
      </c>
      <c r="L184" s="210"/>
      <c r="M184" s="211">
        <f t="shared" si="12"/>
        <v>0</v>
      </c>
      <c r="N184" s="211"/>
      <c r="O184" s="212"/>
      <c r="P184" s="262">
        <v>1</v>
      </c>
      <c r="Q184" s="209">
        <v>576.29999999999995</v>
      </c>
      <c r="R184" s="290">
        <v>2</v>
      </c>
      <c r="S184" s="211">
        <f t="shared" si="13"/>
        <v>2497.3000000000002</v>
      </c>
      <c r="T184" s="209">
        <f>1921+576.3</f>
        <v>2497.3000000000002</v>
      </c>
      <c r="U184" s="21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2"/>
      <c r="B185" s="374" t="s">
        <v>373</v>
      </c>
      <c r="C185" s="374" t="s">
        <v>22</v>
      </c>
      <c r="D185" s="374"/>
      <c r="E185" s="374" t="s">
        <v>27</v>
      </c>
      <c r="F185" s="232" t="s">
        <v>417</v>
      </c>
      <c r="G185" s="213" t="s">
        <v>24</v>
      </c>
      <c r="H185" s="61">
        <v>1</v>
      </c>
      <c r="I185" s="62">
        <v>1</v>
      </c>
      <c r="J185" s="62">
        <v>1</v>
      </c>
      <c r="K185" s="326">
        <v>662.31</v>
      </c>
      <c r="L185" s="327">
        <v>1</v>
      </c>
      <c r="M185" s="162">
        <f t="shared" si="12"/>
        <v>662.31</v>
      </c>
      <c r="N185" s="326">
        <v>662.31</v>
      </c>
      <c r="O185" s="28"/>
      <c r="P185" s="275"/>
      <c r="Q185" s="26"/>
      <c r="R185" s="27"/>
      <c r="S185" s="26">
        <f t="shared" si="13"/>
        <v>0</v>
      </c>
      <c r="T185" s="26"/>
      <c r="U185" s="28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75"/>
      <c r="F186" s="105"/>
      <c r="G186" s="215" t="s">
        <v>28</v>
      </c>
      <c r="H186" s="117">
        <v>4</v>
      </c>
      <c r="I186" s="37">
        <v>1</v>
      </c>
      <c r="J186" s="37">
        <v>1</v>
      </c>
      <c r="K186" s="318">
        <v>1056.22</v>
      </c>
      <c r="L186" s="343">
        <v>1</v>
      </c>
      <c r="M186" s="164">
        <f t="shared" si="12"/>
        <v>1056.55</v>
      </c>
      <c r="N186" s="164">
        <f>1056.55</f>
        <v>1056.55</v>
      </c>
      <c r="O186" s="41"/>
      <c r="P186" s="276"/>
      <c r="Q186" s="39"/>
      <c r="R186" s="40"/>
      <c r="S186" s="39">
        <f t="shared" si="13"/>
        <v>0</v>
      </c>
      <c r="T186" s="39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6"/>
      <c r="B187" s="402" t="s">
        <v>150</v>
      </c>
      <c r="C187" s="377" t="s">
        <v>39</v>
      </c>
      <c r="D187" s="377" t="s">
        <v>151</v>
      </c>
      <c r="E187" s="377" t="s">
        <v>152</v>
      </c>
      <c r="F187" s="72"/>
      <c r="G187" s="95" t="s">
        <v>24</v>
      </c>
      <c r="H187" s="74"/>
      <c r="I187" s="96"/>
      <c r="J187" s="96"/>
      <c r="K187" s="293"/>
      <c r="L187" s="294"/>
      <c r="M187" s="293">
        <f t="shared" si="12"/>
        <v>0</v>
      </c>
      <c r="N187" s="293"/>
      <c r="O187" s="82"/>
      <c r="P187" s="295"/>
      <c r="Q187" s="81"/>
      <c r="R187" s="80"/>
      <c r="S187" s="81">
        <f t="shared" si="13"/>
        <v>0</v>
      </c>
      <c r="T187" s="81"/>
      <c r="U187" s="8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89"/>
      <c r="C188" s="375"/>
      <c r="D188" s="375"/>
      <c r="E188" s="375"/>
      <c r="F188" s="220" t="s">
        <v>331</v>
      </c>
      <c r="G188" s="35" t="s">
        <v>25</v>
      </c>
      <c r="H188" s="106"/>
      <c r="I188" s="38"/>
      <c r="J188" s="38"/>
      <c r="K188" s="164"/>
      <c r="L188" s="165"/>
      <c r="M188" s="164">
        <f t="shared" si="12"/>
        <v>0</v>
      </c>
      <c r="N188" s="164"/>
      <c r="O188" s="41"/>
      <c r="P188" s="67">
        <v>4</v>
      </c>
      <c r="Q188" s="68">
        <v>19199.810000000001</v>
      </c>
      <c r="R188" s="285">
        <v>4</v>
      </c>
      <c r="S188" s="68">
        <v>19199.810000000001</v>
      </c>
      <c r="T188" s="68">
        <v>19199.810000000001</v>
      </c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153</v>
      </c>
      <c r="C189" s="374" t="s">
        <v>39</v>
      </c>
      <c r="D189" s="381" t="s">
        <v>332</v>
      </c>
      <c r="E189" s="381" t="s">
        <v>27</v>
      </c>
      <c r="F189" s="223" t="s">
        <v>333</v>
      </c>
      <c r="G189" s="47" t="s">
        <v>24</v>
      </c>
      <c r="H189" s="48">
        <v>21</v>
      </c>
      <c r="I189" s="203">
        <v>20</v>
      </c>
      <c r="J189" s="203">
        <v>25</v>
      </c>
      <c r="K189" s="242">
        <v>50699.519999999997</v>
      </c>
      <c r="L189" s="320">
        <v>22</v>
      </c>
      <c r="M189" s="166">
        <f t="shared" si="12"/>
        <v>46447.49</v>
      </c>
      <c r="N189" s="242">
        <v>46447.49</v>
      </c>
      <c r="O189" s="225"/>
      <c r="P189" s="108">
        <v>7</v>
      </c>
      <c r="Q189" s="65">
        <v>41813.410000000003</v>
      </c>
      <c r="R189" s="224">
        <v>6</v>
      </c>
      <c r="S189" s="50">
        <f t="shared" ref="S189:S208" si="14">T189+U189</f>
        <v>34185.78</v>
      </c>
      <c r="T189" s="65">
        <v>34185.78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75"/>
      <c r="D190" s="380"/>
      <c r="E190" s="380"/>
      <c r="F190" s="34"/>
      <c r="G190" s="35" t="s">
        <v>28</v>
      </c>
      <c r="H190" s="153">
        <v>1</v>
      </c>
      <c r="I190" s="130">
        <v>1</v>
      </c>
      <c r="J190" s="130">
        <v>1</v>
      </c>
      <c r="K190" s="114">
        <v>1152.5999999999999</v>
      </c>
      <c r="L190" s="270">
        <v>1</v>
      </c>
      <c r="M190" s="43">
        <f t="shared" si="12"/>
        <v>1152.5999999999999</v>
      </c>
      <c r="N190" s="43">
        <f>1152.6</f>
        <v>1152.5999999999999</v>
      </c>
      <c r="O190" s="41"/>
      <c r="P190" s="113">
        <v>3</v>
      </c>
      <c r="Q190" s="114">
        <v>19714.599999999999</v>
      </c>
      <c r="R190" s="270">
        <v>4</v>
      </c>
      <c r="S190" s="43">
        <f t="shared" si="14"/>
        <v>21635.599999999999</v>
      </c>
      <c r="T190" s="114">
        <f>1921+11718.1+5186.7+2809.8</f>
        <v>21635.599999999999</v>
      </c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155</v>
      </c>
      <c r="C191" s="374" t="s">
        <v>22</v>
      </c>
      <c r="D191" s="374"/>
      <c r="E191" s="374" t="s">
        <v>37</v>
      </c>
      <c r="F191" s="223" t="s">
        <v>245</v>
      </c>
      <c r="G191" s="23" t="s">
        <v>24</v>
      </c>
      <c r="H191" s="48">
        <v>5</v>
      </c>
      <c r="I191" s="62">
        <v>4</v>
      </c>
      <c r="J191" s="62">
        <v>4</v>
      </c>
      <c r="K191" s="30">
        <v>5891.75</v>
      </c>
      <c r="L191" s="205">
        <v>4</v>
      </c>
      <c r="M191" s="26">
        <f t="shared" si="12"/>
        <v>5891.75</v>
      </c>
      <c r="N191" s="30">
        <v>5891.75</v>
      </c>
      <c r="O191" s="31"/>
      <c r="P191" s="53">
        <v>7</v>
      </c>
      <c r="Q191" s="30">
        <v>16748.509999999998</v>
      </c>
      <c r="R191" s="205">
        <v>7</v>
      </c>
      <c r="S191" s="26">
        <f t="shared" si="14"/>
        <v>16748.509999999998</v>
      </c>
      <c r="T191" s="30">
        <v>16748.509999999998</v>
      </c>
      <c r="U191" s="225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105"/>
      <c r="G192" s="35" t="s">
        <v>28</v>
      </c>
      <c r="H192" s="116"/>
      <c r="I192" s="38"/>
      <c r="J192" s="38"/>
      <c r="K192" s="39"/>
      <c r="L192" s="40"/>
      <c r="M192" s="39">
        <f t="shared" si="12"/>
        <v>0</v>
      </c>
      <c r="N192" s="39"/>
      <c r="O192" s="41"/>
      <c r="P192" s="5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82"/>
      <c r="B193" s="381" t="s">
        <v>156</v>
      </c>
      <c r="C193" s="381" t="s">
        <v>46</v>
      </c>
      <c r="D193" s="385" t="s">
        <v>418</v>
      </c>
      <c r="E193" s="381" t="s">
        <v>27</v>
      </c>
      <c r="F193" s="223" t="s">
        <v>419</v>
      </c>
      <c r="G193" s="23" t="s">
        <v>24</v>
      </c>
      <c r="H193" s="98"/>
      <c r="I193" s="49"/>
      <c r="J193" s="49"/>
      <c r="K193" s="50"/>
      <c r="L193" s="51"/>
      <c r="M193" s="50">
        <f t="shared" si="12"/>
        <v>0</v>
      </c>
      <c r="N193" s="50"/>
      <c r="O193" s="31"/>
      <c r="P193" s="108">
        <v>2</v>
      </c>
      <c r="Q193" s="65">
        <v>14241.9</v>
      </c>
      <c r="R193" s="224">
        <v>2</v>
      </c>
      <c r="S193" s="50">
        <f t="shared" si="14"/>
        <v>14241.9</v>
      </c>
      <c r="T193" s="65">
        <v>14241.9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9"/>
      <c r="B194" s="380"/>
      <c r="C194" s="380"/>
      <c r="D194" s="380"/>
      <c r="E194" s="380"/>
      <c r="F194" s="54"/>
      <c r="G194" s="55" t="s">
        <v>28</v>
      </c>
      <c r="H194" s="118"/>
      <c r="I194" s="57"/>
      <c r="J194" s="57"/>
      <c r="K194" s="43"/>
      <c r="L194" s="44"/>
      <c r="M194" s="43">
        <f t="shared" si="12"/>
        <v>0</v>
      </c>
      <c r="N194" s="43"/>
      <c r="O194" s="41"/>
      <c r="P194" s="113">
        <v>1</v>
      </c>
      <c r="Q194" s="114">
        <v>0</v>
      </c>
      <c r="R194" s="44"/>
      <c r="S194" s="43">
        <f t="shared" si="14"/>
        <v>0</v>
      </c>
      <c r="T194" s="43"/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2"/>
      <c r="B195" s="374" t="s">
        <v>157</v>
      </c>
      <c r="C195" s="390"/>
      <c r="D195" s="374"/>
      <c r="E195" s="374"/>
      <c r="F195" s="22"/>
      <c r="G195" s="23" t="s">
        <v>24</v>
      </c>
      <c r="H195" s="104"/>
      <c r="I195" s="25"/>
      <c r="J195" s="25"/>
      <c r="K195" s="26"/>
      <c r="L195" s="27"/>
      <c r="M195" s="26">
        <f t="shared" si="12"/>
        <v>0</v>
      </c>
      <c r="N195" s="26"/>
      <c r="O195" s="31"/>
      <c r="P195" s="120"/>
      <c r="Q195" s="26"/>
      <c r="R195" s="27"/>
      <c r="S195" s="26">
        <f t="shared" si="14"/>
        <v>0</v>
      </c>
      <c r="T195" s="26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34"/>
      <c r="G196" s="35" t="s">
        <v>28</v>
      </c>
      <c r="H196" s="106"/>
      <c r="I196" s="38"/>
      <c r="J196" s="38"/>
      <c r="K196" s="39"/>
      <c r="L196" s="40"/>
      <c r="M196" s="39">
        <f t="shared" si="12"/>
        <v>0</v>
      </c>
      <c r="N196" s="39"/>
      <c r="O196" s="41"/>
      <c r="P196" s="69"/>
      <c r="Q196" s="39"/>
      <c r="R196" s="40"/>
      <c r="S196" s="39">
        <f t="shared" si="14"/>
        <v>0</v>
      </c>
      <c r="T196" s="39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158</v>
      </c>
      <c r="C197" s="374" t="s">
        <v>39</v>
      </c>
      <c r="D197" s="374" t="s">
        <v>288</v>
      </c>
      <c r="E197" s="374" t="s">
        <v>27</v>
      </c>
      <c r="F197" s="204" t="s">
        <v>289</v>
      </c>
      <c r="G197" s="176" t="s">
        <v>24</v>
      </c>
      <c r="H197" s="48">
        <v>10</v>
      </c>
      <c r="I197" s="203">
        <v>9</v>
      </c>
      <c r="J197" s="203">
        <v>10</v>
      </c>
      <c r="K197" s="65">
        <v>26045.17</v>
      </c>
      <c r="L197" s="224">
        <v>10</v>
      </c>
      <c r="M197" s="50">
        <f t="shared" si="12"/>
        <v>26045.17</v>
      </c>
      <c r="N197" s="65">
        <v>26045.17</v>
      </c>
      <c r="O197" s="225"/>
      <c r="P197" s="108">
        <v>10</v>
      </c>
      <c r="Q197" s="65">
        <v>22956.16</v>
      </c>
      <c r="R197" s="224">
        <v>10</v>
      </c>
      <c r="S197" s="50">
        <f t="shared" si="14"/>
        <v>22956.16</v>
      </c>
      <c r="T197" s="65">
        <v>22956.16</v>
      </c>
      <c r="U197" s="225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75"/>
      <c r="F198" s="220" t="s">
        <v>334</v>
      </c>
      <c r="G198" s="229" t="s">
        <v>28</v>
      </c>
      <c r="H198" s="117">
        <v>4</v>
      </c>
      <c r="I198" s="37">
        <v>4</v>
      </c>
      <c r="J198" s="37">
        <v>4</v>
      </c>
      <c r="K198" s="68">
        <v>5874.79</v>
      </c>
      <c r="L198" s="285">
        <v>3</v>
      </c>
      <c r="M198" s="39">
        <f t="shared" si="12"/>
        <v>4329.3999999999996</v>
      </c>
      <c r="N198" s="39">
        <f>1921+1204.2+1204.2</f>
        <v>4329.3999999999996</v>
      </c>
      <c r="O198" s="41"/>
      <c r="P198" s="59"/>
      <c r="Q198" s="39"/>
      <c r="R198" s="40"/>
      <c r="S198" s="39">
        <f t="shared" si="14"/>
        <v>1152.5999999999999</v>
      </c>
      <c r="T198" s="68">
        <v>1152.5999999999999</v>
      </c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6"/>
      <c r="B199" s="377" t="s">
        <v>159</v>
      </c>
      <c r="C199" s="377" t="s">
        <v>22</v>
      </c>
      <c r="D199" s="377"/>
      <c r="E199" s="377" t="s">
        <v>160</v>
      </c>
      <c r="F199" s="232" t="s">
        <v>246</v>
      </c>
      <c r="G199" s="95" t="s">
        <v>24</v>
      </c>
      <c r="H199" s="48">
        <v>18</v>
      </c>
      <c r="I199" s="203">
        <v>18</v>
      </c>
      <c r="J199" s="203">
        <v>27</v>
      </c>
      <c r="K199" s="65">
        <v>50695.82</v>
      </c>
      <c r="L199" s="224">
        <v>27</v>
      </c>
      <c r="M199" s="50">
        <f t="shared" si="12"/>
        <v>50695.82</v>
      </c>
      <c r="N199" s="65">
        <v>50695.82</v>
      </c>
      <c r="O199" s="225"/>
      <c r="P199" s="108">
        <v>27</v>
      </c>
      <c r="Q199" s="65">
        <v>43490.11</v>
      </c>
      <c r="R199" s="224">
        <v>26</v>
      </c>
      <c r="S199" s="50">
        <f t="shared" si="14"/>
        <v>42356.26</v>
      </c>
      <c r="T199" s="65">
        <v>42356.26</v>
      </c>
      <c r="U199" s="225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3"/>
      <c r="B200" s="375"/>
      <c r="C200" s="375"/>
      <c r="D200" s="375"/>
      <c r="E200" s="375"/>
      <c r="F200" s="54"/>
      <c r="G200" s="55" t="s">
        <v>28</v>
      </c>
      <c r="H200" s="112">
        <v>6</v>
      </c>
      <c r="I200" s="130">
        <v>2</v>
      </c>
      <c r="J200" s="130">
        <v>2</v>
      </c>
      <c r="K200" s="114">
        <v>2401.25</v>
      </c>
      <c r="L200" s="316">
        <v>2</v>
      </c>
      <c r="M200" s="50">
        <f t="shared" si="12"/>
        <v>2401.25</v>
      </c>
      <c r="N200" s="43">
        <f>1056.55+1344.7</f>
        <v>2401.25</v>
      </c>
      <c r="O200" s="41"/>
      <c r="P200" s="113">
        <v>3</v>
      </c>
      <c r="Q200" s="114">
        <v>5551.69</v>
      </c>
      <c r="R200" s="270">
        <v>3</v>
      </c>
      <c r="S200" s="43">
        <f t="shared" si="14"/>
        <v>5551.69</v>
      </c>
      <c r="T200" s="43">
        <f>5551.69</f>
        <v>5551.69</v>
      </c>
      <c r="U200" s="4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2"/>
      <c r="B201" s="374" t="s">
        <v>161</v>
      </c>
      <c r="C201" s="377" t="s">
        <v>22</v>
      </c>
      <c r="D201" s="374"/>
      <c r="E201" s="374" t="s">
        <v>450</v>
      </c>
      <c r="F201" s="204" t="s">
        <v>451</v>
      </c>
      <c r="G201" s="23" t="s">
        <v>24</v>
      </c>
      <c r="H201" s="24">
        <v>11</v>
      </c>
      <c r="I201" s="62">
        <v>1</v>
      </c>
      <c r="J201" s="62">
        <v>2</v>
      </c>
      <c r="K201" s="30">
        <v>3016.65</v>
      </c>
      <c r="L201" s="205">
        <v>2</v>
      </c>
      <c r="M201" s="26">
        <f t="shared" si="12"/>
        <v>3016.65</v>
      </c>
      <c r="N201" s="30">
        <v>3016.65</v>
      </c>
      <c r="O201" s="31"/>
      <c r="P201" s="53">
        <v>11</v>
      </c>
      <c r="Q201" s="30">
        <v>35207.21</v>
      </c>
      <c r="R201" s="205">
        <v>11</v>
      </c>
      <c r="S201" s="26">
        <f t="shared" si="14"/>
        <v>35207.21</v>
      </c>
      <c r="T201" s="30">
        <v>35207.21</v>
      </c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3"/>
      <c r="B202" s="375"/>
      <c r="C202" s="375"/>
      <c r="D202" s="375"/>
      <c r="E202" s="392"/>
      <c r="F202" s="34"/>
      <c r="G202" s="35" t="s">
        <v>28</v>
      </c>
      <c r="H202" s="66">
        <v>4</v>
      </c>
      <c r="I202" s="38"/>
      <c r="J202" s="38"/>
      <c r="K202" s="39"/>
      <c r="L202" s="40"/>
      <c r="M202" s="39">
        <f t="shared" si="12"/>
        <v>0</v>
      </c>
      <c r="N202" s="39"/>
      <c r="O202" s="41"/>
      <c r="P202" s="59"/>
      <c r="Q202" s="39"/>
      <c r="R202" s="40"/>
      <c r="S202" s="39">
        <f t="shared" si="14"/>
        <v>0</v>
      </c>
      <c r="T202" s="39"/>
      <c r="U202" s="4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82"/>
      <c r="B203" s="381" t="s">
        <v>162</v>
      </c>
      <c r="C203" s="381" t="s">
        <v>39</v>
      </c>
      <c r="D203" s="381" t="s">
        <v>163</v>
      </c>
      <c r="E203" s="374" t="s">
        <v>27</v>
      </c>
      <c r="F203" s="135"/>
      <c r="G203" s="47" t="s">
        <v>24</v>
      </c>
      <c r="H203" s="98"/>
      <c r="I203" s="49"/>
      <c r="J203" s="49"/>
      <c r="K203" s="50"/>
      <c r="L203" s="51"/>
      <c r="M203" s="50">
        <f t="shared" si="12"/>
        <v>0</v>
      </c>
      <c r="N203" s="50"/>
      <c r="O203" s="31"/>
      <c r="P203" s="123"/>
      <c r="Q203" s="50"/>
      <c r="R203" s="51"/>
      <c r="S203" s="50">
        <f t="shared" si="14"/>
        <v>0</v>
      </c>
      <c r="T203" s="50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7"/>
      <c r="B204" s="386"/>
      <c r="C204" s="386"/>
      <c r="D204" s="386"/>
      <c r="E204" s="386"/>
      <c r="F204" s="54"/>
      <c r="G204" s="47" t="s">
        <v>25</v>
      </c>
      <c r="H204" s="98"/>
      <c r="I204" s="49"/>
      <c r="J204" s="49"/>
      <c r="K204" s="50"/>
      <c r="L204" s="51"/>
      <c r="M204" s="50">
        <f t="shared" si="12"/>
        <v>0</v>
      </c>
      <c r="N204" s="50"/>
      <c r="O204" s="45"/>
      <c r="P204" s="123"/>
      <c r="Q204" s="50"/>
      <c r="R204" s="51"/>
      <c r="S204" s="50">
        <f t="shared" si="14"/>
        <v>0</v>
      </c>
      <c r="T204" s="50"/>
      <c r="U204" s="4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9"/>
      <c r="B205" s="380"/>
      <c r="C205" s="380"/>
      <c r="D205" s="380"/>
      <c r="E205" s="380"/>
      <c r="F205" s="54"/>
      <c r="G205" s="55" t="s">
        <v>28</v>
      </c>
      <c r="H205" s="116"/>
      <c r="I205" s="57"/>
      <c r="J205" s="57"/>
      <c r="K205" s="43"/>
      <c r="L205" s="44"/>
      <c r="M205" s="43">
        <f t="shared" si="12"/>
        <v>0</v>
      </c>
      <c r="N205" s="43"/>
      <c r="O205" s="41"/>
      <c r="P205" s="113">
        <v>1</v>
      </c>
      <c r="Q205" s="114">
        <v>4602.5</v>
      </c>
      <c r="R205" s="270">
        <v>1</v>
      </c>
      <c r="S205" s="43">
        <f t="shared" si="14"/>
        <v>4602.5</v>
      </c>
      <c r="T205" s="114">
        <v>4602.5</v>
      </c>
      <c r="U205" s="23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164</v>
      </c>
      <c r="C206" s="374" t="s">
        <v>22</v>
      </c>
      <c r="D206" s="374"/>
      <c r="E206" s="374" t="s">
        <v>27</v>
      </c>
      <c r="F206" s="22"/>
      <c r="G206" s="23" t="s">
        <v>24</v>
      </c>
      <c r="H206" s="98"/>
      <c r="I206" s="25"/>
      <c r="J206" s="25"/>
      <c r="K206" s="26"/>
      <c r="L206" s="27"/>
      <c r="M206" s="26">
        <f t="shared" si="12"/>
        <v>0</v>
      </c>
      <c r="N206" s="26"/>
      <c r="O206" s="31"/>
      <c r="P206" s="99"/>
      <c r="Q206" s="26"/>
      <c r="R206" s="27"/>
      <c r="S206" s="26">
        <f t="shared" si="14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1" t="s">
        <v>335</v>
      </c>
      <c r="G207" s="55" t="s">
        <v>28</v>
      </c>
      <c r="H207" s="56">
        <v>4</v>
      </c>
      <c r="I207" s="57"/>
      <c r="J207" s="57"/>
      <c r="K207" s="43"/>
      <c r="L207" s="44"/>
      <c r="M207" s="43">
        <f t="shared" si="12"/>
        <v>0</v>
      </c>
      <c r="N207" s="43"/>
      <c r="O207" s="41"/>
      <c r="P207" s="113">
        <v>4</v>
      </c>
      <c r="Q207" s="114">
        <v>7395.85</v>
      </c>
      <c r="R207" s="270">
        <v>5</v>
      </c>
      <c r="S207" s="43">
        <f t="shared" si="14"/>
        <v>8452.4000000000015</v>
      </c>
      <c r="T207" s="114">
        <f>4034.1+1921+2497.3</f>
        <v>8452.4000000000015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165</v>
      </c>
      <c r="C208" s="374"/>
      <c r="D208" s="374"/>
      <c r="E208" s="374"/>
      <c r="F208" s="22"/>
      <c r="G208" s="23" t="s">
        <v>24</v>
      </c>
      <c r="H208" s="119"/>
      <c r="I208" s="25"/>
      <c r="J208" s="25"/>
      <c r="K208" s="26"/>
      <c r="L208" s="27"/>
      <c r="M208" s="26">
        <f t="shared" si="12"/>
        <v>0</v>
      </c>
      <c r="N208" s="26"/>
      <c r="O208" s="31"/>
      <c r="P208" s="99"/>
      <c r="Q208" s="26"/>
      <c r="R208" s="27"/>
      <c r="S208" s="26">
        <f t="shared" si="14"/>
        <v>0</v>
      </c>
      <c r="T208" s="26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34"/>
      <c r="G209" s="35" t="s">
        <v>25</v>
      </c>
      <c r="H209" s="66">
        <v>2</v>
      </c>
      <c r="I209" s="38"/>
      <c r="J209" s="38"/>
      <c r="K209" s="39"/>
      <c r="L209" s="40"/>
      <c r="M209" s="39">
        <f t="shared" si="12"/>
        <v>0</v>
      </c>
      <c r="N209" s="39"/>
      <c r="O209" s="41"/>
      <c r="P209" s="115">
        <v>2</v>
      </c>
      <c r="Q209" s="68">
        <v>288.14999999999998</v>
      </c>
      <c r="R209" s="285">
        <v>1</v>
      </c>
      <c r="S209" s="68">
        <v>288.14999999999998</v>
      </c>
      <c r="T209" s="68">
        <v>288.14999999999998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454</v>
      </c>
      <c r="C210" s="377" t="s">
        <v>39</v>
      </c>
      <c r="D210" s="405" t="s">
        <v>455</v>
      </c>
      <c r="E210" s="381" t="s">
        <v>27</v>
      </c>
      <c r="F210" s="204" t="s">
        <v>467</v>
      </c>
      <c r="G210" s="23" t="s">
        <v>24</v>
      </c>
      <c r="H210" s="328"/>
      <c r="I210" s="71"/>
      <c r="J210" s="71"/>
      <c r="K210" s="93"/>
      <c r="L210" s="92"/>
      <c r="M210" s="26">
        <f t="shared" si="12"/>
        <v>0</v>
      </c>
      <c r="N210" s="93"/>
      <c r="O210" s="94"/>
      <c r="P210" s="329"/>
      <c r="Q210" s="91"/>
      <c r="R210" s="330"/>
      <c r="S210" s="26">
        <f t="shared" ref="S210:S226" si="15">T210+U210</f>
        <v>0</v>
      </c>
      <c r="T210" s="79"/>
      <c r="U210" s="336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406"/>
      <c r="E211" s="375"/>
      <c r="F211" s="220"/>
      <c r="G211" s="345" t="s">
        <v>28</v>
      </c>
      <c r="H211" s="346">
        <v>3</v>
      </c>
      <c r="I211" s="38"/>
      <c r="J211" s="38"/>
      <c r="K211" s="39"/>
      <c r="L211" s="40"/>
      <c r="M211" s="87">
        <f t="shared" si="12"/>
        <v>0</v>
      </c>
      <c r="N211" s="39"/>
      <c r="O211" s="41"/>
      <c r="P211" s="217"/>
      <c r="Q211" s="68"/>
      <c r="R211" s="285"/>
      <c r="S211" s="87">
        <f t="shared" si="15"/>
        <v>0</v>
      </c>
      <c r="T211" s="339"/>
      <c r="U211" s="34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82"/>
      <c r="B212" s="381" t="s">
        <v>166</v>
      </c>
      <c r="C212" s="381" t="s">
        <v>22</v>
      </c>
      <c r="D212" s="377"/>
      <c r="E212" s="381" t="s">
        <v>27</v>
      </c>
      <c r="F212" s="232" t="s">
        <v>420</v>
      </c>
      <c r="G212" s="347" t="s">
        <v>24</v>
      </c>
      <c r="H212" s="348">
        <v>1</v>
      </c>
      <c r="I212" s="96"/>
      <c r="J212" s="96"/>
      <c r="K212" s="81"/>
      <c r="L212" s="80"/>
      <c r="M212" s="81">
        <f t="shared" si="12"/>
        <v>0</v>
      </c>
      <c r="N212" s="81"/>
      <c r="O212" s="82"/>
      <c r="P212" s="78">
        <v>4</v>
      </c>
      <c r="Q212" s="79">
        <v>17868.150000000001</v>
      </c>
      <c r="R212" s="268">
        <v>4</v>
      </c>
      <c r="S212" s="81">
        <f t="shared" si="15"/>
        <v>17868.150000000001</v>
      </c>
      <c r="T212" s="79">
        <v>17868.150000000001</v>
      </c>
      <c r="U212" s="26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6"/>
      <c r="G213" s="227" t="s">
        <v>28</v>
      </c>
      <c r="H213" s="334"/>
      <c r="I213" s="57"/>
      <c r="J213" s="57"/>
      <c r="K213" s="43"/>
      <c r="L213" s="44"/>
      <c r="M213" s="43">
        <f t="shared" si="12"/>
        <v>0</v>
      </c>
      <c r="N213" s="43"/>
      <c r="O213" s="45"/>
      <c r="P213" s="273"/>
      <c r="Q213" s="211"/>
      <c r="R213" s="210"/>
      <c r="S213" s="211">
        <f t="shared" si="15"/>
        <v>0</v>
      </c>
      <c r="T213" s="211"/>
      <c r="U213" s="21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167</v>
      </c>
      <c r="C214" s="374" t="s">
        <v>46</v>
      </c>
      <c r="D214" s="374" t="s">
        <v>168</v>
      </c>
      <c r="E214" s="374" t="s">
        <v>27</v>
      </c>
      <c r="F214" s="204" t="s">
        <v>421</v>
      </c>
      <c r="G214" s="176" t="s">
        <v>24</v>
      </c>
      <c r="H214" s="248">
        <v>4</v>
      </c>
      <c r="I214" s="62">
        <v>3</v>
      </c>
      <c r="J214" s="62">
        <v>3</v>
      </c>
      <c r="K214" s="30">
        <v>2022.81</v>
      </c>
      <c r="L214" s="205">
        <v>3</v>
      </c>
      <c r="M214" s="26">
        <f t="shared" si="12"/>
        <v>2022.81</v>
      </c>
      <c r="N214" s="30">
        <v>2022.81</v>
      </c>
      <c r="O214" s="308"/>
      <c r="P214" s="99"/>
      <c r="Q214" s="26"/>
      <c r="R214" s="27"/>
      <c r="S214" s="26">
        <f t="shared" si="15"/>
        <v>0</v>
      </c>
      <c r="T214" s="26"/>
      <c r="U214" s="28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247</v>
      </c>
      <c r="G215" s="229" t="s">
        <v>28</v>
      </c>
      <c r="H215" s="258">
        <v>7</v>
      </c>
      <c r="I215" s="37">
        <v>4</v>
      </c>
      <c r="J215" s="37">
        <v>4</v>
      </c>
      <c r="K215" s="68">
        <v>9389.9500000000007</v>
      </c>
      <c r="L215" s="285">
        <v>4</v>
      </c>
      <c r="M215" s="39">
        <f t="shared" si="12"/>
        <v>17899.98</v>
      </c>
      <c r="N215" s="39">
        <f>1985.09+7101.24+2689.4+4418.3+1705.95</f>
        <v>17899.98</v>
      </c>
      <c r="O215" s="309"/>
      <c r="P215" s="310">
        <v>6</v>
      </c>
      <c r="Q215" s="245">
        <v>28151.200000000001</v>
      </c>
      <c r="R215" s="285">
        <v>6</v>
      </c>
      <c r="S215" s="39">
        <f t="shared" si="15"/>
        <v>19124.87</v>
      </c>
      <c r="T215" s="68">
        <f>4034.1+1152.6+2881.5+2497.3+1921+6638.37</f>
        <v>19124.87</v>
      </c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6"/>
      <c r="B216" s="377" t="s">
        <v>169</v>
      </c>
      <c r="C216" s="377" t="s">
        <v>39</v>
      </c>
      <c r="D216" s="377"/>
      <c r="E216" s="377" t="s">
        <v>27</v>
      </c>
      <c r="F216" s="72"/>
      <c r="G216" s="291" t="s">
        <v>24</v>
      </c>
      <c r="H216" s="98"/>
      <c r="I216" s="49"/>
      <c r="J216" s="49"/>
      <c r="K216" s="50"/>
      <c r="L216" s="51"/>
      <c r="M216" s="50">
        <f t="shared" si="12"/>
        <v>0</v>
      </c>
      <c r="N216" s="50"/>
      <c r="O216" s="31"/>
      <c r="P216" s="277"/>
      <c r="Q216" s="81"/>
      <c r="R216" s="80"/>
      <c r="S216" s="81">
        <f t="shared" si="15"/>
        <v>0</v>
      </c>
      <c r="T216" s="81"/>
      <c r="U216" s="219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336</v>
      </c>
      <c r="G217" s="229" t="s">
        <v>28</v>
      </c>
      <c r="H217" s="153">
        <v>3</v>
      </c>
      <c r="I217" s="57"/>
      <c r="J217" s="57"/>
      <c r="K217" s="43"/>
      <c r="L217" s="44"/>
      <c r="M217" s="43">
        <f t="shared" si="12"/>
        <v>0</v>
      </c>
      <c r="N217" s="43"/>
      <c r="O217" s="41"/>
      <c r="P217" s="113">
        <v>1</v>
      </c>
      <c r="Q217" s="114">
        <v>3842</v>
      </c>
      <c r="R217" s="316">
        <v>1</v>
      </c>
      <c r="S217" s="50">
        <f t="shared" si="15"/>
        <v>3842</v>
      </c>
      <c r="T217" s="43">
        <f>3842</f>
        <v>3842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170</v>
      </c>
      <c r="C218" s="374" t="s">
        <v>22</v>
      </c>
      <c r="D218" s="374"/>
      <c r="E218" s="374" t="s">
        <v>160</v>
      </c>
      <c r="F218" s="232" t="s">
        <v>248</v>
      </c>
      <c r="G218" s="23" t="s">
        <v>24</v>
      </c>
      <c r="H218" s="48">
        <v>17</v>
      </c>
      <c r="I218" s="62">
        <v>15</v>
      </c>
      <c r="J218" s="62">
        <v>22</v>
      </c>
      <c r="K218" s="30">
        <v>49378.13</v>
      </c>
      <c r="L218" s="205">
        <v>21</v>
      </c>
      <c r="M218" s="26">
        <f t="shared" si="12"/>
        <v>48232.13</v>
      </c>
      <c r="N218" s="30">
        <v>48232.13</v>
      </c>
      <c r="O218" s="225"/>
      <c r="P218" s="53">
        <v>21</v>
      </c>
      <c r="Q218" s="30">
        <v>66092.33</v>
      </c>
      <c r="R218" s="205">
        <v>20</v>
      </c>
      <c r="S218" s="26">
        <f t="shared" si="15"/>
        <v>64727.57</v>
      </c>
      <c r="T218" s="30">
        <v>64727.57</v>
      </c>
      <c r="U218" s="225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105"/>
      <c r="G219" s="35" t="s">
        <v>28</v>
      </c>
      <c r="H219" s="116"/>
      <c r="I219" s="38"/>
      <c r="J219" s="38"/>
      <c r="K219" s="39"/>
      <c r="L219" s="40"/>
      <c r="M219" s="39">
        <f t="shared" si="12"/>
        <v>0</v>
      </c>
      <c r="N219" s="39"/>
      <c r="O219" s="41"/>
      <c r="P219" s="59"/>
      <c r="Q219" s="39"/>
      <c r="R219" s="40"/>
      <c r="S219" s="39">
        <f t="shared" si="15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171</v>
      </c>
      <c r="C220" s="374" t="s">
        <v>39</v>
      </c>
      <c r="D220" s="374" t="s">
        <v>374</v>
      </c>
      <c r="E220" s="374" t="s">
        <v>27</v>
      </c>
      <c r="F220" s="223" t="s">
        <v>375</v>
      </c>
      <c r="G220" s="176" t="s">
        <v>24</v>
      </c>
      <c r="H220" s="48">
        <v>4</v>
      </c>
      <c r="I220" s="203">
        <v>2</v>
      </c>
      <c r="J220" s="203">
        <v>2</v>
      </c>
      <c r="K220" s="65">
        <v>3169.65</v>
      </c>
      <c r="L220" s="224">
        <v>2</v>
      </c>
      <c r="M220" s="50">
        <f t="shared" si="12"/>
        <v>3169.65</v>
      </c>
      <c r="N220" s="65">
        <v>3169.65</v>
      </c>
      <c r="O220" s="31"/>
      <c r="P220" s="108">
        <v>6</v>
      </c>
      <c r="Q220" s="65">
        <v>16741.060000000001</v>
      </c>
      <c r="R220" s="224">
        <v>6</v>
      </c>
      <c r="S220" s="50">
        <f t="shared" si="15"/>
        <v>16741.060000000001</v>
      </c>
      <c r="T220" s="65">
        <v>16741.060000000001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337</v>
      </c>
      <c r="G221" s="229" t="s">
        <v>28</v>
      </c>
      <c r="H221" s="133">
        <v>3</v>
      </c>
      <c r="I221" s="130">
        <v>1</v>
      </c>
      <c r="J221" s="130">
        <v>1</v>
      </c>
      <c r="K221" s="114">
        <v>3457.8</v>
      </c>
      <c r="L221" s="316">
        <v>1</v>
      </c>
      <c r="M221" s="50">
        <f t="shared" si="12"/>
        <v>3457.8</v>
      </c>
      <c r="N221" s="43">
        <f>3457.8</f>
        <v>3457.8</v>
      </c>
      <c r="O221" s="41"/>
      <c r="P221" s="113">
        <v>2</v>
      </c>
      <c r="Q221" s="114">
        <v>7299.8</v>
      </c>
      <c r="R221" s="270">
        <v>2</v>
      </c>
      <c r="S221" s="43">
        <f t="shared" si="15"/>
        <v>7299.7999999999993</v>
      </c>
      <c r="T221" s="43">
        <f>3073.6+4226.2</f>
        <v>7299.7999999999993</v>
      </c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172</v>
      </c>
      <c r="C222" s="374" t="s">
        <v>39</v>
      </c>
      <c r="D222" s="374" t="s">
        <v>303</v>
      </c>
      <c r="E222" s="374" t="s">
        <v>121</v>
      </c>
      <c r="F222" s="204" t="s">
        <v>304</v>
      </c>
      <c r="G222" s="176" t="s">
        <v>24</v>
      </c>
      <c r="H222" s="48">
        <v>25</v>
      </c>
      <c r="I222" s="62">
        <v>10</v>
      </c>
      <c r="J222" s="62">
        <v>11</v>
      </c>
      <c r="K222" s="30">
        <v>9906.6299999999992</v>
      </c>
      <c r="L222" s="205">
        <v>10</v>
      </c>
      <c r="M222" s="26">
        <f t="shared" si="12"/>
        <v>7339.68</v>
      </c>
      <c r="N222" s="30">
        <v>7339.68</v>
      </c>
      <c r="O222" s="225"/>
      <c r="P222" s="53">
        <v>28</v>
      </c>
      <c r="Q222" s="30">
        <v>74352.649999999994</v>
      </c>
      <c r="R222" s="205">
        <v>26</v>
      </c>
      <c r="S222" s="26">
        <f t="shared" si="15"/>
        <v>73507.41</v>
      </c>
      <c r="T222" s="30">
        <v>73507.41</v>
      </c>
      <c r="U222" s="30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34"/>
      <c r="G223" s="229" t="s">
        <v>25</v>
      </c>
      <c r="H223" s="102"/>
      <c r="I223" s="57"/>
      <c r="J223" s="57"/>
      <c r="K223" s="43"/>
      <c r="L223" s="44"/>
      <c r="M223" s="43">
        <f t="shared" si="12"/>
        <v>0</v>
      </c>
      <c r="N223" s="43"/>
      <c r="O223" s="41"/>
      <c r="P223" s="113">
        <v>1</v>
      </c>
      <c r="Q223" s="114">
        <v>1728.9</v>
      </c>
      <c r="R223" s="270">
        <v>1</v>
      </c>
      <c r="S223" s="43">
        <f t="shared" si="15"/>
        <v>1728.9</v>
      </c>
      <c r="T223" s="114">
        <v>1728.9</v>
      </c>
      <c r="U223" s="23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173</v>
      </c>
      <c r="C224" s="374" t="s">
        <v>39</v>
      </c>
      <c r="D224" s="374" t="s">
        <v>338</v>
      </c>
      <c r="E224" s="374" t="s">
        <v>121</v>
      </c>
      <c r="F224" s="232" t="s">
        <v>376</v>
      </c>
      <c r="G224" s="23" t="s">
        <v>24</v>
      </c>
      <c r="H224" s="61">
        <v>37</v>
      </c>
      <c r="I224" s="25"/>
      <c r="J224" s="25"/>
      <c r="K224" s="26"/>
      <c r="L224" s="27"/>
      <c r="M224" s="26">
        <f t="shared" si="12"/>
        <v>0</v>
      </c>
      <c r="N224" s="26"/>
      <c r="O224" s="31"/>
      <c r="P224" s="53">
        <v>6</v>
      </c>
      <c r="Q224" s="30">
        <v>5292.88</v>
      </c>
      <c r="R224" s="205">
        <v>5</v>
      </c>
      <c r="S224" s="26">
        <f t="shared" si="15"/>
        <v>4887.8599999999997</v>
      </c>
      <c r="T224" s="30">
        <v>4887.8599999999997</v>
      </c>
      <c r="U224" s="3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339</v>
      </c>
      <c r="G225" s="35" t="s">
        <v>25</v>
      </c>
      <c r="H225" s="117">
        <v>12</v>
      </c>
      <c r="I225" s="37">
        <v>3</v>
      </c>
      <c r="J225" s="37">
        <v>3</v>
      </c>
      <c r="K225" s="68">
        <v>4062.8</v>
      </c>
      <c r="L225" s="285">
        <v>1</v>
      </c>
      <c r="M225" s="39">
        <f t="shared" si="12"/>
        <v>1152.5999999999999</v>
      </c>
      <c r="N225" s="68">
        <v>1152.5999999999999</v>
      </c>
      <c r="O225" s="234"/>
      <c r="P225" s="115">
        <v>3</v>
      </c>
      <c r="Q225" s="68">
        <v>5845.65</v>
      </c>
      <c r="R225" s="285">
        <v>2</v>
      </c>
      <c r="S225" s="39">
        <f t="shared" si="15"/>
        <v>4942.5</v>
      </c>
      <c r="T225" s="68">
        <v>4942.5</v>
      </c>
      <c r="U225" s="23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174</v>
      </c>
      <c r="C226" s="374" t="s">
        <v>39</v>
      </c>
      <c r="D226" s="374" t="s">
        <v>175</v>
      </c>
      <c r="E226" s="374" t="s">
        <v>176</v>
      </c>
      <c r="F226" s="204" t="s">
        <v>377</v>
      </c>
      <c r="G226" s="176" t="s">
        <v>24</v>
      </c>
      <c r="H226" s="48">
        <v>16</v>
      </c>
      <c r="I226" s="203">
        <v>13</v>
      </c>
      <c r="J226" s="203">
        <v>14</v>
      </c>
      <c r="K226" s="65">
        <v>24081.66</v>
      </c>
      <c r="L226" s="224">
        <v>14</v>
      </c>
      <c r="M226" s="50">
        <f t="shared" si="12"/>
        <v>24081.66</v>
      </c>
      <c r="N226" s="65">
        <v>24081.66</v>
      </c>
      <c r="O226" s="225"/>
      <c r="P226" s="108">
        <v>18</v>
      </c>
      <c r="Q226" s="65">
        <v>56598.95</v>
      </c>
      <c r="R226" s="224">
        <v>18</v>
      </c>
      <c r="S226" s="50">
        <f t="shared" si="15"/>
        <v>56598.95</v>
      </c>
      <c r="T226" s="65">
        <v>56598.95</v>
      </c>
      <c r="U226" s="225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340</v>
      </c>
      <c r="G227" s="229" t="s">
        <v>25</v>
      </c>
      <c r="H227" s="153">
        <v>2</v>
      </c>
      <c r="I227" s="130">
        <v>2</v>
      </c>
      <c r="J227" s="130">
        <v>2</v>
      </c>
      <c r="K227" s="114">
        <v>11239.2</v>
      </c>
      <c r="L227" s="44"/>
      <c r="M227" s="43">
        <f t="shared" si="12"/>
        <v>0</v>
      </c>
      <c r="N227" s="43"/>
      <c r="O227" s="41"/>
      <c r="P227" s="113">
        <v>10</v>
      </c>
      <c r="Q227" s="114">
        <v>46701.760000000002</v>
      </c>
      <c r="R227" s="270">
        <v>9</v>
      </c>
      <c r="S227" s="114">
        <v>44675.6</v>
      </c>
      <c r="T227" s="114">
        <v>44675.6</v>
      </c>
      <c r="U227" s="23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177</v>
      </c>
      <c r="C228" s="377" t="s">
        <v>39</v>
      </c>
      <c r="D228" s="374" t="s">
        <v>226</v>
      </c>
      <c r="E228" s="374" t="s">
        <v>27</v>
      </c>
      <c r="F228" s="204" t="s">
        <v>227</v>
      </c>
      <c r="G228" s="23" t="s">
        <v>24</v>
      </c>
      <c r="H228" s="48">
        <v>5</v>
      </c>
      <c r="I228" s="62">
        <v>3</v>
      </c>
      <c r="J228" s="62">
        <v>3</v>
      </c>
      <c r="K228" s="30">
        <v>1969.94</v>
      </c>
      <c r="L228" s="205">
        <v>3</v>
      </c>
      <c r="M228" s="26">
        <f t="shared" si="12"/>
        <v>1969.94</v>
      </c>
      <c r="N228" s="30">
        <v>1969.94</v>
      </c>
      <c r="O228" s="225"/>
      <c r="P228" s="53">
        <v>16</v>
      </c>
      <c r="Q228" s="30">
        <v>53460.74</v>
      </c>
      <c r="R228" s="205">
        <v>16</v>
      </c>
      <c r="S228" s="26">
        <f t="shared" ref="S228:S231" si="16">T228+U228</f>
        <v>53460.74</v>
      </c>
      <c r="T228" s="30">
        <v>53460.74</v>
      </c>
      <c r="U228" s="225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80"/>
      <c r="D229" s="375"/>
      <c r="E229" s="375"/>
      <c r="F229" s="105"/>
      <c r="G229" s="55" t="s">
        <v>28</v>
      </c>
      <c r="H229" s="118"/>
      <c r="I229" s="57"/>
      <c r="J229" s="57"/>
      <c r="K229" s="43"/>
      <c r="L229" s="44"/>
      <c r="M229" s="43">
        <f t="shared" si="12"/>
        <v>0</v>
      </c>
      <c r="N229" s="43"/>
      <c r="O229" s="41"/>
      <c r="P229" s="103"/>
      <c r="Q229" s="43"/>
      <c r="R229" s="44"/>
      <c r="S229" s="43">
        <f t="shared" si="16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178</v>
      </c>
      <c r="C230" s="374" t="s">
        <v>22</v>
      </c>
      <c r="D230" s="374"/>
      <c r="E230" s="374" t="s">
        <v>27</v>
      </c>
      <c r="F230" s="232" t="s">
        <v>452</v>
      </c>
      <c r="G230" s="176" t="s">
        <v>24</v>
      </c>
      <c r="H230" s="61">
        <v>5</v>
      </c>
      <c r="I230" s="62">
        <v>5</v>
      </c>
      <c r="J230" s="62">
        <v>5</v>
      </c>
      <c r="K230" s="30">
        <v>5349.73</v>
      </c>
      <c r="L230" s="205">
        <v>5</v>
      </c>
      <c r="M230" s="26">
        <f t="shared" si="12"/>
        <v>5349.73</v>
      </c>
      <c r="N230" s="30">
        <v>5349.73</v>
      </c>
      <c r="O230" s="31"/>
      <c r="P230" s="29">
        <v>1</v>
      </c>
      <c r="Q230" s="30">
        <v>2466.56</v>
      </c>
      <c r="R230" s="205">
        <v>1</v>
      </c>
      <c r="S230" s="26">
        <f t="shared" si="16"/>
        <v>2466.56</v>
      </c>
      <c r="T230" s="30">
        <v>2466.56</v>
      </c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105"/>
      <c r="G231" s="252" t="s">
        <v>28</v>
      </c>
      <c r="H231" s="106"/>
      <c r="I231" s="38"/>
      <c r="J231" s="38"/>
      <c r="K231" s="39"/>
      <c r="L231" s="40"/>
      <c r="M231" s="39">
        <f t="shared" si="12"/>
        <v>0</v>
      </c>
      <c r="N231" s="39"/>
      <c r="O231" s="41"/>
      <c r="P231" s="69"/>
      <c r="Q231" s="39"/>
      <c r="R231" s="40"/>
      <c r="S231" s="39">
        <f t="shared" si="16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445</v>
      </c>
      <c r="C232" s="374"/>
      <c r="D232" s="374"/>
      <c r="E232" s="374"/>
      <c r="F232" s="72"/>
      <c r="G232" s="176" t="s">
        <v>24</v>
      </c>
      <c r="H232" s="265"/>
      <c r="I232" s="266"/>
      <c r="J232" s="96"/>
      <c r="K232" s="81"/>
      <c r="L232" s="80"/>
      <c r="M232" s="81"/>
      <c r="N232" s="81"/>
      <c r="O232" s="82"/>
      <c r="P232" s="295"/>
      <c r="Q232" s="81"/>
      <c r="R232" s="80"/>
      <c r="S232" s="81"/>
      <c r="T232" s="81"/>
      <c r="U232" s="8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6"/>
      <c r="G233" s="252" t="s">
        <v>28</v>
      </c>
      <c r="H233" s="302">
        <v>1</v>
      </c>
      <c r="I233" s="261"/>
      <c r="J233" s="261"/>
      <c r="K233" s="211"/>
      <c r="L233" s="210"/>
      <c r="M233" s="211"/>
      <c r="N233" s="211"/>
      <c r="O233" s="212"/>
      <c r="P233" s="284"/>
      <c r="Q233" s="211"/>
      <c r="R233" s="210"/>
      <c r="S233" s="211"/>
      <c r="T233" s="211"/>
      <c r="U233" s="21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179</v>
      </c>
      <c r="C234" s="374" t="s">
        <v>471</v>
      </c>
      <c r="D234" s="374" t="s">
        <v>472</v>
      </c>
      <c r="E234" s="374" t="s">
        <v>27</v>
      </c>
      <c r="F234" s="204" t="s">
        <v>473</v>
      </c>
      <c r="G234" s="176" t="s">
        <v>24</v>
      </c>
      <c r="H234" s="61">
        <v>2</v>
      </c>
      <c r="I234" s="25"/>
      <c r="J234" s="25"/>
      <c r="K234" s="26"/>
      <c r="L234" s="27"/>
      <c r="M234" s="26">
        <f t="shared" ref="M234:M252" si="17">N234+O234</f>
        <v>0</v>
      </c>
      <c r="N234" s="26"/>
      <c r="O234" s="28"/>
      <c r="P234" s="120"/>
      <c r="Q234" s="26"/>
      <c r="R234" s="27"/>
      <c r="S234" s="26">
        <f t="shared" ref="S234:S252" si="18">T234+U234</f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105"/>
      <c r="G235" s="229" t="s">
        <v>28</v>
      </c>
      <c r="H235" s="298"/>
      <c r="I235" s="261"/>
      <c r="J235" s="261"/>
      <c r="K235" s="211"/>
      <c r="L235" s="210"/>
      <c r="M235" s="211">
        <f t="shared" si="17"/>
        <v>0</v>
      </c>
      <c r="N235" s="211"/>
      <c r="O235" s="212"/>
      <c r="P235" s="284"/>
      <c r="Q235" s="211"/>
      <c r="R235" s="210"/>
      <c r="S235" s="211">
        <f t="shared" si="18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378</v>
      </c>
      <c r="C236" s="374" t="s">
        <v>46</v>
      </c>
      <c r="D236" s="374" t="s">
        <v>422</v>
      </c>
      <c r="E236" s="374" t="s">
        <v>27</v>
      </c>
      <c r="F236" s="232" t="s">
        <v>423</v>
      </c>
      <c r="G236" s="213" t="s">
        <v>24</v>
      </c>
      <c r="H236" s="61">
        <v>12</v>
      </c>
      <c r="I236" s="62">
        <v>7</v>
      </c>
      <c r="J236" s="62">
        <v>8</v>
      </c>
      <c r="K236" s="30">
        <v>8606.68</v>
      </c>
      <c r="L236" s="205">
        <v>8</v>
      </c>
      <c r="M236" s="26">
        <f t="shared" si="17"/>
        <v>8606.68</v>
      </c>
      <c r="N236" s="30">
        <v>8606.68</v>
      </c>
      <c r="O236" s="28"/>
      <c r="P236" s="214"/>
      <c r="Q236" s="30"/>
      <c r="R236" s="205"/>
      <c r="S236" s="26">
        <f t="shared" si="18"/>
        <v>0</v>
      </c>
      <c r="T236" s="30"/>
      <c r="U236" s="2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220"/>
      <c r="G237" s="215" t="s">
        <v>28</v>
      </c>
      <c r="H237" s="117">
        <v>5</v>
      </c>
      <c r="I237" s="37">
        <v>1</v>
      </c>
      <c r="J237" s="37">
        <v>1</v>
      </c>
      <c r="K237" s="68">
        <v>1152.5999999999999</v>
      </c>
      <c r="L237" s="285">
        <v>1</v>
      </c>
      <c r="M237" s="39">
        <f t="shared" si="17"/>
        <v>1152.5999999999999</v>
      </c>
      <c r="N237" s="39">
        <f>1152.6</f>
        <v>1152.5999999999999</v>
      </c>
      <c r="O237" s="41"/>
      <c r="P237" s="217"/>
      <c r="Q237" s="68"/>
      <c r="R237" s="285"/>
      <c r="S237" s="39">
        <f t="shared" si="18"/>
        <v>0</v>
      </c>
      <c r="T237" s="68"/>
      <c r="U237" s="23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6"/>
      <c r="B238" s="377" t="s">
        <v>180</v>
      </c>
      <c r="C238" s="377" t="s">
        <v>46</v>
      </c>
      <c r="D238" s="377" t="s">
        <v>181</v>
      </c>
      <c r="E238" s="377" t="s">
        <v>27</v>
      </c>
      <c r="F238" s="232" t="s">
        <v>228</v>
      </c>
      <c r="G238" s="95" t="s">
        <v>24</v>
      </c>
      <c r="H238" s="265">
        <v>13</v>
      </c>
      <c r="I238" s="266">
        <v>7</v>
      </c>
      <c r="J238" s="266">
        <v>8</v>
      </c>
      <c r="K238" s="79">
        <v>5763.01</v>
      </c>
      <c r="L238" s="268">
        <v>8</v>
      </c>
      <c r="M238" s="81">
        <f t="shared" si="17"/>
        <v>5763.01</v>
      </c>
      <c r="N238" s="79">
        <v>5763.01</v>
      </c>
      <c r="O238" s="219"/>
      <c r="P238" s="267">
        <v>15</v>
      </c>
      <c r="Q238" s="79">
        <v>67448.800000000003</v>
      </c>
      <c r="R238" s="268">
        <v>14</v>
      </c>
      <c r="S238" s="26">
        <f t="shared" si="18"/>
        <v>65943.149999999994</v>
      </c>
      <c r="T238" s="79">
        <v>65943.149999999994</v>
      </c>
      <c r="U238" s="269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9"/>
      <c r="B239" s="380"/>
      <c r="C239" s="380"/>
      <c r="D239" s="380"/>
      <c r="E239" s="380"/>
      <c r="F239" s="54"/>
      <c r="G239" s="55" t="s">
        <v>28</v>
      </c>
      <c r="H239" s="116"/>
      <c r="I239" s="57"/>
      <c r="J239" s="57"/>
      <c r="K239" s="43"/>
      <c r="L239" s="128"/>
      <c r="M239" s="50">
        <f t="shared" si="17"/>
        <v>0</v>
      </c>
      <c r="N239" s="43"/>
      <c r="O239" s="41"/>
      <c r="P239" s="113">
        <v>3</v>
      </c>
      <c r="Q239" s="114">
        <v>15175.95</v>
      </c>
      <c r="R239" s="270">
        <v>3</v>
      </c>
      <c r="S239" s="43">
        <f t="shared" si="18"/>
        <v>2881.5499999999997</v>
      </c>
      <c r="T239" s="114">
        <f>2209.2+672.35</f>
        <v>2881.5499999999997</v>
      </c>
      <c r="U239" s="45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6.5" customHeight="1">
      <c r="A240" s="372"/>
      <c r="B240" s="374" t="s">
        <v>182</v>
      </c>
      <c r="C240" s="374" t="s">
        <v>46</v>
      </c>
      <c r="D240" s="374" t="s">
        <v>181</v>
      </c>
      <c r="E240" s="374" t="s">
        <v>27</v>
      </c>
      <c r="F240" s="204" t="s">
        <v>379</v>
      </c>
      <c r="G240" s="23" t="s">
        <v>24</v>
      </c>
      <c r="H240" s="48">
        <v>17</v>
      </c>
      <c r="I240" s="62">
        <v>16</v>
      </c>
      <c r="J240" s="62">
        <v>18</v>
      </c>
      <c r="K240" s="30">
        <v>24999.53</v>
      </c>
      <c r="L240" s="205">
        <v>18</v>
      </c>
      <c r="M240" s="26">
        <f t="shared" si="17"/>
        <v>24999.53</v>
      </c>
      <c r="N240" s="30">
        <v>24999.53</v>
      </c>
      <c r="O240" s="31"/>
      <c r="P240" s="53">
        <v>12</v>
      </c>
      <c r="Q240" s="30">
        <v>67622.7</v>
      </c>
      <c r="R240" s="205">
        <v>10</v>
      </c>
      <c r="S240" s="26">
        <f t="shared" si="18"/>
        <v>58580.480000000003</v>
      </c>
      <c r="T240" s="30">
        <v>58580.480000000003</v>
      </c>
      <c r="U240" s="100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6.5" customHeight="1">
      <c r="A241" s="373"/>
      <c r="B241" s="375"/>
      <c r="C241" s="375"/>
      <c r="D241" s="375"/>
      <c r="E241" s="375"/>
      <c r="F241" s="34"/>
      <c r="G241" s="35" t="s">
        <v>28</v>
      </c>
      <c r="H241" s="116"/>
      <c r="I241" s="38"/>
      <c r="J241" s="38"/>
      <c r="K241" s="39"/>
      <c r="L241" s="40"/>
      <c r="M241" s="39">
        <f t="shared" si="17"/>
        <v>0</v>
      </c>
      <c r="N241" s="39"/>
      <c r="O241" s="41"/>
      <c r="P241" s="115">
        <v>2</v>
      </c>
      <c r="Q241" s="68">
        <v>4418.3</v>
      </c>
      <c r="R241" s="285">
        <v>1</v>
      </c>
      <c r="S241" s="39">
        <f t="shared" si="18"/>
        <v>3073.6</v>
      </c>
      <c r="T241" s="39">
        <f>3073.6</f>
        <v>3073.6</v>
      </c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82"/>
      <c r="B242" s="381" t="s">
        <v>183</v>
      </c>
      <c r="C242" s="381" t="s">
        <v>22</v>
      </c>
      <c r="D242" s="381"/>
      <c r="E242" s="381" t="s">
        <v>99</v>
      </c>
      <c r="F242" s="223" t="s">
        <v>380</v>
      </c>
      <c r="G242" s="23" t="s">
        <v>24</v>
      </c>
      <c r="H242" s="48">
        <v>9</v>
      </c>
      <c r="I242" s="203">
        <v>4</v>
      </c>
      <c r="J242" s="203">
        <v>5</v>
      </c>
      <c r="K242" s="65">
        <v>6598</v>
      </c>
      <c r="L242" s="224">
        <v>5</v>
      </c>
      <c r="M242" s="50">
        <f t="shared" si="17"/>
        <v>6598</v>
      </c>
      <c r="N242" s="65">
        <v>6598</v>
      </c>
      <c r="O242" s="31"/>
      <c r="P242" s="108">
        <v>12</v>
      </c>
      <c r="Q242" s="65">
        <v>23530.12</v>
      </c>
      <c r="R242" s="224">
        <v>12</v>
      </c>
      <c r="S242" s="50">
        <f t="shared" si="18"/>
        <v>23530.12</v>
      </c>
      <c r="T242" s="65">
        <v>23530.12</v>
      </c>
      <c r="U242" s="22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9"/>
      <c r="B243" s="380"/>
      <c r="C243" s="380"/>
      <c r="D243" s="380"/>
      <c r="E243" s="380"/>
      <c r="F243" s="233" t="s">
        <v>252</v>
      </c>
      <c r="G243" s="227" t="s">
        <v>28</v>
      </c>
      <c r="H243" s="292">
        <v>7</v>
      </c>
      <c r="I243" s="208">
        <v>1</v>
      </c>
      <c r="J243" s="208">
        <v>1</v>
      </c>
      <c r="K243" s="209">
        <v>3073.6</v>
      </c>
      <c r="L243" s="290">
        <v>2</v>
      </c>
      <c r="M243" s="211">
        <f t="shared" si="17"/>
        <v>4879.8999999999996</v>
      </c>
      <c r="N243" s="211">
        <f>1806.3+3073.6</f>
        <v>4879.8999999999996</v>
      </c>
      <c r="O243" s="212"/>
      <c r="P243" s="262">
        <v>3</v>
      </c>
      <c r="Q243" s="209">
        <v>7185.1</v>
      </c>
      <c r="R243" s="290">
        <v>2</v>
      </c>
      <c r="S243" s="211">
        <f t="shared" si="18"/>
        <v>5378.8</v>
      </c>
      <c r="T243" s="211">
        <f>4034.1+1344.7</f>
        <v>5378.8</v>
      </c>
      <c r="U243" s="21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2"/>
      <c r="B244" s="374" t="s">
        <v>425</v>
      </c>
      <c r="C244" s="374" t="s">
        <v>22</v>
      </c>
      <c r="D244" s="374"/>
      <c r="E244" s="374" t="s">
        <v>131</v>
      </c>
      <c r="F244" s="204" t="s">
        <v>426</v>
      </c>
      <c r="G244" s="176" t="s">
        <v>24</v>
      </c>
      <c r="H244" s="61">
        <v>8</v>
      </c>
      <c r="I244" s="62">
        <v>5</v>
      </c>
      <c r="J244" s="62">
        <v>5</v>
      </c>
      <c r="K244" s="30">
        <v>8440.4</v>
      </c>
      <c r="L244" s="205">
        <v>2</v>
      </c>
      <c r="M244" s="26">
        <f t="shared" si="17"/>
        <v>3486.32</v>
      </c>
      <c r="N244" s="30">
        <v>3486.32</v>
      </c>
      <c r="O244" s="28"/>
      <c r="P244" s="275"/>
      <c r="Q244" s="26"/>
      <c r="R244" s="27"/>
      <c r="S244" s="26">
        <f t="shared" si="18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3"/>
      <c r="B245" s="375"/>
      <c r="C245" s="375"/>
      <c r="D245" s="375"/>
      <c r="E245" s="375"/>
      <c r="F245" s="34"/>
      <c r="G245" s="229" t="s">
        <v>25</v>
      </c>
      <c r="H245" s="106"/>
      <c r="I245" s="38"/>
      <c r="J245" s="38"/>
      <c r="K245" s="39"/>
      <c r="L245" s="40"/>
      <c r="M245" s="39">
        <f t="shared" si="17"/>
        <v>0</v>
      </c>
      <c r="N245" s="39"/>
      <c r="O245" s="41"/>
      <c r="P245" s="276"/>
      <c r="Q245" s="39"/>
      <c r="R245" s="40"/>
      <c r="S245" s="39">
        <f t="shared" si="18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6"/>
      <c r="B246" s="377" t="s">
        <v>184</v>
      </c>
      <c r="C246" s="377" t="s">
        <v>22</v>
      </c>
      <c r="D246" s="377"/>
      <c r="E246" s="377" t="s">
        <v>27</v>
      </c>
      <c r="F246" s="223" t="s">
        <v>453</v>
      </c>
      <c r="G246" s="95" t="s">
        <v>24</v>
      </c>
      <c r="H246" s="265">
        <v>2</v>
      </c>
      <c r="I246" s="266">
        <v>2</v>
      </c>
      <c r="J246" s="266">
        <v>2</v>
      </c>
      <c r="K246" s="79">
        <v>3158.6</v>
      </c>
      <c r="L246" s="268">
        <v>2</v>
      </c>
      <c r="M246" s="81">
        <f t="shared" si="17"/>
        <v>3158.6</v>
      </c>
      <c r="N246" s="79">
        <v>3158.6</v>
      </c>
      <c r="O246" s="219"/>
      <c r="P246" s="277"/>
      <c r="Q246" s="81"/>
      <c r="R246" s="80"/>
      <c r="S246" s="81">
        <f t="shared" si="18"/>
        <v>0</v>
      </c>
      <c r="T246" s="81"/>
      <c r="U246" s="219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9"/>
      <c r="B247" s="380"/>
      <c r="C247" s="380"/>
      <c r="D247" s="380"/>
      <c r="E247" s="380"/>
      <c r="F247" s="233" t="s">
        <v>253</v>
      </c>
      <c r="G247" s="227" t="s">
        <v>28</v>
      </c>
      <c r="H247" s="153">
        <v>4</v>
      </c>
      <c r="I247" s="130">
        <v>3</v>
      </c>
      <c r="J247" s="130">
        <v>3</v>
      </c>
      <c r="K247" s="114">
        <v>8675.82</v>
      </c>
      <c r="L247" s="270">
        <v>3</v>
      </c>
      <c r="M247" s="43">
        <f t="shared" si="17"/>
        <v>9275.82</v>
      </c>
      <c r="N247" s="43">
        <f>1921+3380.96+3973.86</f>
        <v>9275.82</v>
      </c>
      <c r="O247" s="41"/>
      <c r="P247" s="113">
        <v>5</v>
      </c>
      <c r="Q247" s="114">
        <v>10565.5</v>
      </c>
      <c r="R247" s="270">
        <v>4</v>
      </c>
      <c r="S247" s="43">
        <f t="shared" si="18"/>
        <v>9989.2000000000007</v>
      </c>
      <c r="T247" s="114">
        <f>2958.34+3457.8+1267.86+2305.2</f>
        <v>9989.2000000000007</v>
      </c>
      <c r="U247" s="41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2"/>
      <c r="B248" s="374" t="s">
        <v>185</v>
      </c>
      <c r="C248" s="374" t="s">
        <v>22</v>
      </c>
      <c r="D248" s="374"/>
      <c r="E248" s="374" t="s">
        <v>27</v>
      </c>
      <c r="F248" s="204" t="s">
        <v>341</v>
      </c>
      <c r="G248" s="176" t="s">
        <v>24</v>
      </c>
      <c r="H248" s="98"/>
      <c r="I248" s="25"/>
      <c r="J248" s="25"/>
      <c r="K248" s="26"/>
      <c r="L248" s="27"/>
      <c r="M248" s="26">
        <f t="shared" si="17"/>
        <v>0</v>
      </c>
      <c r="N248" s="26"/>
      <c r="O248" s="31"/>
      <c r="P248" s="53">
        <v>2</v>
      </c>
      <c r="Q248" s="30">
        <v>2633.4</v>
      </c>
      <c r="R248" s="205">
        <v>2</v>
      </c>
      <c r="S248" s="26">
        <f t="shared" si="18"/>
        <v>2633.4</v>
      </c>
      <c r="T248" s="30">
        <v>2633.4</v>
      </c>
      <c r="U248" s="22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220" t="s">
        <v>342</v>
      </c>
      <c r="G249" s="229" t="s">
        <v>28</v>
      </c>
      <c r="H249" s="133">
        <v>3</v>
      </c>
      <c r="I249" s="57"/>
      <c r="J249" s="57"/>
      <c r="K249" s="43"/>
      <c r="L249" s="44"/>
      <c r="M249" s="43">
        <f t="shared" si="17"/>
        <v>0</v>
      </c>
      <c r="N249" s="43"/>
      <c r="O249" s="41"/>
      <c r="P249" s="113">
        <v>3</v>
      </c>
      <c r="Q249" s="114">
        <v>15773.67</v>
      </c>
      <c r="R249" s="270">
        <v>2</v>
      </c>
      <c r="S249" s="43">
        <f t="shared" si="18"/>
        <v>4198.67</v>
      </c>
      <c r="T249" s="43">
        <f>2994.47+1204.2</f>
        <v>4198.67</v>
      </c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72"/>
      <c r="B250" s="374" t="s">
        <v>186</v>
      </c>
      <c r="C250" s="374" t="s">
        <v>22</v>
      </c>
      <c r="D250" s="374"/>
      <c r="E250" s="374" t="s">
        <v>99</v>
      </c>
      <c r="F250" s="232" t="s">
        <v>315</v>
      </c>
      <c r="G250" s="23" t="s">
        <v>24</v>
      </c>
      <c r="H250" s="48">
        <v>8</v>
      </c>
      <c r="I250" s="62">
        <v>5</v>
      </c>
      <c r="J250" s="62">
        <v>7</v>
      </c>
      <c r="K250" s="30">
        <v>17012.53</v>
      </c>
      <c r="L250" s="205">
        <v>7</v>
      </c>
      <c r="M250" s="26">
        <f t="shared" si="17"/>
        <v>17012.53</v>
      </c>
      <c r="N250" s="30">
        <v>17012.53</v>
      </c>
      <c r="O250" s="31"/>
      <c r="P250" s="53">
        <v>12</v>
      </c>
      <c r="Q250" s="30">
        <v>25258.31</v>
      </c>
      <c r="R250" s="205">
        <v>12</v>
      </c>
      <c r="S250" s="26">
        <f t="shared" si="18"/>
        <v>25258.31</v>
      </c>
      <c r="T250" s="30">
        <v>25258.31</v>
      </c>
      <c r="U250" s="225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220" t="s">
        <v>254</v>
      </c>
      <c r="G251" s="35" t="s">
        <v>28</v>
      </c>
      <c r="H251" s="153">
        <v>8</v>
      </c>
      <c r="I251" s="38"/>
      <c r="J251" s="38"/>
      <c r="K251" s="39"/>
      <c r="L251" s="40"/>
      <c r="M251" s="39">
        <f t="shared" si="17"/>
        <v>0</v>
      </c>
      <c r="N251" s="39"/>
      <c r="O251" s="41"/>
      <c r="P251" s="59"/>
      <c r="Q251" s="39"/>
      <c r="R251" s="40"/>
      <c r="S251" s="39">
        <f t="shared" si="18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382"/>
      <c r="B252" s="381" t="s">
        <v>187</v>
      </c>
      <c r="C252" s="381" t="s">
        <v>22</v>
      </c>
      <c r="D252" s="381"/>
      <c r="E252" s="381" t="s">
        <v>131</v>
      </c>
      <c r="F252" s="223" t="s">
        <v>343</v>
      </c>
      <c r="G252" s="23" t="s">
        <v>24</v>
      </c>
      <c r="H252" s="48">
        <v>14</v>
      </c>
      <c r="I252" s="203">
        <v>12</v>
      </c>
      <c r="J252" s="203">
        <v>17</v>
      </c>
      <c r="K252" s="65">
        <v>33407.07</v>
      </c>
      <c r="L252" s="224">
        <v>17</v>
      </c>
      <c r="M252" s="50">
        <f t="shared" si="17"/>
        <v>33407.07</v>
      </c>
      <c r="N252" s="65">
        <v>33407.07</v>
      </c>
      <c r="O252" s="225"/>
      <c r="P252" s="108">
        <v>18</v>
      </c>
      <c r="Q252" s="65">
        <v>50634.13</v>
      </c>
      <c r="R252" s="224">
        <v>18</v>
      </c>
      <c r="S252" s="50">
        <f t="shared" si="18"/>
        <v>50634.13</v>
      </c>
      <c r="T252" s="65">
        <v>50634.13</v>
      </c>
      <c r="U252" s="225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9"/>
      <c r="B253" s="380"/>
      <c r="C253" s="380"/>
      <c r="D253" s="380"/>
      <c r="E253" s="380"/>
      <c r="F253" s="247"/>
      <c r="G253" s="227" t="s">
        <v>25</v>
      </c>
      <c r="H253" s="153">
        <v>2</v>
      </c>
      <c r="I253" s="130">
        <v>1</v>
      </c>
      <c r="J253" s="130">
        <v>1</v>
      </c>
      <c r="K253" s="114">
        <v>1728.9</v>
      </c>
      <c r="L253" s="270">
        <v>1</v>
      </c>
      <c r="M253" s="114">
        <v>1728.9</v>
      </c>
      <c r="N253" s="114">
        <v>1728.9</v>
      </c>
      <c r="O253" s="41"/>
      <c r="P253" s="113">
        <v>4</v>
      </c>
      <c r="Q253" s="114">
        <v>30582.32</v>
      </c>
      <c r="R253" s="270">
        <v>4</v>
      </c>
      <c r="S253" s="114">
        <v>30582.32</v>
      </c>
      <c r="T253" s="114">
        <v>30582.32</v>
      </c>
      <c r="U253" s="2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429</v>
      </c>
      <c r="C254" s="374" t="s">
        <v>22</v>
      </c>
      <c r="D254" s="374"/>
      <c r="E254" s="374" t="s">
        <v>27</v>
      </c>
      <c r="F254" s="204" t="s">
        <v>446</v>
      </c>
      <c r="G254" s="176" t="s">
        <v>24</v>
      </c>
      <c r="H254" s="151"/>
      <c r="I254" s="25"/>
      <c r="J254" s="25"/>
      <c r="K254" s="26"/>
      <c r="L254" s="27"/>
      <c r="M254" s="26">
        <f t="shared" ref="M254:M287" si="19">N254+O254</f>
        <v>0</v>
      </c>
      <c r="N254" s="30"/>
      <c r="O254" s="31"/>
      <c r="P254" s="53">
        <v>1</v>
      </c>
      <c r="Q254" s="30">
        <v>36784.050000000003</v>
      </c>
      <c r="R254" s="205">
        <v>1</v>
      </c>
      <c r="S254" s="26">
        <f t="shared" ref="S254:S280" si="20">T254+U254</f>
        <v>36784.050000000003</v>
      </c>
      <c r="T254" s="30">
        <v>36784.050000000003</v>
      </c>
      <c r="U254" s="3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/>
      <c r="G255" s="229" t="s">
        <v>28</v>
      </c>
      <c r="H255" s="133"/>
      <c r="I255" s="57"/>
      <c r="J255" s="57"/>
      <c r="K255" s="43"/>
      <c r="L255" s="44"/>
      <c r="M255" s="43">
        <f t="shared" si="19"/>
        <v>0</v>
      </c>
      <c r="N255" s="43"/>
      <c r="O255" s="41"/>
      <c r="P255" s="113"/>
      <c r="Q255" s="114"/>
      <c r="R255" s="44"/>
      <c r="S255" s="43">
        <f t="shared" si="20"/>
        <v>0</v>
      </c>
      <c r="T255" s="114"/>
      <c r="U255" s="2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2"/>
      <c r="B256" s="374" t="s">
        <v>188</v>
      </c>
      <c r="C256" s="374" t="s">
        <v>39</v>
      </c>
      <c r="D256" s="374" t="s">
        <v>474</v>
      </c>
      <c r="E256" s="374" t="s">
        <v>27</v>
      </c>
      <c r="F256" s="22"/>
      <c r="G256" s="176" t="s">
        <v>24</v>
      </c>
      <c r="H256" s="281">
        <v>3</v>
      </c>
      <c r="I256" s="25"/>
      <c r="J256" s="62">
        <v>1</v>
      </c>
      <c r="K256" s="26"/>
      <c r="L256" s="27"/>
      <c r="M256" s="26">
        <f t="shared" si="19"/>
        <v>0</v>
      </c>
      <c r="N256" s="26"/>
      <c r="O256" s="219"/>
      <c r="P256" s="53">
        <v>1</v>
      </c>
      <c r="Q256" s="30">
        <v>3649.9</v>
      </c>
      <c r="R256" s="27"/>
      <c r="S256" s="26">
        <f t="shared" si="20"/>
        <v>0</v>
      </c>
      <c r="T256" s="26"/>
      <c r="U256" s="219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20.25" customHeight="1">
      <c r="A257" s="373"/>
      <c r="B257" s="375"/>
      <c r="C257" s="375"/>
      <c r="D257" s="375"/>
      <c r="E257" s="375"/>
      <c r="F257" s="220" t="s">
        <v>344</v>
      </c>
      <c r="G257" s="229" t="s">
        <v>28</v>
      </c>
      <c r="H257" s="56">
        <v>3</v>
      </c>
      <c r="I257" s="130">
        <v>1</v>
      </c>
      <c r="J257" s="130">
        <v>1</v>
      </c>
      <c r="K257" s="114">
        <v>1052.5999999999999</v>
      </c>
      <c r="L257" s="44"/>
      <c r="M257" s="43">
        <f t="shared" si="19"/>
        <v>0</v>
      </c>
      <c r="N257" s="43"/>
      <c r="O257" s="222">
        <v>0</v>
      </c>
      <c r="P257" s="113">
        <v>15</v>
      </c>
      <c r="Q257" s="114">
        <v>23990.9</v>
      </c>
      <c r="R257" s="44"/>
      <c r="S257" s="43">
        <f t="shared" si="20"/>
        <v>4050.2</v>
      </c>
      <c r="T257" s="114">
        <v>4050.2</v>
      </c>
      <c r="U257" s="222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189</v>
      </c>
      <c r="C258" s="374" t="s">
        <v>39</v>
      </c>
      <c r="D258" s="374" t="s">
        <v>427</v>
      </c>
      <c r="E258" s="374" t="s">
        <v>27</v>
      </c>
      <c r="F258" s="232" t="s">
        <v>428</v>
      </c>
      <c r="G258" s="23" t="s">
        <v>24</v>
      </c>
      <c r="H258" s="24">
        <v>16</v>
      </c>
      <c r="I258" s="62">
        <v>12</v>
      </c>
      <c r="J258" s="62">
        <v>16</v>
      </c>
      <c r="K258" s="30">
        <v>30275.46</v>
      </c>
      <c r="L258" s="205">
        <v>16</v>
      </c>
      <c r="M258" s="26">
        <f t="shared" si="19"/>
        <v>30275.46</v>
      </c>
      <c r="N258" s="30">
        <v>30275.46</v>
      </c>
      <c r="O258" s="241"/>
      <c r="P258" s="29">
        <v>2</v>
      </c>
      <c r="Q258" s="30">
        <v>1870.81</v>
      </c>
      <c r="R258" s="205">
        <v>2</v>
      </c>
      <c r="S258" s="26">
        <f t="shared" si="20"/>
        <v>1870.81</v>
      </c>
      <c r="T258" s="30">
        <v>1870.81</v>
      </c>
      <c r="U258" s="2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 t="s">
        <v>256</v>
      </c>
      <c r="G259" s="35" t="s">
        <v>28</v>
      </c>
      <c r="H259" s="66">
        <v>5</v>
      </c>
      <c r="I259" s="37">
        <v>1</v>
      </c>
      <c r="J259" s="37">
        <v>1</v>
      </c>
      <c r="K259" s="68">
        <v>1921</v>
      </c>
      <c r="L259" s="285">
        <v>1</v>
      </c>
      <c r="M259" s="39">
        <f t="shared" si="19"/>
        <v>1921</v>
      </c>
      <c r="N259" s="39">
        <f>1921</f>
        <v>1921</v>
      </c>
      <c r="O259" s="41"/>
      <c r="P259" s="69"/>
      <c r="Q259" s="39"/>
      <c r="R259" s="40"/>
      <c r="S259" s="39">
        <f t="shared" si="20"/>
        <v>0</v>
      </c>
      <c r="T259" s="39"/>
      <c r="U259" s="4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82"/>
      <c r="B260" s="381" t="s">
        <v>190</v>
      </c>
      <c r="C260" s="381" t="s">
        <v>39</v>
      </c>
      <c r="D260" s="381" t="s">
        <v>191</v>
      </c>
      <c r="E260" s="381" t="s">
        <v>27</v>
      </c>
      <c r="F260" s="46"/>
      <c r="G260" s="47" t="s">
        <v>24</v>
      </c>
      <c r="H260" s="98"/>
      <c r="I260" s="49"/>
      <c r="J260" s="49"/>
      <c r="K260" s="50"/>
      <c r="L260" s="51"/>
      <c r="M260" s="50">
        <f t="shared" si="19"/>
        <v>0</v>
      </c>
      <c r="N260" s="50"/>
      <c r="O260" s="31"/>
      <c r="P260" s="123"/>
      <c r="Q260" s="50"/>
      <c r="R260" s="51"/>
      <c r="S260" s="50">
        <f t="shared" si="20"/>
        <v>0</v>
      </c>
      <c r="T260" s="50"/>
      <c r="U260" s="3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3"/>
      <c r="B261" s="375"/>
      <c r="C261" s="375"/>
      <c r="D261" s="375"/>
      <c r="E261" s="375"/>
      <c r="F261" s="220" t="s">
        <v>345</v>
      </c>
      <c r="G261" s="35" t="s">
        <v>28</v>
      </c>
      <c r="H261" s="112">
        <v>2</v>
      </c>
      <c r="I261" s="57"/>
      <c r="J261" s="57"/>
      <c r="K261" s="43"/>
      <c r="L261" s="44"/>
      <c r="M261" s="43">
        <f t="shared" si="19"/>
        <v>0</v>
      </c>
      <c r="N261" s="43"/>
      <c r="O261" s="45"/>
      <c r="P261" s="115">
        <v>4</v>
      </c>
      <c r="Q261" s="68">
        <v>5106.7</v>
      </c>
      <c r="R261" s="285">
        <v>5</v>
      </c>
      <c r="S261" s="39">
        <f t="shared" si="20"/>
        <v>6739.58</v>
      </c>
      <c r="T261" s="68">
        <f>3818+2921.58</f>
        <v>6739.58</v>
      </c>
      <c r="U261" s="4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192</v>
      </c>
      <c r="C262" s="374" t="s">
        <v>22</v>
      </c>
      <c r="D262" s="374"/>
      <c r="E262" s="374" t="s">
        <v>193</v>
      </c>
      <c r="F262" s="204" t="s">
        <v>318</v>
      </c>
      <c r="G262" s="176" t="s">
        <v>24</v>
      </c>
      <c r="H262" s="61">
        <v>18</v>
      </c>
      <c r="I262" s="62">
        <v>16</v>
      </c>
      <c r="J262" s="62">
        <v>17</v>
      </c>
      <c r="K262" s="30">
        <v>18277.259999999998</v>
      </c>
      <c r="L262" s="205">
        <v>17</v>
      </c>
      <c r="M262" s="26">
        <f t="shared" si="19"/>
        <v>18277.259999999998</v>
      </c>
      <c r="N262" s="30">
        <v>18277.259999999998</v>
      </c>
      <c r="O262" s="100"/>
      <c r="P262" s="64">
        <v>21</v>
      </c>
      <c r="Q262" s="65">
        <v>54954.61</v>
      </c>
      <c r="R262" s="224">
        <v>20</v>
      </c>
      <c r="S262" s="50">
        <f t="shared" si="20"/>
        <v>52584.43</v>
      </c>
      <c r="T262" s="65">
        <v>52584.43</v>
      </c>
      <c r="U262" s="225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346</v>
      </c>
      <c r="G263" s="229" t="s">
        <v>28</v>
      </c>
      <c r="H263" s="133">
        <v>1</v>
      </c>
      <c r="I263" s="37">
        <v>1</v>
      </c>
      <c r="J263" s="37">
        <v>1</v>
      </c>
      <c r="K263" s="68">
        <v>1728.9</v>
      </c>
      <c r="L263" s="285">
        <v>1</v>
      </c>
      <c r="M263" s="39">
        <f t="shared" si="19"/>
        <v>1728.9</v>
      </c>
      <c r="N263" s="39">
        <f>1728.9</f>
        <v>1728.9</v>
      </c>
      <c r="O263" s="41"/>
      <c r="P263" s="42"/>
      <c r="Q263" s="43"/>
      <c r="R263" s="44"/>
      <c r="S263" s="43">
        <f t="shared" si="20"/>
        <v>0</v>
      </c>
      <c r="T263" s="43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2"/>
      <c r="B264" s="374" t="s">
        <v>194</v>
      </c>
      <c r="C264" s="377" t="s">
        <v>39</v>
      </c>
      <c r="D264" s="377" t="s">
        <v>319</v>
      </c>
      <c r="E264" s="374" t="s">
        <v>160</v>
      </c>
      <c r="F264" s="232" t="s">
        <v>320</v>
      </c>
      <c r="G264" s="23" t="s">
        <v>24</v>
      </c>
      <c r="H264" s="48">
        <v>5</v>
      </c>
      <c r="I264" s="203">
        <v>5</v>
      </c>
      <c r="J264" s="203">
        <v>5</v>
      </c>
      <c r="K264" s="65">
        <v>5617.57</v>
      </c>
      <c r="L264" s="316">
        <v>5</v>
      </c>
      <c r="M264" s="129">
        <f t="shared" si="19"/>
        <v>5617.57</v>
      </c>
      <c r="N264" s="65">
        <v>5617.57</v>
      </c>
      <c r="O264" s="225"/>
      <c r="P264" s="29">
        <v>3</v>
      </c>
      <c r="Q264" s="30">
        <v>6107.21</v>
      </c>
      <c r="R264" s="205">
        <v>3</v>
      </c>
      <c r="S264" s="26">
        <f t="shared" si="20"/>
        <v>6107.21</v>
      </c>
      <c r="T264" s="30">
        <v>6107.21</v>
      </c>
      <c r="U264" s="225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347</v>
      </c>
      <c r="G265" s="35" t="s">
        <v>28</v>
      </c>
      <c r="H265" s="117">
        <v>4</v>
      </c>
      <c r="I265" s="37"/>
      <c r="J265" s="37"/>
      <c r="K265" s="39"/>
      <c r="L265" s="44"/>
      <c r="M265" s="43">
        <f t="shared" si="19"/>
        <v>0</v>
      </c>
      <c r="N265" s="39"/>
      <c r="O265" s="41"/>
      <c r="P265" s="37">
        <v>8</v>
      </c>
      <c r="Q265" s="37">
        <v>21038.49</v>
      </c>
      <c r="R265" s="285">
        <v>4</v>
      </c>
      <c r="S265" s="39">
        <f t="shared" si="20"/>
        <v>8529.17</v>
      </c>
      <c r="T265" s="68">
        <f>576.3+4045.34+3273.6+633.93</f>
        <v>8529.17</v>
      </c>
      <c r="U265" s="2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82"/>
      <c r="B266" s="381" t="s">
        <v>195</v>
      </c>
      <c r="C266" s="377" t="s">
        <v>39</v>
      </c>
      <c r="D266" s="377" t="s">
        <v>231</v>
      </c>
      <c r="E266" s="381" t="s">
        <v>27</v>
      </c>
      <c r="F266" s="204" t="s">
        <v>232</v>
      </c>
      <c r="G266" s="47" t="s">
        <v>24</v>
      </c>
      <c r="H266" s="61">
        <v>2</v>
      </c>
      <c r="I266" s="25"/>
      <c r="J266" s="25"/>
      <c r="K266" s="26"/>
      <c r="L266" s="205"/>
      <c r="M266" s="26">
        <f t="shared" si="19"/>
        <v>0</v>
      </c>
      <c r="N266" s="26"/>
      <c r="O266" s="31"/>
      <c r="P266" s="64">
        <v>7</v>
      </c>
      <c r="Q266" s="65">
        <v>46859.35</v>
      </c>
      <c r="R266" s="224">
        <v>7</v>
      </c>
      <c r="S266" s="50">
        <f t="shared" si="20"/>
        <v>46859.35</v>
      </c>
      <c r="T266" s="65">
        <v>46859.35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1" t="s">
        <v>260</v>
      </c>
      <c r="G267" s="55" t="s">
        <v>28</v>
      </c>
      <c r="H267" s="178">
        <v>6</v>
      </c>
      <c r="I267" s="130">
        <v>3</v>
      </c>
      <c r="J267" s="130">
        <v>3</v>
      </c>
      <c r="K267" s="114">
        <v>8620.94</v>
      </c>
      <c r="L267" s="270">
        <v>2</v>
      </c>
      <c r="M267" s="43">
        <f t="shared" si="19"/>
        <v>1997.84</v>
      </c>
      <c r="N267" s="43">
        <f>1152.6+845.24</f>
        <v>1997.84</v>
      </c>
      <c r="O267" s="222"/>
      <c r="P267" s="130">
        <v>7</v>
      </c>
      <c r="Q267" s="130">
        <v>24706.45</v>
      </c>
      <c r="R267" s="270">
        <v>10</v>
      </c>
      <c r="S267" s="43">
        <f t="shared" si="20"/>
        <v>34770.1</v>
      </c>
      <c r="T267" s="114">
        <f>4994.6+12678.6+576.3+6915.6+6915.6+576.3+2113.1</f>
        <v>34770.1</v>
      </c>
      <c r="U267" s="222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196</v>
      </c>
      <c r="C268" s="381" t="s">
        <v>22</v>
      </c>
      <c r="D268" s="374"/>
      <c r="E268" s="381" t="s">
        <v>27</v>
      </c>
      <c r="F268" s="22"/>
      <c r="G268" s="23" t="s">
        <v>24</v>
      </c>
      <c r="H268" s="119"/>
      <c r="I268" s="25"/>
      <c r="J268" s="25"/>
      <c r="K268" s="26"/>
      <c r="L268" s="27"/>
      <c r="M268" s="26">
        <f t="shared" si="19"/>
        <v>0</v>
      </c>
      <c r="N268" s="26"/>
      <c r="O268" s="28"/>
      <c r="P268" s="120"/>
      <c r="Q268" s="26"/>
      <c r="R268" s="27"/>
      <c r="S268" s="26">
        <f t="shared" si="20"/>
        <v>0</v>
      </c>
      <c r="T268" s="26"/>
      <c r="U268" s="28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348</v>
      </c>
      <c r="G269" s="35" t="s">
        <v>28</v>
      </c>
      <c r="H269" s="66">
        <v>6</v>
      </c>
      <c r="I269" s="38"/>
      <c r="J269" s="38"/>
      <c r="K269" s="39"/>
      <c r="L269" s="40"/>
      <c r="M269" s="39">
        <f t="shared" si="19"/>
        <v>0</v>
      </c>
      <c r="N269" s="39"/>
      <c r="O269" s="41"/>
      <c r="P269" s="67">
        <v>4</v>
      </c>
      <c r="Q269" s="68">
        <v>11282.42</v>
      </c>
      <c r="R269" s="285">
        <v>4</v>
      </c>
      <c r="S269" s="39">
        <f t="shared" si="20"/>
        <v>11576</v>
      </c>
      <c r="T269" s="39">
        <f>2547.3+4226.2+2881.5+1921</f>
        <v>11576</v>
      </c>
      <c r="U269" s="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197</v>
      </c>
      <c r="C270" s="381" t="s">
        <v>39</v>
      </c>
      <c r="D270" s="381" t="s">
        <v>381</v>
      </c>
      <c r="E270" s="381" t="s">
        <v>27</v>
      </c>
      <c r="F270" s="204" t="s">
        <v>382</v>
      </c>
      <c r="G270" s="47" t="s">
        <v>24</v>
      </c>
      <c r="H270" s="98"/>
      <c r="I270" s="49"/>
      <c r="J270" s="49"/>
      <c r="K270" s="50"/>
      <c r="L270" s="51"/>
      <c r="M270" s="50">
        <f t="shared" si="19"/>
        <v>0</v>
      </c>
      <c r="N270" s="50"/>
      <c r="O270" s="31"/>
      <c r="P270" s="108">
        <v>1</v>
      </c>
      <c r="Q270" s="65">
        <v>748.24</v>
      </c>
      <c r="R270" s="224">
        <v>1</v>
      </c>
      <c r="S270" s="50">
        <f t="shared" si="20"/>
        <v>748.24</v>
      </c>
      <c r="T270" s="65">
        <v>748.24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9"/>
      <c r="B271" s="380"/>
      <c r="C271" s="380"/>
      <c r="D271" s="380"/>
      <c r="E271" s="380"/>
      <c r="F271" s="221" t="s">
        <v>349</v>
      </c>
      <c r="G271" s="55" t="s">
        <v>28</v>
      </c>
      <c r="H271" s="153">
        <v>4</v>
      </c>
      <c r="I271" s="130">
        <v>2</v>
      </c>
      <c r="J271" s="130">
        <v>2</v>
      </c>
      <c r="K271" s="114">
        <v>3265.7</v>
      </c>
      <c r="L271" s="270">
        <v>2</v>
      </c>
      <c r="M271" s="43">
        <f t="shared" si="19"/>
        <v>2977.55</v>
      </c>
      <c r="N271" s="43">
        <f>1056.55+1921</f>
        <v>2977.55</v>
      </c>
      <c r="O271" s="41"/>
      <c r="P271" s="103"/>
      <c r="Q271" s="43"/>
      <c r="R271" s="270">
        <v>2</v>
      </c>
      <c r="S271" s="43">
        <f t="shared" si="20"/>
        <v>3765.16</v>
      </c>
      <c r="T271" s="114">
        <f>1440.75+2324.41</f>
        <v>3765.16</v>
      </c>
      <c r="U271" s="4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198</v>
      </c>
      <c r="C272" s="374" t="s">
        <v>39</v>
      </c>
      <c r="D272" s="374" t="s">
        <v>469</v>
      </c>
      <c r="E272" s="374" t="s">
        <v>112</v>
      </c>
      <c r="F272" s="204" t="s">
        <v>470</v>
      </c>
      <c r="G272" s="23" t="s">
        <v>24</v>
      </c>
      <c r="H272" s="48">
        <v>10</v>
      </c>
      <c r="I272" s="62">
        <v>9</v>
      </c>
      <c r="J272" s="62">
        <v>9</v>
      </c>
      <c r="K272" s="30">
        <v>9703.07</v>
      </c>
      <c r="L272" s="205">
        <v>7</v>
      </c>
      <c r="M272" s="26">
        <f t="shared" si="19"/>
        <v>4666.33</v>
      </c>
      <c r="N272" s="30">
        <v>4666.33</v>
      </c>
      <c r="O272" s="31"/>
      <c r="P272" s="53">
        <v>13</v>
      </c>
      <c r="Q272" s="30">
        <v>48930.55</v>
      </c>
      <c r="R272" s="205">
        <v>13</v>
      </c>
      <c r="S272" s="26">
        <f t="shared" si="20"/>
        <v>48930.55</v>
      </c>
      <c r="T272" s="30">
        <v>48930.55</v>
      </c>
      <c r="U272" s="225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 t="s">
        <v>350</v>
      </c>
      <c r="G273" s="35" t="s">
        <v>28</v>
      </c>
      <c r="H273" s="153">
        <v>3</v>
      </c>
      <c r="I273" s="37">
        <v>1</v>
      </c>
      <c r="J273" s="37">
        <v>1</v>
      </c>
      <c r="K273" s="68">
        <v>602.1</v>
      </c>
      <c r="L273" s="40"/>
      <c r="M273" s="39">
        <f t="shared" si="19"/>
        <v>0</v>
      </c>
      <c r="N273" s="39"/>
      <c r="O273" s="41"/>
      <c r="P273" s="59"/>
      <c r="Q273" s="39"/>
      <c r="R273" s="40"/>
      <c r="S273" s="39">
        <f t="shared" si="20"/>
        <v>0</v>
      </c>
      <c r="T273" s="39"/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199</v>
      </c>
      <c r="C274" s="381" t="s">
        <v>22</v>
      </c>
      <c r="D274" s="381"/>
      <c r="E274" s="381" t="s">
        <v>131</v>
      </c>
      <c r="F274" s="46"/>
      <c r="G274" s="23" t="s">
        <v>24</v>
      </c>
      <c r="H274" s="98"/>
      <c r="I274" s="49"/>
      <c r="J274" s="49"/>
      <c r="K274" s="50"/>
      <c r="L274" s="51"/>
      <c r="M274" s="50">
        <f t="shared" si="19"/>
        <v>0</v>
      </c>
      <c r="N274" s="50"/>
      <c r="O274" s="31"/>
      <c r="P274" s="123"/>
      <c r="Q274" s="50"/>
      <c r="R274" s="51"/>
      <c r="S274" s="50">
        <f t="shared" si="20"/>
        <v>0</v>
      </c>
      <c r="T274" s="50"/>
      <c r="U274" s="3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9"/>
      <c r="B275" s="380"/>
      <c r="C275" s="380"/>
      <c r="D275" s="380"/>
      <c r="E275" s="380"/>
      <c r="F275" s="126"/>
      <c r="G275" s="55" t="s">
        <v>25</v>
      </c>
      <c r="H275" s="118"/>
      <c r="I275" s="57"/>
      <c r="J275" s="57"/>
      <c r="K275" s="43"/>
      <c r="L275" s="44"/>
      <c r="M275" s="43">
        <f t="shared" si="19"/>
        <v>0</v>
      </c>
      <c r="N275" s="43"/>
      <c r="O275" s="41"/>
      <c r="P275" s="103"/>
      <c r="Q275" s="43"/>
      <c r="R275" s="44"/>
      <c r="S275" s="43">
        <f t="shared" si="20"/>
        <v>0</v>
      </c>
      <c r="T275" s="43"/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200</v>
      </c>
      <c r="C276" s="374" t="s">
        <v>39</v>
      </c>
      <c r="D276" s="374" t="s">
        <v>456</v>
      </c>
      <c r="E276" s="374" t="s">
        <v>27</v>
      </c>
      <c r="F276" s="204" t="s">
        <v>457</v>
      </c>
      <c r="G276" s="23" t="s">
        <v>24</v>
      </c>
      <c r="H276" s="61">
        <v>4</v>
      </c>
      <c r="I276" s="62">
        <v>4</v>
      </c>
      <c r="J276" s="62">
        <v>5</v>
      </c>
      <c r="K276" s="30">
        <v>6859.34</v>
      </c>
      <c r="L276" s="205">
        <v>5</v>
      </c>
      <c r="M276" s="26">
        <f t="shared" si="19"/>
        <v>6859.34</v>
      </c>
      <c r="N276" s="30">
        <v>6859.34</v>
      </c>
      <c r="O276" s="31"/>
      <c r="P276" s="29">
        <v>6</v>
      </c>
      <c r="Q276" s="30">
        <v>21652.240000000002</v>
      </c>
      <c r="R276" s="205">
        <v>6</v>
      </c>
      <c r="S276" s="26">
        <f t="shared" si="20"/>
        <v>21652.240000000002</v>
      </c>
      <c r="T276" s="30">
        <v>21652.240000000002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33" t="s">
        <v>466</v>
      </c>
      <c r="G277" s="227" t="s">
        <v>28</v>
      </c>
      <c r="H277" s="207">
        <v>4</v>
      </c>
      <c r="I277" s="208">
        <v>2</v>
      </c>
      <c r="J277" s="208">
        <v>2</v>
      </c>
      <c r="K277" s="209">
        <v>3364.6</v>
      </c>
      <c r="L277" s="290">
        <v>1</v>
      </c>
      <c r="M277" s="211">
        <f t="shared" si="19"/>
        <v>1056.55</v>
      </c>
      <c r="N277" s="211">
        <f>1056.55</f>
        <v>1056.55</v>
      </c>
      <c r="O277" s="212"/>
      <c r="P277" s="284"/>
      <c r="Q277" s="211"/>
      <c r="R277" s="290">
        <v>1</v>
      </c>
      <c r="S277" s="211">
        <f t="shared" si="20"/>
        <v>1921</v>
      </c>
      <c r="T277" s="209">
        <v>1921</v>
      </c>
      <c r="U277" s="212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2"/>
      <c r="B278" s="374" t="s">
        <v>430</v>
      </c>
      <c r="C278" s="374" t="s">
        <v>39</v>
      </c>
      <c r="D278" s="374" t="s">
        <v>439</v>
      </c>
      <c r="E278" s="374" t="s">
        <v>27</v>
      </c>
      <c r="F278" s="204" t="s">
        <v>440</v>
      </c>
      <c r="G278" s="213" t="s">
        <v>24</v>
      </c>
      <c r="H278" s="61"/>
      <c r="I278" s="62"/>
      <c r="J278" s="62"/>
      <c r="K278" s="30"/>
      <c r="L278" s="27"/>
      <c r="M278" s="26">
        <f t="shared" si="19"/>
        <v>0</v>
      </c>
      <c r="N278" s="26"/>
      <c r="O278" s="241"/>
      <c r="P278" s="214"/>
      <c r="Q278" s="30"/>
      <c r="R278" s="205"/>
      <c r="S278" s="26">
        <f t="shared" si="20"/>
        <v>0</v>
      </c>
      <c r="T278" s="30"/>
      <c r="U278" s="28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3"/>
      <c r="B279" s="375"/>
      <c r="C279" s="375"/>
      <c r="D279" s="375"/>
      <c r="E279" s="375"/>
      <c r="F279" s="220"/>
      <c r="G279" s="215" t="s">
        <v>28</v>
      </c>
      <c r="H279" s="117"/>
      <c r="I279" s="37"/>
      <c r="J279" s="37"/>
      <c r="K279" s="68"/>
      <c r="L279" s="40"/>
      <c r="M279" s="39">
        <f t="shared" si="19"/>
        <v>0</v>
      </c>
      <c r="N279" s="39"/>
      <c r="O279" s="234"/>
      <c r="P279" s="217"/>
      <c r="Q279" s="68"/>
      <c r="R279" s="285"/>
      <c r="S279" s="39">
        <f t="shared" si="20"/>
        <v>0</v>
      </c>
      <c r="T279" s="68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6"/>
      <c r="B280" s="377" t="s">
        <v>201</v>
      </c>
      <c r="C280" s="377" t="s">
        <v>39</v>
      </c>
      <c r="D280" s="377" t="s">
        <v>385</v>
      </c>
      <c r="E280" s="377" t="s">
        <v>386</v>
      </c>
      <c r="F280" s="232" t="s">
        <v>387</v>
      </c>
      <c r="G280" s="95" t="s">
        <v>24</v>
      </c>
      <c r="H280" s="265">
        <v>16</v>
      </c>
      <c r="I280" s="266">
        <v>12</v>
      </c>
      <c r="J280" s="266">
        <v>19</v>
      </c>
      <c r="K280" s="79">
        <v>27305.66</v>
      </c>
      <c r="L280" s="268">
        <v>19</v>
      </c>
      <c r="M280" s="81">
        <f t="shared" si="19"/>
        <v>27305.66</v>
      </c>
      <c r="N280" s="79">
        <v>27305.66</v>
      </c>
      <c r="O280" s="313"/>
      <c r="P280" s="267">
        <v>2</v>
      </c>
      <c r="Q280" s="79">
        <v>4356.83</v>
      </c>
      <c r="R280" s="268">
        <v>2</v>
      </c>
      <c r="S280" s="81">
        <f t="shared" si="20"/>
        <v>4356.83</v>
      </c>
      <c r="T280" s="79">
        <v>4356.83</v>
      </c>
      <c r="U280" s="82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105"/>
      <c r="G281" s="35" t="s">
        <v>25</v>
      </c>
      <c r="H281" s="117">
        <v>1</v>
      </c>
      <c r="I281" s="38"/>
      <c r="J281" s="38"/>
      <c r="K281" s="39"/>
      <c r="L281" s="40"/>
      <c r="M281" s="39">
        <f t="shared" si="19"/>
        <v>0</v>
      </c>
      <c r="N281" s="39"/>
      <c r="O281" s="58"/>
      <c r="P281" s="115">
        <v>2</v>
      </c>
      <c r="Q281" s="68">
        <v>4418.3</v>
      </c>
      <c r="R281" s="285">
        <v>2</v>
      </c>
      <c r="S281" s="68">
        <v>4418.3</v>
      </c>
      <c r="T281" s="68">
        <v>4418.3</v>
      </c>
      <c r="U281" s="4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82"/>
      <c r="B282" s="381" t="s">
        <v>202</v>
      </c>
      <c r="C282" s="381" t="s">
        <v>39</v>
      </c>
      <c r="D282" s="377" t="s">
        <v>441</v>
      </c>
      <c r="E282" s="381" t="s">
        <v>27</v>
      </c>
      <c r="F282" s="204" t="s">
        <v>442</v>
      </c>
      <c r="G282" s="47" t="s">
        <v>24</v>
      </c>
      <c r="H282" s="48">
        <v>2</v>
      </c>
      <c r="I282" s="203">
        <v>2</v>
      </c>
      <c r="J282" s="203">
        <v>2</v>
      </c>
      <c r="K282" s="65">
        <v>2382.04</v>
      </c>
      <c r="L282" s="224">
        <v>2</v>
      </c>
      <c r="M282" s="50">
        <f t="shared" si="19"/>
        <v>2382.04</v>
      </c>
      <c r="N282" s="65">
        <v>2382.04</v>
      </c>
      <c r="O282" s="31"/>
      <c r="P282" s="108">
        <v>2</v>
      </c>
      <c r="Q282" s="65">
        <v>4082.51</v>
      </c>
      <c r="R282" s="224">
        <v>2</v>
      </c>
      <c r="S282" s="50">
        <f t="shared" ref="S282:S286" si="21">T282+U282</f>
        <v>4082.51</v>
      </c>
      <c r="T282" s="65">
        <v>4082.51</v>
      </c>
      <c r="U282" s="225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221" t="s">
        <v>262</v>
      </c>
      <c r="G283" s="55" t="s">
        <v>28</v>
      </c>
      <c r="H283" s="112">
        <v>2</v>
      </c>
      <c r="I283" s="130">
        <v>1</v>
      </c>
      <c r="J283" s="130">
        <v>1</v>
      </c>
      <c r="K283" s="114">
        <v>1479.17</v>
      </c>
      <c r="L283" s="316">
        <v>1</v>
      </c>
      <c r="M283" s="129">
        <f t="shared" si="19"/>
        <v>1479.17</v>
      </c>
      <c r="N283" s="43">
        <f>1479.17</f>
        <v>1479.17</v>
      </c>
      <c r="O283" s="45"/>
      <c r="P283" s="113">
        <v>4</v>
      </c>
      <c r="Q283" s="114">
        <v>17905.400000000001</v>
      </c>
      <c r="R283" s="316">
        <v>5</v>
      </c>
      <c r="S283" s="129">
        <f t="shared" si="21"/>
        <v>21555.3</v>
      </c>
      <c r="T283" s="114">
        <f>3649.9+1344.7+7107.7+4034.1+5418.9</f>
        <v>21555.3</v>
      </c>
      <c r="U283" s="4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2"/>
      <c r="B284" s="374" t="s">
        <v>203</v>
      </c>
      <c r="C284" s="377" t="s">
        <v>46</v>
      </c>
      <c r="D284" s="377" t="s">
        <v>459</v>
      </c>
      <c r="E284" s="374" t="s">
        <v>27</v>
      </c>
      <c r="F284" s="204" t="s">
        <v>475</v>
      </c>
      <c r="G284" s="23" t="s">
        <v>24</v>
      </c>
      <c r="H284" s="61">
        <v>2</v>
      </c>
      <c r="I284" s="25"/>
      <c r="J284" s="25"/>
      <c r="K284" s="26"/>
      <c r="L284" s="27"/>
      <c r="M284" s="26">
        <f t="shared" si="19"/>
        <v>0</v>
      </c>
      <c r="N284" s="26"/>
      <c r="O284" s="28"/>
      <c r="P284" s="120"/>
      <c r="Q284" s="26"/>
      <c r="R284" s="27"/>
      <c r="S284" s="26">
        <f t="shared" si="21"/>
        <v>0</v>
      </c>
      <c r="T284" s="26"/>
      <c r="U284" s="28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3"/>
      <c r="B285" s="375"/>
      <c r="C285" s="375"/>
      <c r="D285" s="375"/>
      <c r="E285" s="375"/>
      <c r="F285" s="34"/>
      <c r="G285" s="35" t="s">
        <v>28</v>
      </c>
      <c r="H285" s="117"/>
      <c r="I285" s="38"/>
      <c r="J285" s="38"/>
      <c r="K285" s="39"/>
      <c r="L285" s="40"/>
      <c r="M285" s="39">
        <f t="shared" si="19"/>
        <v>0</v>
      </c>
      <c r="N285" s="39"/>
      <c r="O285" s="41"/>
      <c r="P285" s="69"/>
      <c r="Q285" s="39"/>
      <c r="R285" s="40"/>
      <c r="S285" s="39">
        <f t="shared" si="21"/>
        <v>0</v>
      </c>
      <c r="T285" s="39"/>
      <c r="U285" s="4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82"/>
      <c r="B286" s="381" t="s">
        <v>204</v>
      </c>
      <c r="C286" s="377" t="s">
        <v>22</v>
      </c>
      <c r="D286" s="377"/>
      <c r="E286" s="381" t="s">
        <v>23</v>
      </c>
      <c r="F286" s="204" t="s">
        <v>431</v>
      </c>
      <c r="G286" s="47" t="s">
        <v>24</v>
      </c>
      <c r="H286" s="48">
        <v>11</v>
      </c>
      <c r="I286" s="203">
        <v>5</v>
      </c>
      <c r="J286" s="203">
        <v>6</v>
      </c>
      <c r="K286" s="65">
        <v>8254.93</v>
      </c>
      <c r="L286" s="224">
        <v>6</v>
      </c>
      <c r="M286" s="50">
        <f t="shared" si="19"/>
        <v>8254.93</v>
      </c>
      <c r="N286" s="65">
        <v>8254.93</v>
      </c>
      <c r="O286" s="225"/>
      <c r="P286" s="108">
        <v>4</v>
      </c>
      <c r="Q286" s="65">
        <v>3363.11</v>
      </c>
      <c r="R286" s="224">
        <v>4</v>
      </c>
      <c r="S286" s="50">
        <f t="shared" si="21"/>
        <v>3363.11</v>
      </c>
      <c r="T286" s="65">
        <v>3363.11</v>
      </c>
      <c r="U286" s="225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3"/>
      <c r="B287" s="375"/>
      <c r="C287" s="375"/>
      <c r="D287" s="375"/>
      <c r="E287" s="375"/>
      <c r="F287" s="34"/>
      <c r="G287" s="35" t="s">
        <v>25</v>
      </c>
      <c r="H287" s="111"/>
      <c r="I287" s="38"/>
      <c r="J287" s="38"/>
      <c r="K287" s="39"/>
      <c r="L287" s="40"/>
      <c r="M287" s="39">
        <f t="shared" si="19"/>
        <v>0</v>
      </c>
      <c r="N287" s="39"/>
      <c r="O287" s="41"/>
      <c r="P287" s="115">
        <v>1</v>
      </c>
      <c r="Q287" s="68">
        <v>2305.1999999999998</v>
      </c>
      <c r="R287" s="285">
        <v>1</v>
      </c>
      <c r="S287" s="68">
        <v>2305.1999999999998</v>
      </c>
      <c r="T287" s="68">
        <v>2305.1999999999998</v>
      </c>
      <c r="U287" s="41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179"/>
      <c r="B288" s="180" t="s">
        <v>205</v>
      </c>
      <c r="C288" s="180"/>
      <c r="D288" s="180"/>
      <c r="E288" s="180"/>
      <c r="F288" s="180"/>
      <c r="G288" s="181"/>
      <c r="H288" s="182">
        <f t="shared" ref="H288:U288" si="22">SUM(H9:H287)</f>
        <v>1459</v>
      </c>
      <c r="I288" s="183">
        <f t="shared" si="22"/>
        <v>884</v>
      </c>
      <c r="J288" s="183">
        <f t="shared" si="22"/>
        <v>1075</v>
      </c>
      <c r="K288" s="184">
        <f t="shared" si="22"/>
        <v>1933463.0399999998</v>
      </c>
      <c r="L288" s="185">
        <f t="shared" si="22"/>
        <v>954</v>
      </c>
      <c r="M288" s="184">
        <f t="shared" si="22"/>
        <v>1693056.8699999996</v>
      </c>
      <c r="N288" s="184">
        <f t="shared" si="22"/>
        <v>1693056.8699999996</v>
      </c>
      <c r="O288" s="186">
        <f t="shared" si="22"/>
        <v>0</v>
      </c>
      <c r="P288" s="187">
        <f t="shared" si="22"/>
        <v>1268</v>
      </c>
      <c r="Q288" s="188">
        <f t="shared" si="22"/>
        <v>4318803.6999999993</v>
      </c>
      <c r="R288" s="185">
        <f t="shared" si="22"/>
        <v>1193</v>
      </c>
      <c r="S288" s="188">
        <f t="shared" si="22"/>
        <v>4113280.4099999974</v>
      </c>
      <c r="T288" s="188">
        <f t="shared" si="22"/>
        <v>4113280.4099999974</v>
      </c>
      <c r="U288" s="189">
        <f t="shared" si="22"/>
        <v>0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I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 t="s">
        <v>206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27.75" customHeight="1">
      <c r="A292" s="4"/>
      <c r="B292" s="4"/>
      <c r="C292" s="4"/>
      <c r="D292" s="4"/>
      <c r="E292" s="4"/>
      <c r="F292" s="394"/>
      <c r="G292" s="395" t="s">
        <v>5</v>
      </c>
      <c r="H292" s="396"/>
      <c r="I292" s="396"/>
      <c r="J292" s="396"/>
      <c r="K292" s="396"/>
      <c r="L292" s="396"/>
      <c r="M292" s="396"/>
      <c r="N292" s="397"/>
      <c r="O292" s="395" t="s">
        <v>6</v>
      </c>
      <c r="P292" s="396"/>
      <c r="Q292" s="396"/>
      <c r="R292" s="396"/>
      <c r="S292" s="396"/>
      <c r="T292" s="397"/>
      <c r="U292" s="393" t="s">
        <v>207</v>
      </c>
      <c r="V292" s="393" t="s">
        <v>208</v>
      </c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386"/>
      <c r="G293" s="190" t="s">
        <v>13</v>
      </c>
      <c r="H293" s="190" t="s">
        <v>14</v>
      </c>
      <c r="I293" s="190" t="s">
        <v>15</v>
      </c>
      <c r="J293" s="190" t="s">
        <v>16</v>
      </c>
      <c r="K293" s="191" t="s">
        <v>17</v>
      </c>
      <c r="L293" s="190" t="s">
        <v>18</v>
      </c>
      <c r="M293" s="190" t="s">
        <v>19</v>
      </c>
      <c r="N293" s="190" t="s">
        <v>20</v>
      </c>
      <c r="O293" s="190" t="s">
        <v>15</v>
      </c>
      <c r="P293" s="190" t="s">
        <v>16</v>
      </c>
      <c r="Q293" s="191" t="s">
        <v>17</v>
      </c>
      <c r="R293" s="190" t="s">
        <v>18</v>
      </c>
      <c r="S293" s="190" t="s">
        <v>19</v>
      </c>
      <c r="T293" s="190" t="s">
        <v>20</v>
      </c>
      <c r="U293" s="392"/>
      <c r="V293" s="392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192" t="s">
        <v>24</v>
      </c>
      <c r="G294" s="193">
        <f t="shared" ref="G294:I294" si="23">SUMIF($G$9:$G$287,$F$294,H9:H287)</f>
        <v>1062</v>
      </c>
      <c r="H294" s="193">
        <f t="shared" si="23"/>
        <v>732</v>
      </c>
      <c r="I294" s="193">
        <f t="shared" si="23"/>
        <v>922</v>
      </c>
      <c r="J294" s="194">
        <f t="shared" ref="J294:J296" si="24">SUMIF($G$9:$G$287,F294,$K$9:$K$287)</f>
        <v>1649256.9999999993</v>
      </c>
      <c r="K294" s="195">
        <f t="shared" ref="K294:K296" si="25">SUMIF($G$9:$G$287,F294,$L$9:$L$287)</f>
        <v>828</v>
      </c>
      <c r="L294" s="194">
        <f t="shared" ref="L294:L296" si="26">SUMIF($G$9:$G$287,F294,$M$9:$M$287)</f>
        <v>1471198.3699999999</v>
      </c>
      <c r="M294" s="194">
        <f t="shared" ref="M294:O294" si="27">SUMIF($G$9:$G$287,$F$294,N9:N287)</f>
        <v>1471198.3699999999</v>
      </c>
      <c r="N294" s="194">
        <f t="shared" si="27"/>
        <v>0</v>
      </c>
      <c r="O294" s="193">
        <f t="shared" si="27"/>
        <v>1025</v>
      </c>
      <c r="P294" s="194">
        <f t="shared" ref="P294:P296" si="28">SUMIF($G$9:$G$287,F294,$Q$9:$Q$287)</f>
        <v>3570512.0199999991</v>
      </c>
      <c r="Q294" s="195">
        <f t="shared" ref="Q294:Q296" si="29">SUMIF($G$9:$G$287,F294,$R$9:$R$287)</f>
        <v>965</v>
      </c>
      <c r="R294" s="194">
        <f t="shared" ref="R294:R296" si="30">SUMIF($G$9:$G$287,F294,$S$9:$S$287)</f>
        <v>3389713.3599999989</v>
      </c>
      <c r="S294" s="194">
        <f t="shared" ref="S294:T294" si="31">SUMIF($G$9:$G$287,$F$294,T9:T287)</f>
        <v>3389713.3599999989</v>
      </c>
      <c r="T294" s="194">
        <f t="shared" si="31"/>
        <v>0</v>
      </c>
      <c r="U294" s="194">
        <f t="shared" ref="U294:U296" si="32">S294+M294</f>
        <v>4860911.7299999986</v>
      </c>
      <c r="V294" s="196">
        <f t="shared" ref="V294:V296" si="33">J294-M294+P294-S294</f>
        <v>358857.28999999957</v>
      </c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192" t="s">
        <v>28</v>
      </c>
      <c r="G295" s="349">
        <v>330</v>
      </c>
      <c r="H295" s="193">
        <f t="shared" ref="H295:I295" si="34">SUMIF($G$9:$G$287,$F$295,I9:I287)</f>
        <v>117</v>
      </c>
      <c r="I295" s="193">
        <f t="shared" si="34"/>
        <v>118</v>
      </c>
      <c r="J295" s="194">
        <f t="shared" si="24"/>
        <v>221481.7900000001</v>
      </c>
      <c r="K295" s="195">
        <f t="shared" si="25"/>
        <v>96</v>
      </c>
      <c r="L295" s="194">
        <f t="shared" si="26"/>
        <v>174186.79999999996</v>
      </c>
      <c r="M295" s="194">
        <f t="shared" ref="M295:O295" si="35">SUMIF($G$9:$G$287,$F$295,N9:N287)</f>
        <v>174186.79999999996</v>
      </c>
      <c r="N295" s="194">
        <f t="shared" si="35"/>
        <v>0</v>
      </c>
      <c r="O295" s="193">
        <f t="shared" si="35"/>
        <v>185</v>
      </c>
      <c r="P295" s="194">
        <f t="shared" si="28"/>
        <v>542787.44000000006</v>
      </c>
      <c r="Q295" s="195">
        <f t="shared" si="29"/>
        <v>175</v>
      </c>
      <c r="R295" s="194">
        <f t="shared" si="30"/>
        <v>523801.9499999999</v>
      </c>
      <c r="S295" s="194">
        <f t="shared" ref="S295:T295" si="36">SUMIF($G$9:$G$287,$F$295,T9:T287)</f>
        <v>523801.9499999999</v>
      </c>
      <c r="T295" s="194">
        <f t="shared" si="36"/>
        <v>0</v>
      </c>
      <c r="U295" s="194">
        <f t="shared" si="32"/>
        <v>697988.74999999988</v>
      </c>
      <c r="V295" s="196">
        <f t="shared" si="33"/>
        <v>66280.480000000272</v>
      </c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192" t="s">
        <v>25</v>
      </c>
      <c r="G296" s="193">
        <f t="shared" ref="G296:I296" si="37">SUMIF($G$9:$G$287,$F$296,H9:H287)</f>
        <v>67</v>
      </c>
      <c r="H296" s="193">
        <f t="shared" si="37"/>
        <v>35</v>
      </c>
      <c r="I296" s="193">
        <f t="shared" si="37"/>
        <v>35</v>
      </c>
      <c r="J296" s="194">
        <f t="shared" si="24"/>
        <v>62724.250000000007</v>
      </c>
      <c r="K296" s="195">
        <f t="shared" si="25"/>
        <v>30</v>
      </c>
      <c r="L296" s="194">
        <f t="shared" si="26"/>
        <v>47671.7</v>
      </c>
      <c r="M296" s="194">
        <f t="shared" ref="M296:O296" si="38">SUMIF($G$9:$G$287,$F$296,N9:N287)</f>
        <v>47671.7</v>
      </c>
      <c r="N296" s="194">
        <f t="shared" si="38"/>
        <v>0</v>
      </c>
      <c r="O296" s="193">
        <f t="shared" si="38"/>
        <v>58</v>
      </c>
      <c r="P296" s="194">
        <f t="shared" si="28"/>
        <v>205504.24</v>
      </c>
      <c r="Q296" s="195">
        <f t="shared" si="29"/>
        <v>53</v>
      </c>
      <c r="R296" s="194">
        <f t="shared" si="30"/>
        <v>199765.1</v>
      </c>
      <c r="S296" s="194">
        <f t="shared" ref="S296:T296" si="39">SUMIF($G$9:$G$287,$F$296,T9:T287)</f>
        <v>199765.1</v>
      </c>
      <c r="T296" s="194">
        <f t="shared" si="39"/>
        <v>0</v>
      </c>
      <c r="U296" s="194">
        <f t="shared" si="32"/>
        <v>247436.79999999999</v>
      </c>
      <c r="V296" s="196">
        <f t="shared" si="33"/>
        <v>20791.690000000002</v>
      </c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197">
        <f t="shared" ref="G297:V297" si="40">G296+G295+G294</f>
        <v>1459</v>
      </c>
      <c r="H297" s="197">
        <f t="shared" si="40"/>
        <v>884</v>
      </c>
      <c r="I297" s="197">
        <f t="shared" si="40"/>
        <v>1075</v>
      </c>
      <c r="J297" s="198">
        <f t="shared" si="40"/>
        <v>1933463.0399999993</v>
      </c>
      <c r="K297" s="199">
        <f t="shared" si="40"/>
        <v>954</v>
      </c>
      <c r="L297" s="198">
        <f t="shared" si="40"/>
        <v>1693056.8699999999</v>
      </c>
      <c r="M297" s="198">
        <f t="shared" si="40"/>
        <v>1693056.8699999999</v>
      </c>
      <c r="N297" s="198">
        <f t="shared" si="40"/>
        <v>0</v>
      </c>
      <c r="O297" s="197">
        <f t="shared" si="40"/>
        <v>1268</v>
      </c>
      <c r="P297" s="198">
        <f t="shared" si="40"/>
        <v>4318803.6999999993</v>
      </c>
      <c r="Q297" s="200">
        <f t="shared" si="40"/>
        <v>1193</v>
      </c>
      <c r="R297" s="198">
        <f t="shared" si="40"/>
        <v>4113280.4099999988</v>
      </c>
      <c r="S297" s="198">
        <f t="shared" si="40"/>
        <v>4113280.4099999988</v>
      </c>
      <c r="T297" s="198">
        <f t="shared" si="40"/>
        <v>0</v>
      </c>
      <c r="U297" s="198">
        <f t="shared" si="40"/>
        <v>5806337.2799999984</v>
      </c>
      <c r="V297" s="198">
        <f t="shared" si="40"/>
        <v>445929.45999999985</v>
      </c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K298" s="201"/>
      <c r="L298" s="201"/>
      <c r="R298" s="2"/>
    </row>
    <row r="299" spans="1:32" ht="15.75" customHeight="1">
      <c r="K299" s="201"/>
      <c r="L299" s="201"/>
      <c r="R299" s="2"/>
    </row>
    <row r="300" spans="1:32" ht="15.75" customHeight="1">
      <c r="K300" s="201"/>
      <c r="L300" s="201"/>
      <c r="R300" s="2"/>
    </row>
    <row r="301" spans="1:32" ht="15.75" customHeight="1">
      <c r="K301" s="201"/>
      <c r="L301" s="201"/>
      <c r="R301" s="2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L450" s="2"/>
      <c r="R450" s="2"/>
    </row>
    <row r="451" spans="11:18" ht="15.75" customHeight="1">
      <c r="L451" s="2"/>
      <c r="R451" s="2"/>
    </row>
    <row r="452" spans="11:18" ht="15.75" customHeight="1">
      <c r="L452" s="2"/>
      <c r="R452" s="2"/>
    </row>
    <row r="453" spans="11:18" ht="15.75" customHeight="1">
      <c r="L453" s="2"/>
      <c r="R453" s="2"/>
    </row>
    <row r="454" spans="11:18" ht="15.75" customHeight="1">
      <c r="L454" s="2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</sheetData>
  <mergeCells count="696">
    <mergeCell ref="A203:A205"/>
    <mergeCell ref="A206:A207"/>
    <mergeCell ref="B206:B207"/>
    <mergeCell ref="C206:C207"/>
    <mergeCell ref="A208:A209"/>
    <mergeCell ref="B208:B209"/>
    <mergeCell ref="C208:C209"/>
    <mergeCell ref="D224:D225"/>
    <mergeCell ref="E224:E225"/>
    <mergeCell ref="B224:B225"/>
    <mergeCell ref="C224:C225"/>
    <mergeCell ref="B203:B205"/>
    <mergeCell ref="C203:C205"/>
    <mergeCell ref="D206:D207"/>
    <mergeCell ref="D208:D209"/>
    <mergeCell ref="D199:D200"/>
    <mergeCell ref="E199:E200"/>
    <mergeCell ref="D201:D202"/>
    <mergeCell ref="E201:E202"/>
    <mergeCell ref="D203:D205"/>
    <mergeCell ref="E203:E205"/>
    <mergeCell ref="E206:E207"/>
    <mergeCell ref="E208:E209"/>
    <mergeCell ref="A197:A198"/>
    <mergeCell ref="B197:B198"/>
    <mergeCell ref="C197:C198"/>
    <mergeCell ref="D197:D198"/>
    <mergeCell ref="E197:E198"/>
    <mergeCell ref="A199:A200"/>
    <mergeCell ref="B199:B200"/>
    <mergeCell ref="C199:C200"/>
    <mergeCell ref="A201:A202"/>
    <mergeCell ref="B201:B202"/>
    <mergeCell ref="C201:C202"/>
    <mergeCell ref="C195:C196"/>
    <mergeCell ref="D195:D196"/>
    <mergeCell ref="A193:A194"/>
    <mergeCell ref="B193:B194"/>
    <mergeCell ref="C193:C194"/>
    <mergeCell ref="D193:D194"/>
    <mergeCell ref="E193:E194"/>
    <mergeCell ref="B195:B196"/>
    <mergeCell ref="E195:E196"/>
    <mergeCell ref="A195:A196"/>
    <mergeCell ref="D179:D180"/>
    <mergeCell ref="E179:E180"/>
    <mergeCell ref="A181:A182"/>
    <mergeCell ref="B189:B190"/>
    <mergeCell ref="C189:C190"/>
    <mergeCell ref="A191:A192"/>
    <mergeCell ref="B191:B192"/>
    <mergeCell ref="C191:C192"/>
    <mergeCell ref="D191:D192"/>
    <mergeCell ref="E191:E192"/>
    <mergeCell ref="A175:A176"/>
    <mergeCell ref="B175:B176"/>
    <mergeCell ref="C175:C176"/>
    <mergeCell ref="B177:B178"/>
    <mergeCell ref="C177:C178"/>
    <mergeCell ref="A177:A178"/>
    <mergeCell ref="A179:A180"/>
    <mergeCell ref="B179:B180"/>
    <mergeCell ref="C179:C180"/>
    <mergeCell ref="A169:A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89:D190"/>
    <mergeCell ref="E189:E190"/>
    <mergeCell ref="A185:A186"/>
    <mergeCell ref="A187:A188"/>
    <mergeCell ref="B187:B188"/>
    <mergeCell ref="C187:C188"/>
    <mergeCell ref="D187:D188"/>
    <mergeCell ref="E187:E188"/>
    <mergeCell ref="A189:A190"/>
    <mergeCell ref="D185:D186"/>
    <mergeCell ref="E185:E186"/>
    <mergeCell ref="B181:B182"/>
    <mergeCell ref="C181:C182"/>
    <mergeCell ref="A183:A184"/>
    <mergeCell ref="B183:B184"/>
    <mergeCell ref="C183:C184"/>
    <mergeCell ref="B185:B186"/>
    <mergeCell ref="C185:C186"/>
    <mergeCell ref="A165:A166"/>
    <mergeCell ref="B165:B166"/>
    <mergeCell ref="C165:C166"/>
    <mergeCell ref="D165:D166"/>
    <mergeCell ref="E165:E166"/>
    <mergeCell ref="D181:D182"/>
    <mergeCell ref="E181:E182"/>
    <mergeCell ref="D183:D184"/>
    <mergeCell ref="E183:E184"/>
    <mergeCell ref="C169:C170"/>
    <mergeCell ref="D169:D170"/>
    <mergeCell ref="A167:A168"/>
    <mergeCell ref="B167:B168"/>
    <mergeCell ref="C167:C168"/>
    <mergeCell ref="D167:D168"/>
    <mergeCell ref="E167:E168"/>
    <mergeCell ref="B169:B170"/>
    <mergeCell ref="E169:E170"/>
    <mergeCell ref="D173:D174"/>
    <mergeCell ref="E173:E174"/>
    <mergeCell ref="D175:D176"/>
    <mergeCell ref="E175:E176"/>
    <mergeCell ref="D177:D178"/>
    <mergeCell ref="E177:E178"/>
    <mergeCell ref="A153:A154"/>
    <mergeCell ref="B153:B154"/>
    <mergeCell ref="C153:C154"/>
    <mergeCell ref="D153:D154"/>
    <mergeCell ref="E153:E154"/>
    <mergeCell ref="B147:B148"/>
    <mergeCell ref="C147:C148"/>
    <mergeCell ref="A149:A150"/>
    <mergeCell ref="B149:B150"/>
    <mergeCell ref="C149:C150"/>
    <mergeCell ref="B151:B152"/>
    <mergeCell ref="C151:C152"/>
    <mergeCell ref="D147:D148"/>
    <mergeCell ref="E147:E148"/>
    <mergeCell ref="D149:D150"/>
    <mergeCell ref="E149:E150"/>
    <mergeCell ref="D151:D152"/>
    <mergeCell ref="E151:E152"/>
    <mergeCell ref="A142:A143"/>
    <mergeCell ref="A144:A146"/>
    <mergeCell ref="B144:B146"/>
    <mergeCell ref="C144:C146"/>
    <mergeCell ref="D144:D146"/>
    <mergeCell ref="E144:E146"/>
    <mergeCell ref="A147:A148"/>
    <mergeCell ref="A151:A152"/>
    <mergeCell ref="C142:C143"/>
    <mergeCell ref="D142:D143"/>
    <mergeCell ref="A140:A141"/>
    <mergeCell ref="B140:B141"/>
    <mergeCell ref="C140:C141"/>
    <mergeCell ref="D140:D141"/>
    <mergeCell ref="E140:E141"/>
    <mergeCell ref="B142:B143"/>
    <mergeCell ref="E142:E143"/>
    <mergeCell ref="D163:D164"/>
    <mergeCell ref="E163:E164"/>
    <mergeCell ref="A158:A159"/>
    <mergeCell ref="A160:A162"/>
    <mergeCell ref="B160:B162"/>
    <mergeCell ref="C160:C162"/>
    <mergeCell ref="D160:D162"/>
    <mergeCell ref="E160:E162"/>
    <mergeCell ref="A163:A164"/>
    <mergeCell ref="B163:B164"/>
    <mergeCell ref="C163:C164"/>
    <mergeCell ref="A274:A275"/>
    <mergeCell ref="B274:B275"/>
    <mergeCell ref="C274:C275"/>
    <mergeCell ref="D274:D275"/>
    <mergeCell ref="E274:E275"/>
    <mergeCell ref="A276:A277"/>
    <mergeCell ref="B284:B285"/>
    <mergeCell ref="C284:C285"/>
    <mergeCell ref="A286:A287"/>
    <mergeCell ref="B286:B287"/>
    <mergeCell ref="C286:C287"/>
    <mergeCell ref="D286:D287"/>
    <mergeCell ref="E286:E287"/>
    <mergeCell ref="D268:D269"/>
    <mergeCell ref="E268:E269"/>
    <mergeCell ref="D270:D271"/>
    <mergeCell ref="E270:E271"/>
    <mergeCell ref="D272:D273"/>
    <mergeCell ref="E272:E273"/>
    <mergeCell ref="A264:A265"/>
    <mergeCell ref="A266:A267"/>
    <mergeCell ref="B266:B267"/>
    <mergeCell ref="C266:C267"/>
    <mergeCell ref="D266:D267"/>
    <mergeCell ref="E266:E267"/>
    <mergeCell ref="A268:A269"/>
    <mergeCell ref="B268:B269"/>
    <mergeCell ref="C268:C269"/>
    <mergeCell ref="A270:A271"/>
    <mergeCell ref="B270:B271"/>
    <mergeCell ref="C270:C271"/>
    <mergeCell ref="B272:B273"/>
    <mergeCell ref="C272:C273"/>
    <mergeCell ref="A272:A273"/>
    <mergeCell ref="C264:C265"/>
    <mergeCell ref="D264:D265"/>
    <mergeCell ref="A262:A263"/>
    <mergeCell ref="B262:B263"/>
    <mergeCell ref="C262:C263"/>
    <mergeCell ref="D262:D263"/>
    <mergeCell ref="E262:E263"/>
    <mergeCell ref="B264:B265"/>
    <mergeCell ref="E264:E265"/>
    <mergeCell ref="D284:D285"/>
    <mergeCell ref="E284:E285"/>
    <mergeCell ref="F292:F293"/>
    <mergeCell ref="G292:N292"/>
    <mergeCell ref="O292:T292"/>
    <mergeCell ref="U292:U293"/>
    <mergeCell ref="V292:V293"/>
    <mergeCell ref="A280:A281"/>
    <mergeCell ref="A282:A283"/>
    <mergeCell ref="B282:B283"/>
    <mergeCell ref="C282:C283"/>
    <mergeCell ref="D282:D283"/>
    <mergeCell ref="E282:E283"/>
    <mergeCell ref="A284:A285"/>
    <mergeCell ref="D276:D277"/>
    <mergeCell ref="E276:E277"/>
    <mergeCell ref="D278:D279"/>
    <mergeCell ref="E278:E279"/>
    <mergeCell ref="D280:D281"/>
    <mergeCell ref="E280:E281"/>
    <mergeCell ref="B276:B277"/>
    <mergeCell ref="C276:C277"/>
    <mergeCell ref="A278:A279"/>
    <mergeCell ref="B278:B279"/>
    <mergeCell ref="C278:C279"/>
    <mergeCell ref="B280:B281"/>
    <mergeCell ref="C280:C281"/>
    <mergeCell ref="A248:A249"/>
    <mergeCell ref="B248:B249"/>
    <mergeCell ref="C248:C249"/>
    <mergeCell ref="D248:D249"/>
    <mergeCell ref="E248:E249"/>
    <mergeCell ref="A250:A251"/>
    <mergeCell ref="B258:B259"/>
    <mergeCell ref="C258:C259"/>
    <mergeCell ref="A260:A261"/>
    <mergeCell ref="B260:B261"/>
    <mergeCell ref="C260:C261"/>
    <mergeCell ref="D260:D261"/>
    <mergeCell ref="E260:E26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A244:A245"/>
    <mergeCell ref="B244:B245"/>
    <mergeCell ref="C244:C245"/>
    <mergeCell ref="B246:B247"/>
    <mergeCell ref="C246:C247"/>
    <mergeCell ref="A246:A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D258:D259"/>
    <mergeCell ref="E258:E259"/>
    <mergeCell ref="A254:A255"/>
    <mergeCell ref="A256:A257"/>
    <mergeCell ref="B256:B257"/>
    <mergeCell ref="C256:C257"/>
    <mergeCell ref="D256:D257"/>
    <mergeCell ref="E256:E257"/>
    <mergeCell ref="A258:A259"/>
    <mergeCell ref="D250:D251"/>
    <mergeCell ref="E250:E251"/>
    <mergeCell ref="D252:D253"/>
    <mergeCell ref="E252:E253"/>
    <mergeCell ref="D254:D255"/>
    <mergeCell ref="E254:E255"/>
    <mergeCell ref="B250:B251"/>
    <mergeCell ref="C250:C251"/>
    <mergeCell ref="A252:A253"/>
    <mergeCell ref="B252:B253"/>
    <mergeCell ref="C252:C253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6:D227"/>
    <mergeCell ref="E226:E227"/>
    <mergeCell ref="D228:D229"/>
    <mergeCell ref="E228:E229"/>
    <mergeCell ref="A226:A227"/>
    <mergeCell ref="B226:B227"/>
    <mergeCell ref="C226:C227"/>
    <mergeCell ref="B228:B229"/>
    <mergeCell ref="C228:C229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E212:E213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158:C159"/>
    <mergeCell ref="D158:D159"/>
    <mergeCell ref="A155:A157"/>
    <mergeCell ref="B155:B157"/>
    <mergeCell ref="C155:C157"/>
    <mergeCell ref="D155:D157"/>
    <mergeCell ref="E155:E157"/>
    <mergeCell ref="B158:B159"/>
    <mergeCell ref="E158:E159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19:D121"/>
    <mergeCell ref="E119:E121"/>
    <mergeCell ref="D122:D123"/>
    <mergeCell ref="E122:E123"/>
    <mergeCell ref="D124:D125"/>
    <mergeCell ref="E124:E125"/>
    <mergeCell ref="A115:A116"/>
    <mergeCell ref="A117:A118"/>
    <mergeCell ref="B117:B118"/>
    <mergeCell ref="C117:C118"/>
    <mergeCell ref="D117:D118"/>
    <mergeCell ref="E117:E118"/>
    <mergeCell ref="A119:A121"/>
    <mergeCell ref="B119:B121"/>
    <mergeCell ref="C119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0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13</v>
      </c>
      <c r="Q9" s="30">
        <v>33280.559999999998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14</v>
      </c>
      <c r="K13" s="79">
        <v>28664.04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23</v>
      </c>
      <c r="I15" s="62">
        <v>21</v>
      </c>
      <c r="J15" s="62">
        <v>30</v>
      </c>
      <c r="K15" s="30">
        <v>78577.16</v>
      </c>
      <c r="L15" s="205">
        <v>29</v>
      </c>
      <c r="M15" s="26">
        <f t="shared" si="0"/>
        <v>76638.399999999994</v>
      </c>
      <c r="N15" s="30">
        <v>76638.399999999994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5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7</v>
      </c>
      <c r="Q18" s="209">
        <v>24148.51</v>
      </c>
      <c r="R18" s="290">
        <v>8</v>
      </c>
      <c r="S18" s="211">
        <f t="shared" si="1"/>
        <v>25990.969999999998</v>
      </c>
      <c r="T18" s="209">
        <f>7027.7+4418.3+7721.17+6823.8</f>
        <v>25990.969999999998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13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7</v>
      </c>
      <c r="I20" s="37">
        <v>1</v>
      </c>
      <c r="J20" s="37">
        <v>1</v>
      </c>
      <c r="K20" s="68">
        <v>1404.9</v>
      </c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9</v>
      </c>
      <c r="I21" s="266">
        <v>9</v>
      </c>
      <c r="J21" s="266">
        <v>12</v>
      </c>
      <c r="K21" s="79">
        <v>19687.11</v>
      </c>
      <c r="L21" s="268">
        <v>11</v>
      </c>
      <c r="M21" s="81">
        <f t="shared" si="0"/>
        <v>18693.64</v>
      </c>
      <c r="N21" s="79">
        <v>18693.64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15</v>
      </c>
      <c r="I23" s="203">
        <v>13</v>
      </c>
      <c r="J23" s="203">
        <v>21</v>
      </c>
      <c r="K23" s="65">
        <v>29082.57</v>
      </c>
      <c r="L23" s="224">
        <v>21</v>
      </c>
      <c r="M23" s="50">
        <f t="shared" si="0"/>
        <v>29082.57</v>
      </c>
      <c r="N23" s="65">
        <v>29082.57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13</v>
      </c>
      <c r="I25" s="62">
        <v>9</v>
      </c>
      <c r="J25" s="62">
        <v>9</v>
      </c>
      <c r="K25" s="62">
        <v>7020.53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8</v>
      </c>
      <c r="Q25" s="30">
        <v>13822.44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12</v>
      </c>
      <c r="J27" s="203">
        <v>20</v>
      </c>
      <c r="K27" s="65">
        <v>38247.379999999997</v>
      </c>
      <c r="L27" s="224">
        <v>19</v>
      </c>
      <c r="M27" s="50">
        <f t="shared" si="0"/>
        <v>36183.18</v>
      </c>
      <c r="N27" s="65">
        <v>36183.18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7</v>
      </c>
      <c r="Q28" s="68">
        <v>24423.7</v>
      </c>
      <c r="R28" s="285">
        <v>8</v>
      </c>
      <c r="S28" s="39">
        <f t="shared" si="1"/>
        <v>26090.400000000001</v>
      </c>
      <c r="T28" s="68">
        <f>4302+3533.6+960.5+5240.8+4226.2+5820.3+2007</f>
        <v>26090.400000000001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9</v>
      </c>
      <c r="I33" s="203">
        <v>4</v>
      </c>
      <c r="J33" s="203">
        <v>5</v>
      </c>
      <c r="K33" s="65">
        <v>8549.15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7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95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10</v>
      </c>
      <c r="I37" s="203">
        <v>9</v>
      </c>
      <c r="J37" s="203">
        <v>9</v>
      </c>
      <c r="K37" s="65">
        <v>8313.68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5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1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2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2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15</v>
      </c>
      <c r="I45" s="266">
        <v>15</v>
      </c>
      <c r="J45" s="266">
        <v>17</v>
      </c>
      <c r="K45" s="79">
        <v>27836.47</v>
      </c>
      <c r="L45" s="268">
        <v>15</v>
      </c>
      <c r="M45" s="81">
        <f t="shared" si="2"/>
        <v>22284.3</v>
      </c>
      <c r="N45" s="79">
        <v>22284.3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21</v>
      </c>
      <c r="I47" s="62">
        <v>8</v>
      </c>
      <c r="J47" s="62">
        <v>10</v>
      </c>
      <c r="K47" s="30">
        <v>11785.71</v>
      </c>
      <c r="L47" s="205">
        <v>10</v>
      </c>
      <c r="M47" s="26">
        <f t="shared" si="2"/>
        <v>11785.71</v>
      </c>
      <c r="N47" s="30">
        <v>11785.71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80"/>
      <c r="F48" s="233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2"/>
      <c r="B49" s="374" t="s">
        <v>390</v>
      </c>
      <c r="C49" s="374" t="s">
        <v>22</v>
      </c>
      <c r="D49" s="374"/>
      <c r="E49" s="374" t="s">
        <v>391</v>
      </c>
      <c r="F49" s="204" t="s">
        <v>392</v>
      </c>
      <c r="G49" s="213" t="s">
        <v>24</v>
      </c>
      <c r="H49" s="61">
        <v>8</v>
      </c>
      <c r="I49" s="62">
        <v>4</v>
      </c>
      <c r="J49" s="62">
        <v>4</v>
      </c>
      <c r="K49" s="30">
        <v>5771.33</v>
      </c>
      <c r="L49" s="205">
        <v>1</v>
      </c>
      <c r="M49" s="26">
        <f t="shared" si="2"/>
        <v>1324.62</v>
      </c>
      <c r="N49" s="30">
        <v>1324.62</v>
      </c>
      <c r="O49" s="28"/>
      <c r="P49" s="275"/>
      <c r="Q49" s="26"/>
      <c r="R49" s="27"/>
      <c r="S49" s="26">
        <f t="shared" si="3"/>
        <v>0</v>
      </c>
      <c r="T49" s="26"/>
      <c r="U49" s="2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34"/>
      <c r="G50" s="215" t="s">
        <v>28</v>
      </c>
      <c r="H50" s="106"/>
      <c r="I50" s="38"/>
      <c r="J50" s="38"/>
      <c r="K50" s="39"/>
      <c r="L50" s="40"/>
      <c r="M50" s="39">
        <f t="shared" si="2"/>
        <v>0</v>
      </c>
      <c r="N50" s="39"/>
      <c r="O50" s="41"/>
      <c r="P50" s="276"/>
      <c r="Q50" s="39"/>
      <c r="R50" s="40"/>
      <c r="S50" s="39">
        <f t="shared" si="3"/>
        <v>0</v>
      </c>
      <c r="T50" s="39"/>
      <c r="U50" s="4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6"/>
      <c r="B51" s="377" t="s">
        <v>358</v>
      </c>
      <c r="C51" s="377"/>
      <c r="D51" s="377"/>
      <c r="E51" s="377"/>
      <c r="F51" s="76"/>
      <c r="G51" s="73" t="s">
        <v>24</v>
      </c>
      <c r="H51" s="74"/>
      <c r="I51" s="96"/>
      <c r="J51" s="96"/>
      <c r="K51" s="81"/>
      <c r="L51" s="80"/>
      <c r="M51" s="81">
        <f t="shared" si="2"/>
        <v>0</v>
      </c>
      <c r="N51" s="81"/>
      <c r="O51" s="82"/>
      <c r="P51" s="303"/>
      <c r="Q51" s="81"/>
      <c r="R51" s="80"/>
      <c r="S51" s="81">
        <f t="shared" si="3"/>
        <v>0</v>
      </c>
      <c r="T51" s="81"/>
      <c r="U51" s="82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34"/>
      <c r="G52" s="215" t="s">
        <v>28</v>
      </c>
      <c r="H52" s="117">
        <v>1</v>
      </c>
      <c r="I52" s="37">
        <v>1</v>
      </c>
      <c r="J52" s="37">
        <v>1</v>
      </c>
      <c r="K52" s="68">
        <v>576.29999999999995</v>
      </c>
      <c r="L52" s="40"/>
      <c r="M52" s="39">
        <f t="shared" si="2"/>
        <v>0</v>
      </c>
      <c r="N52" s="39"/>
      <c r="O52" s="41"/>
      <c r="P52" s="276"/>
      <c r="Q52" s="39"/>
      <c r="R52" s="40"/>
      <c r="S52" s="39">
        <f t="shared" si="3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60</v>
      </c>
      <c r="C53" s="374" t="s">
        <v>39</v>
      </c>
      <c r="D53" s="374" t="s">
        <v>61</v>
      </c>
      <c r="E53" s="383" t="s">
        <v>27</v>
      </c>
      <c r="F53" s="204" t="s">
        <v>463</v>
      </c>
      <c r="G53" s="176" t="s">
        <v>24</v>
      </c>
      <c r="H53" s="265">
        <v>2</v>
      </c>
      <c r="I53" s="96"/>
      <c r="J53" s="96"/>
      <c r="K53" s="81"/>
      <c r="L53" s="80"/>
      <c r="M53" s="81">
        <f t="shared" si="2"/>
        <v>0</v>
      </c>
      <c r="N53" s="81"/>
      <c r="O53" s="97"/>
      <c r="P53" s="277"/>
      <c r="Q53" s="81"/>
      <c r="R53" s="80"/>
      <c r="S53" s="81">
        <f t="shared" si="3"/>
        <v>0</v>
      </c>
      <c r="T53" s="81"/>
      <c r="U53" s="82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401"/>
      <c r="F54" s="34"/>
      <c r="G54" s="229" t="s">
        <v>28</v>
      </c>
      <c r="H54" s="112">
        <v>5</v>
      </c>
      <c r="I54" s="130">
        <v>2</v>
      </c>
      <c r="J54" s="130">
        <v>2</v>
      </c>
      <c r="K54" s="114">
        <v>3411.9</v>
      </c>
      <c r="L54" s="270">
        <v>2</v>
      </c>
      <c r="M54" s="43">
        <f t="shared" si="2"/>
        <v>3411.8999999999996</v>
      </c>
      <c r="N54" s="43">
        <f>1605.6+1806.3</f>
        <v>3411.8999999999996</v>
      </c>
      <c r="O54" s="58"/>
      <c r="P54" s="59"/>
      <c r="Q54" s="39"/>
      <c r="R54" s="40"/>
      <c r="S54" s="39">
        <f t="shared" si="3"/>
        <v>0</v>
      </c>
      <c r="T54" s="39"/>
      <c r="U54" s="41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2"/>
      <c r="B55" s="374" t="s">
        <v>62</v>
      </c>
      <c r="C55" s="374" t="s">
        <v>39</v>
      </c>
      <c r="D55" s="374" t="s">
        <v>63</v>
      </c>
      <c r="E55" s="374" t="s">
        <v>27</v>
      </c>
      <c r="F55" s="232" t="s">
        <v>359</v>
      </c>
      <c r="G55" s="23" t="s">
        <v>24</v>
      </c>
      <c r="H55" s="24">
        <v>6</v>
      </c>
      <c r="I55" s="62">
        <v>2</v>
      </c>
      <c r="J55" s="62">
        <v>2</v>
      </c>
      <c r="K55" s="30">
        <v>1754.47</v>
      </c>
      <c r="L55" s="205">
        <v>2</v>
      </c>
      <c r="M55" s="26">
        <f t="shared" si="2"/>
        <v>1754.47</v>
      </c>
      <c r="N55" s="30">
        <v>1754.47</v>
      </c>
      <c r="O55" s="31"/>
      <c r="P55" s="108">
        <v>7</v>
      </c>
      <c r="Q55" s="65">
        <v>15242.58</v>
      </c>
      <c r="R55" s="224">
        <v>7</v>
      </c>
      <c r="S55" s="50">
        <f t="shared" si="3"/>
        <v>15242.58</v>
      </c>
      <c r="T55" s="65">
        <v>15242.58</v>
      </c>
      <c r="U55" s="3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34"/>
      <c r="G56" s="35" t="s">
        <v>28</v>
      </c>
      <c r="H56" s="66">
        <v>4</v>
      </c>
      <c r="I56" s="37">
        <v>1</v>
      </c>
      <c r="J56" s="37">
        <v>1</v>
      </c>
      <c r="K56" s="68">
        <v>2007</v>
      </c>
      <c r="L56" s="285">
        <v>1</v>
      </c>
      <c r="M56" s="39">
        <f t="shared" si="2"/>
        <v>2007</v>
      </c>
      <c r="N56" s="39">
        <f>2007</f>
        <v>2007</v>
      </c>
      <c r="O56" s="41"/>
      <c r="P56" s="115">
        <v>7</v>
      </c>
      <c r="Q56" s="68">
        <v>14652.43</v>
      </c>
      <c r="R56" s="285">
        <v>12</v>
      </c>
      <c r="S56" s="39">
        <f t="shared" si="3"/>
        <v>26971.13</v>
      </c>
      <c r="T56" s="68">
        <f>2209.2+576.3+13639.1+1921+1921+3438.83+3265.7</f>
        <v>26971.13</v>
      </c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2"/>
      <c r="B57" s="374" t="s">
        <v>66</v>
      </c>
      <c r="C57" s="374" t="s">
        <v>22</v>
      </c>
      <c r="D57" s="374"/>
      <c r="E57" s="374" t="s">
        <v>67</v>
      </c>
      <c r="F57" s="223" t="s">
        <v>360</v>
      </c>
      <c r="G57" s="176" t="s">
        <v>24</v>
      </c>
      <c r="H57" s="278">
        <v>4</v>
      </c>
      <c r="I57" s="203">
        <v>4</v>
      </c>
      <c r="J57" s="203">
        <v>6</v>
      </c>
      <c r="K57" s="65">
        <v>9306.16</v>
      </c>
      <c r="L57" s="224">
        <v>6</v>
      </c>
      <c r="M57" s="50">
        <f t="shared" si="2"/>
        <v>9306.16</v>
      </c>
      <c r="N57" s="65">
        <v>9306.16</v>
      </c>
      <c r="O57" s="31"/>
      <c r="P57" s="53">
        <v>4</v>
      </c>
      <c r="Q57" s="30">
        <v>12223.84</v>
      </c>
      <c r="R57" s="205">
        <v>4</v>
      </c>
      <c r="S57" s="26">
        <f t="shared" si="3"/>
        <v>12223.84</v>
      </c>
      <c r="T57" s="30">
        <v>12223.84</v>
      </c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3"/>
      <c r="B58" s="375"/>
      <c r="C58" s="375"/>
      <c r="D58" s="375"/>
      <c r="E58" s="375"/>
      <c r="F58" s="105"/>
      <c r="G58" s="229" t="s">
        <v>28</v>
      </c>
      <c r="H58" s="230"/>
      <c r="I58" s="57"/>
      <c r="J58" s="57"/>
      <c r="K58" s="43"/>
      <c r="L58" s="44"/>
      <c r="M58" s="43">
        <f t="shared" si="2"/>
        <v>0</v>
      </c>
      <c r="N58" s="43"/>
      <c r="O58" s="41"/>
      <c r="P58" s="59"/>
      <c r="Q58" s="39"/>
      <c r="R58" s="40"/>
      <c r="S58" s="39">
        <f t="shared" si="3"/>
        <v>0</v>
      </c>
      <c r="T58" s="39"/>
      <c r="U58" s="4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6"/>
      <c r="B59" s="377" t="s">
        <v>68</v>
      </c>
      <c r="C59" s="377" t="s">
        <v>39</v>
      </c>
      <c r="D59" s="377" t="s">
        <v>69</v>
      </c>
      <c r="E59" s="377" t="s">
        <v>65</v>
      </c>
      <c r="F59" s="223" t="s">
        <v>263</v>
      </c>
      <c r="G59" s="95" t="s">
        <v>24</v>
      </c>
      <c r="H59" s="61">
        <v>15</v>
      </c>
      <c r="I59" s="62">
        <v>13</v>
      </c>
      <c r="J59" s="62">
        <v>14</v>
      </c>
      <c r="K59" s="30">
        <v>26653.77</v>
      </c>
      <c r="L59" s="205">
        <v>13</v>
      </c>
      <c r="M59" s="26">
        <f t="shared" si="2"/>
        <v>23872.07</v>
      </c>
      <c r="N59" s="30">
        <v>23872.07</v>
      </c>
      <c r="O59" s="225"/>
      <c r="P59" s="53">
        <v>6</v>
      </c>
      <c r="Q59" s="30">
        <v>45189.01</v>
      </c>
      <c r="R59" s="205">
        <v>6</v>
      </c>
      <c r="S59" s="26">
        <f t="shared" si="3"/>
        <v>45189.01</v>
      </c>
      <c r="T59" s="30">
        <v>45189.01</v>
      </c>
      <c r="U59" s="225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305" t="s">
        <v>222</v>
      </c>
      <c r="G60" s="35" t="s">
        <v>28</v>
      </c>
      <c r="H60" s="117">
        <v>4</v>
      </c>
      <c r="I60" s="37">
        <v>3</v>
      </c>
      <c r="J60" s="37">
        <v>3</v>
      </c>
      <c r="K60" s="68">
        <v>3099.46</v>
      </c>
      <c r="L60" s="285">
        <v>3</v>
      </c>
      <c r="M60" s="39">
        <f t="shared" si="2"/>
        <v>3099.4</v>
      </c>
      <c r="N60" s="39">
        <f>1921+576.3+602.1</f>
        <v>3099.4</v>
      </c>
      <c r="O60" s="41"/>
      <c r="P60" s="115">
        <v>1</v>
      </c>
      <c r="Q60" s="68">
        <v>576.29999999999995</v>
      </c>
      <c r="R60" s="285">
        <v>1</v>
      </c>
      <c r="S60" s="39">
        <f t="shared" si="3"/>
        <v>144.08000000000001</v>
      </c>
      <c r="T60" s="39">
        <f>144.08</f>
        <v>144.08000000000001</v>
      </c>
      <c r="U60" s="4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2"/>
      <c r="B61" s="374" t="s">
        <v>70</v>
      </c>
      <c r="C61" s="374" t="s">
        <v>39</v>
      </c>
      <c r="D61" s="374" t="s">
        <v>284</v>
      </c>
      <c r="E61" s="374" t="s">
        <v>55</v>
      </c>
      <c r="F61" s="204" t="s">
        <v>285</v>
      </c>
      <c r="G61" s="176" t="s">
        <v>24</v>
      </c>
      <c r="H61" s="48">
        <v>27</v>
      </c>
      <c r="I61" s="203">
        <v>17</v>
      </c>
      <c r="J61" s="203">
        <v>25</v>
      </c>
      <c r="K61" s="65">
        <v>52150.75</v>
      </c>
      <c r="L61" s="224">
        <v>25</v>
      </c>
      <c r="M61" s="50">
        <f t="shared" si="2"/>
        <v>52150.75</v>
      </c>
      <c r="N61" s="65">
        <v>52150.75</v>
      </c>
      <c r="O61" s="225"/>
      <c r="P61" s="53">
        <v>34</v>
      </c>
      <c r="Q61" s="30">
        <v>83293.759999999995</v>
      </c>
      <c r="R61" s="205">
        <v>34</v>
      </c>
      <c r="S61" s="26">
        <f t="shared" si="3"/>
        <v>83293.759999999995</v>
      </c>
      <c r="T61" s="30">
        <v>83293.759999999995</v>
      </c>
      <c r="U61" s="243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105"/>
      <c r="G62" s="229" t="s">
        <v>25</v>
      </c>
      <c r="H62" s="272"/>
      <c r="I62" s="261"/>
      <c r="J62" s="261"/>
      <c r="K62" s="211"/>
      <c r="L62" s="210"/>
      <c r="M62" s="211">
        <f t="shared" si="2"/>
        <v>0</v>
      </c>
      <c r="N62" s="211"/>
      <c r="O62" s="212"/>
      <c r="P62" s="273"/>
      <c r="Q62" s="211"/>
      <c r="R62" s="210"/>
      <c r="S62" s="211">
        <f t="shared" si="3"/>
        <v>0</v>
      </c>
      <c r="T62" s="211"/>
      <c r="U62" s="212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361</v>
      </c>
      <c r="C63" s="374" t="s">
        <v>39</v>
      </c>
      <c r="D63" s="374" t="s">
        <v>393</v>
      </c>
      <c r="E63" s="377" t="s">
        <v>27</v>
      </c>
      <c r="F63" s="204" t="s">
        <v>394</v>
      </c>
      <c r="G63" s="213" t="s">
        <v>24</v>
      </c>
      <c r="H63" s="24">
        <v>13</v>
      </c>
      <c r="I63" s="62">
        <v>10</v>
      </c>
      <c r="J63" s="62">
        <v>11</v>
      </c>
      <c r="K63" s="30">
        <v>13630.4</v>
      </c>
      <c r="L63" s="205">
        <v>10</v>
      </c>
      <c r="M63" s="26">
        <f t="shared" si="2"/>
        <v>12787.46</v>
      </c>
      <c r="N63" s="30">
        <v>12787.46</v>
      </c>
      <c r="O63" s="28"/>
      <c r="P63" s="214"/>
      <c r="Q63" s="30"/>
      <c r="R63" s="27"/>
      <c r="S63" s="26">
        <f t="shared" si="3"/>
        <v>0</v>
      </c>
      <c r="T63" s="26"/>
      <c r="U63" s="2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80"/>
      <c r="F64" s="247"/>
      <c r="G64" s="279" t="s">
        <v>28</v>
      </c>
      <c r="H64" s="207">
        <v>5</v>
      </c>
      <c r="I64" s="208"/>
      <c r="J64" s="208"/>
      <c r="K64" s="209"/>
      <c r="L64" s="210"/>
      <c r="M64" s="211">
        <f t="shared" si="2"/>
        <v>0</v>
      </c>
      <c r="N64" s="211"/>
      <c r="O64" s="212"/>
      <c r="P64" s="280"/>
      <c r="Q64" s="209"/>
      <c r="R64" s="210"/>
      <c r="S64" s="211">
        <f t="shared" si="3"/>
        <v>0</v>
      </c>
      <c r="T64" s="211"/>
      <c r="U64" s="212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2"/>
      <c r="B65" s="374" t="s">
        <v>362</v>
      </c>
      <c r="C65" s="374" t="s">
        <v>39</v>
      </c>
      <c r="D65" s="374" t="s">
        <v>395</v>
      </c>
      <c r="E65" s="374" t="s">
        <v>27</v>
      </c>
      <c r="F65" s="204" t="s">
        <v>396</v>
      </c>
      <c r="G65" s="176" t="s">
        <v>24</v>
      </c>
      <c r="H65" s="248">
        <v>7</v>
      </c>
      <c r="I65" s="62">
        <v>4</v>
      </c>
      <c r="J65" s="62">
        <v>5</v>
      </c>
      <c r="K65" s="30">
        <v>9142.82</v>
      </c>
      <c r="L65" s="205">
        <v>4</v>
      </c>
      <c r="M65" s="26">
        <f t="shared" si="2"/>
        <v>8451.36</v>
      </c>
      <c r="N65" s="30">
        <v>8451.36</v>
      </c>
      <c r="O65" s="28"/>
      <c r="P65" s="214"/>
      <c r="Q65" s="30"/>
      <c r="R65" s="27"/>
      <c r="S65" s="26">
        <f t="shared" si="3"/>
        <v>0</v>
      </c>
      <c r="T65" s="26"/>
      <c r="U65" s="2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34"/>
      <c r="G66" s="229" t="s">
        <v>28</v>
      </c>
      <c r="H66" s="258">
        <v>6</v>
      </c>
      <c r="I66" s="37">
        <v>1</v>
      </c>
      <c r="J66" s="37">
        <v>1</v>
      </c>
      <c r="K66" s="68">
        <v>2207.6999999999998</v>
      </c>
      <c r="L66" s="285">
        <v>1</v>
      </c>
      <c r="M66" s="39">
        <f t="shared" si="2"/>
        <v>2207.6999999999998</v>
      </c>
      <c r="N66" s="39">
        <f>2207.7</f>
        <v>2207.6999999999998</v>
      </c>
      <c r="O66" s="41"/>
      <c r="P66" s="217"/>
      <c r="Q66" s="68"/>
      <c r="R66" s="40"/>
      <c r="S66" s="39">
        <f t="shared" si="3"/>
        <v>0</v>
      </c>
      <c r="T66" s="39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6"/>
      <c r="B67" s="377" t="s">
        <v>72</v>
      </c>
      <c r="C67" s="377" t="s">
        <v>39</v>
      </c>
      <c r="D67" s="377" t="s">
        <v>363</v>
      </c>
      <c r="E67" s="377" t="s">
        <v>27</v>
      </c>
      <c r="F67" s="232" t="s">
        <v>364</v>
      </c>
      <c r="G67" s="95" t="s">
        <v>24</v>
      </c>
      <c r="H67" s="281">
        <v>8</v>
      </c>
      <c r="I67" s="266">
        <v>4</v>
      </c>
      <c r="J67" s="266">
        <v>4</v>
      </c>
      <c r="K67" s="79">
        <v>11251.64</v>
      </c>
      <c r="L67" s="268">
        <v>4</v>
      </c>
      <c r="M67" s="81">
        <f t="shared" si="2"/>
        <v>11251.64</v>
      </c>
      <c r="N67" s="79">
        <v>11251.64</v>
      </c>
      <c r="O67" s="219"/>
      <c r="P67" s="267">
        <v>3</v>
      </c>
      <c r="Q67" s="79">
        <v>4835.93</v>
      </c>
      <c r="R67" s="268">
        <v>3</v>
      </c>
      <c r="S67" s="81">
        <f t="shared" si="3"/>
        <v>4835.93</v>
      </c>
      <c r="T67" s="79">
        <v>4835.93</v>
      </c>
      <c r="U67" s="269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9"/>
      <c r="B68" s="380"/>
      <c r="C68" s="380"/>
      <c r="D68" s="380"/>
      <c r="E68" s="380"/>
      <c r="F68" s="233" t="s">
        <v>223</v>
      </c>
      <c r="G68" s="227" t="s">
        <v>28</v>
      </c>
      <c r="H68" s="112">
        <v>6</v>
      </c>
      <c r="I68" s="130">
        <v>4</v>
      </c>
      <c r="J68" s="130">
        <v>4</v>
      </c>
      <c r="K68" s="114">
        <v>6601.18</v>
      </c>
      <c r="L68" s="316">
        <v>4</v>
      </c>
      <c r="M68" s="129">
        <f t="shared" si="2"/>
        <v>6601.18</v>
      </c>
      <c r="N68" s="43">
        <f>1344.7+1738.48+2113.1+1404.9</f>
        <v>6601.18</v>
      </c>
      <c r="O68" s="45"/>
      <c r="P68" s="103"/>
      <c r="Q68" s="43"/>
      <c r="R68" s="128"/>
      <c r="S68" s="129">
        <f t="shared" si="3"/>
        <v>0</v>
      </c>
      <c r="T68" s="43"/>
      <c r="U68" s="45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2"/>
      <c r="B69" s="374" t="s">
        <v>73</v>
      </c>
      <c r="C69" s="374" t="s">
        <v>22</v>
      </c>
      <c r="D69" s="374"/>
      <c r="E69" s="374" t="s">
        <v>27</v>
      </c>
      <c r="F69" s="204" t="s">
        <v>209</v>
      </c>
      <c r="G69" s="176" t="s">
        <v>24</v>
      </c>
      <c r="H69" s="61">
        <v>5</v>
      </c>
      <c r="I69" s="62">
        <v>4</v>
      </c>
      <c r="J69" s="62">
        <v>4</v>
      </c>
      <c r="K69" s="30">
        <v>5904.82</v>
      </c>
      <c r="L69" s="205">
        <v>4</v>
      </c>
      <c r="M69" s="26">
        <f t="shared" si="2"/>
        <v>5904.82</v>
      </c>
      <c r="N69" s="30">
        <v>5904.82</v>
      </c>
      <c r="O69" s="28"/>
      <c r="P69" s="29">
        <v>9</v>
      </c>
      <c r="Q69" s="30">
        <v>16995.990000000002</v>
      </c>
      <c r="R69" s="205">
        <v>9</v>
      </c>
      <c r="S69" s="26">
        <f t="shared" si="3"/>
        <v>16995.990000000002</v>
      </c>
      <c r="T69" s="30">
        <v>16995.990000000002</v>
      </c>
      <c r="U69" s="2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3"/>
      <c r="B70" s="375"/>
      <c r="C70" s="375"/>
      <c r="D70" s="375"/>
      <c r="E70" s="375"/>
      <c r="F70" s="105"/>
      <c r="G70" s="229" t="s">
        <v>28</v>
      </c>
      <c r="H70" s="106"/>
      <c r="I70" s="38"/>
      <c r="J70" s="38"/>
      <c r="K70" s="39"/>
      <c r="L70" s="40"/>
      <c r="M70" s="39">
        <f t="shared" si="2"/>
        <v>0</v>
      </c>
      <c r="N70" s="39"/>
      <c r="O70" s="41"/>
      <c r="P70" s="69"/>
      <c r="Q70" s="39"/>
      <c r="R70" s="40"/>
      <c r="S70" s="39">
        <f t="shared" si="3"/>
        <v>0</v>
      </c>
      <c r="T70" s="39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74</v>
      </c>
      <c r="C71" s="374" t="s">
        <v>39</v>
      </c>
      <c r="D71" s="374" t="s">
        <v>264</v>
      </c>
      <c r="E71" s="374" t="s">
        <v>27</v>
      </c>
      <c r="F71" s="204" t="s">
        <v>265</v>
      </c>
      <c r="G71" s="176" t="s">
        <v>24</v>
      </c>
      <c r="H71" s="48">
        <v>5</v>
      </c>
      <c r="I71" s="49"/>
      <c r="J71" s="49"/>
      <c r="K71" s="50"/>
      <c r="L71" s="51"/>
      <c r="M71" s="50">
        <f t="shared" si="2"/>
        <v>0</v>
      </c>
      <c r="N71" s="50"/>
      <c r="O71" s="31"/>
      <c r="P71" s="108">
        <v>19</v>
      </c>
      <c r="Q71" s="65">
        <v>106685.07</v>
      </c>
      <c r="R71" s="224">
        <v>15</v>
      </c>
      <c r="S71" s="50">
        <f t="shared" si="3"/>
        <v>73353.95</v>
      </c>
      <c r="T71" s="65">
        <v>73353.95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220" t="s">
        <v>286</v>
      </c>
      <c r="G72" s="229" t="s">
        <v>28</v>
      </c>
      <c r="H72" s="56">
        <v>5</v>
      </c>
      <c r="I72" s="130">
        <v>1</v>
      </c>
      <c r="J72" s="130">
        <v>1</v>
      </c>
      <c r="K72" s="114">
        <v>1056.5999999999999</v>
      </c>
      <c r="L72" s="270">
        <v>1</v>
      </c>
      <c r="M72" s="43">
        <f t="shared" si="2"/>
        <v>1152.5999999999999</v>
      </c>
      <c r="N72" s="43">
        <f>1152.6</f>
        <v>1152.5999999999999</v>
      </c>
      <c r="O72" s="41"/>
      <c r="P72" s="113">
        <v>1</v>
      </c>
      <c r="Q72" s="114">
        <v>2881.5</v>
      </c>
      <c r="R72" s="270">
        <v>1</v>
      </c>
      <c r="S72" s="43">
        <f t="shared" si="3"/>
        <v>2881.5</v>
      </c>
      <c r="T72" s="114">
        <v>2881.5</v>
      </c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2"/>
      <c r="B73" s="374" t="s">
        <v>76</v>
      </c>
      <c r="C73" s="374" t="s">
        <v>39</v>
      </c>
      <c r="D73" s="374" t="s">
        <v>397</v>
      </c>
      <c r="E73" s="374" t="s">
        <v>77</v>
      </c>
      <c r="F73" s="232" t="s">
        <v>398</v>
      </c>
      <c r="G73" s="23" t="s">
        <v>24</v>
      </c>
      <c r="H73" s="61">
        <v>10</v>
      </c>
      <c r="I73" s="62">
        <v>9</v>
      </c>
      <c r="J73" s="62">
        <v>12</v>
      </c>
      <c r="K73" s="30">
        <v>34420.35</v>
      </c>
      <c r="L73" s="205">
        <v>12</v>
      </c>
      <c r="M73" s="26">
        <f t="shared" si="2"/>
        <v>34420.35</v>
      </c>
      <c r="N73" s="30">
        <v>34420.35</v>
      </c>
      <c r="O73" s="225"/>
      <c r="P73" s="29">
        <v>5</v>
      </c>
      <c r="Q73" s="30">
        <v>10539.19</v>
      </c>
      <c r="R73" s="205">
        <v>5</v>
      </c>
      <c r="S73" s="26">
        <f t="shared" si="3"/>
        <v>10539.19</v>
      </c>
      <c r="T73" s="30">
        <v>10539.19</v>
      </c>
      <c r="U73" s="225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220" t="s">
        <v>287</v>
      </c>
      <c r="G74" s="35" t="s">
        <v>28</v>
      </c>
      <c r="H74" s="117">
        <v>4</v>
      </c>
      <c r="I74" s="38"/>
      <c r="J74" s="38"/>
      <c r="K74" s="39"/>
      <c r="L74" s="40"/>
      <c r="M74" s="39">
        <f t="shared" si="2"/>
        <v>0</v>
      </c>
      <c r="N74" s="39"/>
      <c r="O74" s="41"/>
      <c r="P74" s="69"/>
      <c r="Q74" s="39"/>
      <c r="R74" s="40"/>
      <c r="S74" s="39">
        <f t="shared" si="3"/>
        <v>0</v>
      </c>
      <c r="T74" s="39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82"/>
      <c r="B75" s="381" t="s">
        <v>78</v>
      </c>
      <c r="C75" s="381" t="s">
        <v>22</v>
      </c>
      <c r="D75" s="381"/>
      <c r="E75" s="374" t="s">
        <v>77</v>
      </c>
      <c r="F75" s="204" t="s">
        <v>408</v>
      </c>
      <c r="G75" s="47" t="s">
        <v>24</v>
      </c>
      <c r="H75" s="48">
        <v>2</v>
      </c>
      <c r="I75" s="203">
        <v>2</v>
      </c>
      <c r="J75" s="203">
        <v>3</v>
      </c>
      <c r="K75" s="65">
        <v>1661.67</v>
      </c>
      <c r="L75" s="224">
        <v>1</v>
      </c>
      <c r="M75" s="50">
        <f t="shared" si="2"/>
        <v>633.92999999999995</v>
      </c>
      <c r="N75" s="65">
        <v>633.92999999999995</v>
      </c>
      <c r="O75" s="225"/>
      <c r="P75" s="123"/>
      <c r="Q75" s="50"/>
      <c r="R75" s="51"/>
      <c r="S75" s="50">
        <f t="shared" si="3"/>
        <v>0</v>
      </c>
      <c r="T75" s="50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26"/>
      <c r="G76" s="55" t="s">
        <v>28</v>
      </c>
      <c r="H76" s="131"/>
      <c r="I76" s="57"/>
      <c r="J76" s="57"/>
      <c r="K76" s="43"/>
      <c r="L76" s="44"/>
      <c r="M76" s="43">
        <f t="shared" si="2"/>
        <v>0</v>
      </c>
      <c r="N76" s="43"/>
      <c r="O76" s="41"/>
      <c r="P76" s="103"/>
      <c r="Q76" s="43"/>
      <c r="R76" s="44"/>
      <c r="S76" s="43">
        <f t="shared" si="3"/>
        <v>0</v>
      </c>
      <c r="T76" s="43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2"/>
      <c r="B77" s="374" t="s">
        <v>79</v>
      </c>
      <c r="C77" s="374" t="s">
        <v>22</v>
      </c>
      <c r="D77" s="374"/>
      <c r="E77" s="374" t="s">
        <v>50</v>
      </c>
      <c r="F77" s="204" t="s">
        <v>444</v>
      </c>
      <c r="G77" s="23" t="s">
        <v>24</v>
      </c>
      <c r="H77" s="61">
        <v>9</v>
      </c>
      <c r="I77" s="62">
        <v>6</v>
      </c>
      <c r="J77" s="62">
        <v>9</v>
      </c>
      <c r="K77" s="30">
        <v>14971.8</v>
      </c>
      <c r="L77" s="205">
        <v>9</v>
      </c>
      <c r="M77" s="26">
        <f t="shared" si="2"/>
        <v>14971.8</v>
      </c>
      <c r="N77" s="30">
        <v>14971.8</v>
      </c>
      <c r="O77" s="31"/>
      <c r="P77" s="53">
        <v>3</v>
      </c>
      <c r="Q77" s="30">
        <v>6335.58</v>
      </c>
      <c r="R77" s="205">
        <v>3</v>
      </c>
      <c r="S77" s="26">
        <f t="shared" si="3"/>
        <v>6335.58</v>
      </c>
      <c r="T77" s="30">
        <v>6335.58</v>
      </c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3"/>
      <c r="B78" s="375"/>
      <c r="C78" s="375"/>
      <c r="D78" s="375"/>
      <c r="E78" s="375"/>
      <c r="F78" s="34"/>
      <c r="G78" s="35" t="s">
        <v>25</v>
      </c>
      <c r="H78" s="117">
        <v>3</v>
      </c>
      <c r="I78" s="37">
        <v>2</v>
      </c>
      <c r="J78" s="37">
        <v>2</v>
      </c>
      <c r="K78" s="68">
        <v>1479.45</v>
      </c>
      <c r="L78" s="285">
        <v>2</v>
      </c>
      <c r="M78" s="68">
        <v>1479.45</v>
      </c>
      <c r="N78" s="68">
        <v>1479.45</v>
      </c>
      <c r="O78" s="41"/>
      <c r="P78" s="59"/>
      <c r="Q78" s="39"/>
      <c r="R78" s="40"/>
      <c r="S78" s="39">
        <f t="shared" si="3"/>
        <v>0</v>
      </c>
      <c r="T78" s="39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82"/>
      <c r="B79" s="381" t="s">
        <v>80</v>
      </c>
      <c r="C79" s="381" t="s">
        <v>22</v>
      </c>
      <c r="D79" s="381"/>
      <c r="E79" s="381" t="s">
        <v>67</v>
      </c>
      <c r="F79" s="223" t="s">
        <v>399</v>
      </c>
      <c r="G79" s="47" t="s">
        <v>24</v>
      </c>
      <c r="H79" s="48">
        <v>11</v>
      </c>
      <c r="I79" s="203">
        <v>6</v>
      </c>
      <c r="J79" s="203">
        <v>9</v>
      </c>
      <c r="K79" s="158">
        <v>12064.84</v>
      </c>
      <c r="L79" s="224">
        <v>9</v>
      </c>
      <c r="M79" s="50">
        <f t="shared" ref="M79:M95" si="4">N79+O79</f>
        <v>12064.84</v>
      </c>
      <c r="N79" s="65">
        <v>12064.84</v>
      </c>
      <c r="O79" s="225"/>
      <c r="P79" s="108">
        <v>10</v>
      </c>
      <c r="Q79" s="65">
        <v>40632.5</v>
      </c>
      <c r="R79" s="224">
        <v>10</v>
      </c>
      <c r="S79" s="50">
        <f t="shared" si="3"/>
        <v>40632.5</v>
      </c>
      <c r="T79" s="65">
        <v>40632.5</v>
      </c>
      <c r="U79" s="225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9"/>
      <c r="B80" s="380"/>
      <c r="C80" s="380"/>
      <c r="D80" s="380"/>
      <c r="E80" s="380"/>
      <c r="F80" s="226"/>
      <c r="G80" s="227" t="s">
        <v>28</v>
      </c>
      <c r="H80" s="118"/>
      <c r="I80" s="57"/>
      <c r="J80" s="57"/>
      <c r="L80" s="44"/>
      <c r="M80" s="43">
        <f t="shared" si="4"/>
        <v>0</v>
      </c>
      <c r="N80" s="43"/>
      <c r="O80" s="41"/>
      <c r="P80" s="103"/>
      <c r="Q80" s="43"/>
      <c r="R80" s="44"/>
      <c r="S80" s="43">
        <f t="shared" si="3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81</v>
      </c>
      <c r="C81" s="374" t="s">
        <v>39</v>
      </c>
      <c r="D81" s="374" t="s">
        <v>224</v>
      </c>
      <c r="E81" s="374" t="s">
        <v>65</v>
      </c>
      <c r="F81" s="204" t="s">
        <v>225</v>
      </c>
      <c r="G81" s="176" t="s">
        <v>24</v>
      </c>
      <c r="H81" s="248">
        <v>39</v>
      </c>
      <c r="I81" s="62">
        <v>32</v>
      </c>
      <c r="J81" s="62">
        <v>48</v>
      </c>
      <c r="K81" s="30">
        <v>91477.55</v>
      </c>
      <c r="L81" s="205">
        <v>48</v>
      </c>
      <c r="M81" s="26">
        <f t="shared" si="4"/>
        <v>91477.55</v>
      </c>
      <c r="N81" s="30">
        <v>91477.55</v>
      </c>
      <c r="O81" s="225"/>
      <c r="P81" s="29">
        <v>24</v>
      </c>
      <c r="Q81" s="30">
        <v>80699.88</v>
      </c>
      <c r="R81" s="205">
        <v>24</v>
      </c>
      <c r="S81" s="26">
        <f t="shared" si="3"/>
        <v>80699.88</v>
      </c>
      <c r="T81" s="30">
        <v>80699.88</v>
      </c>
      <c r="U81" s="225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282" t="s">
        <v>28</v>
      </c>
      <c r="H82" s="283"/>
      <c r="I82" s="261"/>
      <c r="J82" s="261"/>
      <c r="K82" s="211"/>
      <c r="L82" s="210"/>
      <c r="M82" s="211">
        <f t="shared" si="4"/>
        <v>0</v>
      </c>
      <c r="N82" s="211"/>
      <c r="O82" s="212"/>
      <c r="P82" s="284"/>
      <c r="Q82" s="211"/>
      <c r="R82" s="210"/>
      <c r="S82" s="211">
        <f t="shared" si="3"/>
        <v>0</v>
      </c>
      <c r="T82" s="211"/>
      <c r="U82" s="212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365</v>
      </c>
      <c r="C83" s="374" t="s">
        <v>39</v>
      </c>
      <c r="D83" s="378" t="s">
        <v>409</v>
      </c>
      <c r="E83" s="374" t="s">
        <v>65</v>
      </c>
      <c r="F83" s="232" t="s">
        <v>410</v>
      </c>
      <c r="G83" s="213" t="s">
        <v>24</v>
      </c>
      <c r="H83" s="24">
        <v>6</v>
      </c>
      <c r="I83" s="62">
        <v>4</v>
      </c>
      <c r="J83" s="62">
        <v>4</v>
      </c>
      <c r="K83" s="30">
        <v>7783.75</v>
      </c>
      <c r="L83" s="205">
        <v>4</v>
      </c>
      <c r="M83" s="26">
        <f t="shared" si="4"/>
        <v>7783.75</v>
      </c>
      <c r="N83" s="30">
        <v>7783.75</v>
      </c>
      <c r="O83" s="28"/>
      <c r="P83" s="214"/>
      <c r="Q83" s="30"/>
      <c r="R83" s="27"/>
      <c r="S83" s="26">
        <f t="shared" si="3"/>
        <v>0</v>
      </c>
      <c r="T83" s="26"/>
      <c r="U83" s="2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47"/>
      <c r="G84" s="279" t="s">
        <v>28</v>
      </c>
      <c r="H84" s="207">
        <v>4</v>
      </c>
      <c r="I84" s="208">
        <v>1</v>
      </c>
      <c r="J84" s="208">
        <v>1</v>
      </c>
      <c r="K84" s="209">
        <v>2305.1999999999998</v>
      </c>
      <c r="L84" s="290">
        <v>1</v>
      </c>
      <c r="M84" s="211">
        <f t="shared" si="4"/>
        <v>2305.1999999999998</v>
      </c>
      <c r="N84" s="211">
        <f>2305.2</f>
        <v>2305.1999999999998</v>
      </c>
      <c r="O84" s="212"/>
      <c r="P84" s="280"/>
      <c r="Q84" s="209"/>
      <c r="R84" s="210"/>
      <c r="S84" s="211">
        <f t="shared" si="3"/>
        <v>0</v>
      </c>
      <c r="T84" s="211"/>
      <c r="U84" s="212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400</v>
      </c>
      <c r="C85" s="374" t="s">
        <v>22</v>
      </c>
      <c r="D85" s="378"/>
      <c r="E85" s="374" t="s">
        <v>401</v>
      </c>
      <c r="F85" s="204" t="s">
        <v>402</v>
      </c>
      <c r="G85" s="213" t="s">
        <v>24</v>
      </c>
      <c r="H85" s="24"/>
      <c r="I85" s="62"/>
      <c r="J85" s="62"/>
      <c r="K85" s="30"/>
      <c r="L85" s="27"/>
      <c r="M85" s="26">
        <f t="shared" si="4"/>
        <v>0</v>
      </c>
      <c r="N85" s="26"/>
      <c r="O85" s="28"/>
      <c r="P85" s="214"/>
      <c r="Q85" s="30"/>
      <c r="R85" s="27"/>
      <c r="S85" s="26">
        <f t="shared" si="3"/>
        <v>0</v>
      </c>
      <c r="T85" s="26"/>
      <c r="U85" s="2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3"/>
      <c r="B86" s="375"/>
      <c r="C86" s="375"/>
      <c r="D86" s="375"/>
      <c r="E86" s="375"/>
      <c r="F86" s="34"/>
      <c r="G86" s="215" t="s">
        <v>28</v>
      </c>
      <c r="H86" s="66"/>
      <c r="I86" s="37"/>
      <c r="J86" s="37"/>
      <c r="K86" s="68"/>
      <c r="L86" s="40"/>
      <c r="M86" s="39">
        <f t="shared" si="4"/>
        <v>0</v>
      </c>
      <c r="N86" s="39"/>
      <c r="O86" s="41"/>
      <c r="P86" s="217"/>
      <c r="Q86" s="68"/>
      <c r="R86" s="40"/>
      <c r="S86" s="39">
        <f t="shared" si="3"/>
        <v>0</v>
      </c>
      <c r="T86" s="39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6"/>
      <c r="B87" s="377" t="s">
        <v>82</v>
      </c>
      <c r="C87" s="377" t="s">
        <v>22</v>
      </c>
      <c r="D87" s="400"/>
      <c r="E87" s="377" t="s">
        <v>83</v>
      </c>
      <c r="F87" s="223" t="s">
        <v>404</v>
      </c>
      <c r="G87" s="95" t="s">
        <v>24</v>
      </c>
      <c r="H87" s="281">
        <v>11</v>
      </c>
      <c r="I87" s="266">
        <v>8</v>
      </c>
      <c r="J87" s="266">
        <v>13</v>
      </c>
      <c r="K87" s="79">
        <v>22197.56</v>
      </c>
      <c r="L87" s="268">
        <v>13</v>
      </c>
      <c r="M87" s="81">
        <f t="shared" si="4"/>
        <v>22197.56</v>
      </c>
      <c r="N87" s="79">
        <v>22197.56</v>
      </c>
      <c r="O87" s="269"/>
      <c r="P87" s="267">
        <v>9</v>
      </c>
      <c r="Q87" s="79">
        <v>22011.75</v>
      </c>
      <c r="R87" s="268">
        <v>9</v>
      </c>
      <c r="S87" s="81">
        <f t="shared" si="3"/>
        <v>22011.75</v>
      </c>
      <c r="T87" s="79">
        <v>22011.75</v>
      </c>
      <c r="U87" s="269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54"/>
      <c r="G88" s="55" t="s">
        <v>25</v>
      </c>
      <c r="H88" s="121">
        <v>3</v>
      </c>
      <c r="I88" s="130">
        <v>1</v>
      </c>
      <c r="J88" s="130">
        <v>1</v>
      </c>
      <c r="K88" s="114">
        <v>1344.7</v>
      </c>
      <c r="L88" s="270">
        <v>1</v>
      </c>
      <c r="M88" s="43">
        <f t="shared" si="4"/>
        <v>1344.7</v>
      </c>
      <c r="N88" s="114">
        <v>1344.7</v>
      </c>
      <c r="O88" s="234"/>
      <c r="P88" s="103"/>
      <c r="Q88" s="43"/>
      <c r="R88" s="44"/>
      <c r="S88" s="43">
        <f t="shared" si="3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84</v>
      </c>
      <c r="C89" s="374"/>
      <c r="D89" s="378"/>
      <c r="E89" s="374"/>
      <c r="F89" s="60"/>
      <c r="G89" s="23" t="s">
        <v>24</v>
      </c>
      <c r="H89" s="119"/>
      <c r="I89" s="25"/>
      <c r="J89" s="25"/>
      <c r="K89" s="26"/>
      <c r="L89" s="27"/>
      <c r="M89" s="26">
        <f t="shared" si="4"/>
        <v>0</v>
      </c>
      <c r="N89" s="26"/>
      <c r="O89" s="31"/>
      <c r="P89" s="120"/>
      <c r="Q89" s="26"/>
      <c r="R89" s="27"/>
      <c r="S89" s="26">
        <f t="shared" si="3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132"/>
      <c r="G90" s="35" t="s">
        <v>28</v>
      </c>
      <c r="H90" s="36"/>
      <c r="I90" s="38"/>
      <c r="J90" s="38"/>
      <c r="K90" s="39"/>
      <c r="L90" s="40"/>
      <c r="M90" s="39">
        <f t="shared" si="4"/>
        <v>0</v>
      </c>
      <c r="N90" s="39"/>
      <c r="O90" s="41"/>
      <c r="P90" s="69"/>
      <c r="Q90" s="39"/>
      <c r="R90" s="40"/>
      <c r="S90" s="39">
        <f t="shared" si="3"/>
        <v>0</v>
      </c>
      <c r="T90" s="39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82"/>
      <c r="B91" s="381" t="s">
        <v>85</v>
      </c>
      <c r="C91" s="381" t="s">
        <v>22</v>
      </c>
      <c r="D91" s="385"/>
      <c r="E91" s="381" t="s">
        <v>27</v>
      </c>
      <c r="F91" s="127"/>
      <c r="G91" s="47" t="s">
        <v>24</v>
      </c>
      <c r="H91" s="98"/>
      <c r="I91" s="49"/>
      <c r="J91" s="49"/>
      <c r="K91" s="50"/>
      <c r="L91" s="51"/>
      <c r="M91" s="50">
        <f t="shared" si="4"/>
        <v>0</v>
      </c>
      <c r="N91" s="50"/>
      <c r="O91" s="31"/>
      <c r="P91" s="108">
        <v>1</v>
      </c>
      <c r="Q91" s="65">
        <v>405.02</v>
      </c>
      <c r="R91" s="51"/>
      <c r="S91" s="50">
        <f t="shared" si="3"/>
        <v>0</v>
      </c>
      <c r="T91" s="50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9"/>
      <c r="B92" s="380"/>
      <c r="C92" s="380"/>
      <c r="D92" s="380"/>
      <c r="E92" s="380"/>
      <c r="F92" s="226"/>
      <c r="G92" s="227" t="s">
        <v>28</v>
      </c>
      <c r="H92" s="116"/>
      <c r="I92" s="57"/>
      <c r="J92" s="57"/>
      <c r="K92" s="43"/>
      <c r="L92" s="44"/>
      <c r="M92" s="43">
        <f t="shared" si="4"/>
        <v>0</v>
      </c>
      <c r="N92" s="43"/>
      <c r="O92" s="41"/>
      <c r="P92" s="103"/>
      <c r="Q92" s="43"/>
      <c r="R92" s="44"/>
      <c r="S92" s="43">
        <f t="shared" si="3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86</v>
      </c>
      <c r="C93" s="374" t="s">
        <v>39</v>
      </c>
      <c r="D93" s="374" t="s">
        <v>266</v>
      </c>
      <c r="E93" s="374" t="s">
        <v>23</v>
      </c>
      <c r="F93" s="204" t="s">
        <v>267</v>
      </c>
      <c r="G93" s="176" t="s">
        <v>24</v>
      </c>
      <c r="H93" s="151">
        <v>2</v>
      </c>
      <c r="I93" s="25"/>
      <c r="J93" s="25"/>
      <c r="K93" s="26"/>
      <c r="L93" s="27"/>
      <c r="M93" s="26">
        <f t="shared" si="4"/>
        <v>0</v>
      </c>
      <c r="N93" s="26"/>
      <c r="O93" s="31"/>
      <c r="P93" s="53">
        <v>8</v>
      </c>
      <c r="Q93" s="30">
        <v>23413.73</v>
      </c>
      <c r="R93" s="205">
        <v>8</v>
      </c>
      <c r="S93" s="26">
        <f t="shared" si="3"/>
        <v>23413.73</v>
      </c>
      <c r="T93" s="30">
        <v>23413.73</v>
      </c>
      <c r="U93" s="225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105"/>
      <c r="G94" s="229" t="s">
        <v>25</v>
      </c>
      <c r="H94" s="118"/>
      <c r="I94" s="57"/>
      <c r="J94" s="57"/>
      <c r="K94" s="43"/>
      <c r="L94" s="44"/>
      <c r="M94" s="43">
        <f t="shared" si="4"/>
        <v>0</v>
      </c>
      <c r="N94" s="43"/>
      <c r="O94" s="41"/>
      <c r="P94" s="103"/>
      <c r="Q94" s="43"/>
      <c r="R94" s="44"/>
      <c r="S94" s="43">
        <f t="shared" si="3"/>
        <v>0</v>
      </c>
      <c r="T94" s="43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2"/>
      <c r="B95" s="374" t="s">
        <v>87</v>
      </c>
      <c r="C95" s="374" t="s">
        <v>39</v>
      </c>
      <c r="D95" s="374" t="s">
        <v>88</v>
      </c>
      <c r="E95" s="374" t="s">
        <v>89</v>
      </c>
      <c r="F95" s="232" t="s">
        <v>268</v>
      </c>
      <c r="G95" s="23" t="s">
        <v>24</v>
      </c>
      <c r="H95" s="61">
        <v>15</v>
      </c>
      <c r="I95" s="62">
        <v>12</v>
      </c>
      <c r="J95" s="62">
        <v>17</v>
      </c>
      <c r="K95" s="30">
        <v>29987.31</v>
      </c>
      <c r="L95" s="205">
        <v>17</v>
      </c>
      <c r="M95" s="26">
        <f t="shared" si="4"/>
        <v>29987.31</v>
      </c>
      <c r="N95" s="30">
        <v>29987.31</v>
      </c>
      <c r="O95" s="31"/>
      <c r="P95" s="53">
        <v>10</v>
      </c>
      <c r="Q95" s="30">
        <v>37366.67</v>
      </c>
      <c r="R95" s="205">
        <v>10</v>
      </c>
      <c r="S95" s="26">
        <f t="shared" si="3"/>
        <v>37366.67</v>
      </c>
      <c r="T95" s="30">
        <v>37366.67</v>
      </c>
      <c r="U95" s="225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290</v>
      </c>
      <c r="G96" s="35" t="s">
        <v>25</v>
      </c>
      <c r="H96" s="117">
        <v>7</v>
      </c>
      <c r="I96" s="37">
        <v>5</v>
      </c>
      <c r="J96" s="37">
        <v>5</v>
      </c>
      <c r="K96" s="68">
        <v>8538.9599999999991</v>
      </c>
      <c r="L96" s="285">
        <v>5</v>
      </c>
      <c r="M96" s="68">
        <v>8538.9599999999991</v>
      </c>
      <c r="N96" s="68">
        <v>8538.9599999999991</v>
      </c>
      <c r="O96" s="234"/>
      <c r="P96" s="115">
        <v>7</v>
      </c>
      <c r="Q96" s="68">
        <v>19517.39</v>
      </c>
      <c r="R96" s="285">
        <v>7</v>
      </c>
      <c r="S96" s="68">
        <v>19517.36</v>
      </c>
      <c r="T96" s="68">
        <v>19517.36</v>
      </c>
      <c r="U96" s="23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2"/>
      <c r="B97" s="374" t="s">
        <v>90</v>
      </c>
      <c r="C97" s="374" t="s">
        <v>39</v>
      </c>
      <c r="D97" s="374" t="s">
        <v>91</v>
      </c>
      <c r="E97" s="374" t="s">
        <v>27</v>
      </c>
      <c r="F97" s="204" t="s">
        <v>291</v>
      </c>
      <c r="G97" s="176" t="s">
        <v>24</v>
      </c>
      <c r="H97" s="48">
        <v>5</v>
      </c>
      <c r="I97" s="203">
        <v>2</v>
      </c>
      <c r="J97" s="203">
        <v>2</v>
      </c>
      <c r="K97" s="65">
        <v>2539.56</v>
      </c>
      <c r="L97" s="224">
        <v>2</v>
      </c>
      <c r="M97" s="50">
        <f>N97+O97</f>
        <v>2539.56</v>
      </c>
      <c r="N97" s="65">
        <v>2539.56</v>
      </c>
      <c r="O97" s="31"/>
      <c r="P97" s="108">
        <v>8</v>
      </c>
      <c r="Q97" s="65">
        <v>93924.24</v>
      </c>
      <c r="R97" s="224">
        <v>8</v>
      </c>
      <c r="S97" s="50">
        <f t="shared" ref="S97:S103" si="5">T97+U97</f>
        <v>93924.24</v>
      </c>
      <c r="T97" s="65">
        <v>93924.24</v>
      </c>
      <c r="U97" s="225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3"/>
      <c r="B98" s="375"/>
      <c r="C98" s="375"/>
      <c r="D98" s="375"/>
      <c r="E98" s="375"/>
      <c r="F98" s="220" t="s">
        <v>229</v>
      </c>
      <c r="G98" s="229" t="s">
        <v>28</v>
      </c>
      <c r="H98" s="133">
        <v>4</v>
      </c>
      <c r="I98" s="130">
        <v>1</v>
      </c>
      <c r="J98" s="130">
        <v>1</v>
      </c>
      <c r="K98" s="114">
        <v>1344.7</v>
      </c>
      <c r="L98" s="270">
        <v>1</v>
      </c>
      <c r="M98" s="114">
        <v>1344.7</v>
      </c>
      <c r="N98" s="114">
        <v>1344.7</v>
      </c>
      <c r="O98" s="41"/>
      <c r="P98" s="113">
        <v>1</v>
      </c>
      <c r="Q98" s="114">
        <v>1404.9</v>
      </c>
      <c r="R98" s="270">
        <v>1</v>
      </c>
      <c r="S98" s="43">
        <f t="shared" si="5"/>
        <v>1404.9</v>
      </c>
      <c r="T98" s="43">
        <f>1404.9</f>
        <v>1404.9</v>
      </c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92</v>
      </c>
      <c r="C99" s="374" t="s">
        <v>22</v>
      </c>
      <c r="D99" s="374"/>
      <c r="E99" s="374" t="s">
        <v>27</v>
      </c>
      <c r="F99" s="232" t="s">
        <v>269</v>
      </c>
      <c r="G99" s="23" t="s">
        <v>24</v>
      </c>
      <c r="H99" s="151">
        <v>4</v>
      </c>
      <c r="I99" s="62">
        <v>3</v>
      </c>
      <c r="J99" s="62">
        <v>3</v>
      </c>
      <c r="K99" s="30">
        <v>7389.22</v>
      </c>
      <c r="L99" s="205">
        <v>3</v>
      </c>
      <c r="M99" s="26">
        <f t="shared" ref="M99:M103" si="6">N99+O99</f>
        <v>7389.22</v>
      </c>
      <c r="N99" s="30">
        <v>7389.22</v>
      </c>
      <c r="O99" s="31"/>
      <c r="P99" s="53">
        <v>8</v>
      </c>
      <c r="Q99" s="30">
        <v>39013.760000000002</v>
      </c>
      <c r="R99" s="205">
        <v>8</v>
      </c>
      <c r="S99" s="26">
        <f t="shared" si="5"/>
        <v>39013.760000000002</v>
      </c>
      <c r="T99" s="30">
        <v>39013.760000000002</v>
      </c>
      <c r="U99" s="225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9"/>
      <c r="B100" s="380"/>
      <c r="C100" s="380"/>
      <c r="D100" s="380"/>
      <c r="E100" s="380"/>
      <c r="F100" s="233" t="s">
        <v>230</v>
      </c>
      <c r="G100" s="227" t="s">
        <v>28</v>
      </c>
      <c r="H100" s="133">
        <v>2</v>
      </c>
      <c r="I100" s="130">
        <v>2</v>
      </c>
      <c r="J100" s="130">
        <v>2</v>
      </c>
      <c r="K100" s="114">
        <v>1756.5</v>
      </c>
      <c r="L100" s="270">
        <v>2</v>
      </c>
      <c r="M100" s="43">
        <f t="shared" si="6"/>
        <v>1780.5</v>
      </c>
      <c r="N100" s="43">
        <f>576.3+1204.2</f>
        <v>1780.5</v>
      </c>
      <c r="O100" s="41"/>
      <c r="P100" s="103"/>
      <c r="Q100" s="43"/>
      <c r="R100" s="270">
        <v>1</v>
      </c>
      <c r="S100" s="43">
        <f t="shared" si="5"/>
        <v>2408.4</v>
      </c>
      <c r="T100" s="43">
        <f>2408.4</f>
        <v>2408.4</v>
      </c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2"/>
      <c r="B101" s="374" t="s">
        <v>93</v>
      </c>
      <c r="C101" s="374" t="s">
        <v>22</v>
      </c>
      <c r="D101" s="374"/>
      <c r="E101" s="374" t="s">
        <v>27</v>
      </c>
      <c r="F101" s="204" t="s">
        <v>412</v>
      </c>
      <c r="G101" s="176" t="s">
        <v>24</v>
      </c>
      <c r="H101" s="151">
        <v>3</v>
      </c>
      <c r="I101" s="62">
        <v>2</v>
      </c>
      <c r="J101" s="62">
        <v>3</v>
      </c>
      <c r="K101" s="30">
        <v>4738.63</v>
      </c>
      <c r="L101" s="205">
        <v>3</v>
      </c>
      <c r="M101" s="26">
        <f t="shared" si="6"/>
        <v>4738.63</v>
      </c>
      <c r="N101" s="30">
        <v>4738.63</v>
      </c>
      <c r="O101" s="225"/>
      <c r="P101" s="53">
        <v>3</v>
      </c>
      <c r="Q101" s="30">
        <v>15479.57</v>
      </c>
      <c r="R101" s="205">
        <v>3</v>
      </c>
      <c r="S101" s="26">
        <f t="shared" si="5"/>
        <v>15479.57</v>
      </c>
      <c r="T101" s="30">
        <v>15479.57</v>
      </c>
      <c r="U101" s="225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3"/>
      <c r="B102" s="375"/>
      <c r="C102" s="375"/>
      <c r="D102" s="375"/>
      <c r="E102" s="375"/>
      <c r="F102" s="105"/>
      <c r="G102" s="229" t="s">
        <v>28</v>
      </c>
      <c r="H102" s="116"/>
      <c r="I102" s="57"/>
      <c r="J102" s="57"/>
      <c r="K102" s="43"/>
      <c r="L102" s="44"/>
      <c r="M102" s="43">
        <f t="shared" si="6"/>
        <v>0</v>
      </c>
      <c r="N102" s="43"/>
      <c r="O102" s="41"/>
      <c r="P102" s="103"/>
      <c r="Q102" s="43"/>
      <c r="R102" s="44"/>
      <c r="S102" s="43">
        <f t="shared" si="5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94</v>
      </c>
      <c r="C103" s="374" t="s">
        <v>39</v>
      </c>
      <c r="D103" s="374" t="s">
        <v>95</v>
      </c>
      <c r="E103" s="374" t="s">
        <v>96</v>
      </c>
      <c r="F103" s="204" t="s">
        <v>292</v>
      </c>
      <c r="G103" s="176" t="s">
        <v>24</v>
      </c>
      <c r="H103" s="48">
        <v>7</v>
      </c>
      <c r="I103" s="62">
        <v>5</v>
      </c>
      <c r="J103" s="62">
        <v>6</v>
      </c>
      <c r="K103" s="30">
        <v>16261.19</v>
      </c>
      <c r="L103" s="205">
        <v>5</v>
      </c>
      <c r="M103" s="26">
        <f t="shared" si="6"/>
        <v>15598.88</v>
      </c>
      <c r="N103" s="30">
        <v>15598.88</v>
      </c>
      <c r="O103" s="31"/>
      <c r="P103" s="53">
        <v>24</v>
      </c>
      <c r="Q103" s="30">
        <v>62843.82</v>
      </c>
      <c r="R103" s="205">
        <v>23</v>
      </c>
      <c r="S103" s="26">
        <f t="shared" si="5"/>
        <v>58950.239999999998</v>
      </c>
      <c r="T103" s="30">
        <v>58950.239999999998</v>
      </c>
      <c r="U103" s="225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3"/>
      <c r="B104" s="375"/>
      <c r="C104" s="375"/>
      <c r="D104" s="375"/>
      <c r="E104" s="375"/>
      <c r="F104" s="220" t="s">
        <v>293</v>
      </c>
      <c r="G104" s="307" t="s">
        <v>25</v>
      </c>
      <c r="H104" s="112">
        <v>8</v>
      </c>
      <c r="I104" s="130">
        <v>8</v>
      </c>
      <c r="J104" s="130">
        <v>8</v>
      </c>
      <c r="K104" s="114">
        <v>10598.35</v>
      </c>
      <c r="L104" s="270">
        <v>7</v>
      </c>
      <c r="M104" s="114">
        <v>9494.5</v>
      </c>
      <c r="N104" s="114">
        <v>9494.5</v>
      </c>
      <c r="O104" s="234"/>
      <c r="P104" s="113">
        <v>11</v>
      </c>
      <c r="Q104" s="114">
        <v>24676.09</v>
      </c>
      <c r="R104" s="270">
        <v>10</v>
      </c>
      <c r="S104" s="114">
        <v>23572.240000000002</v>
      </c>
      <c r="T104" s="114">
        <v>23572.240000000002</v>
      </c>
      <c r="U104" s="23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97</v>
      </c>
      <c r="C105" s="374" t="s">
        <v>22</v>
      </c>
      <c r="D105" s="374"/>
      <c r="E105" s="374" t="s">
        <v>27</v>
      </c>
      <c r="F105" s="232" t="s">
        <v>406</v>
      </c>
      <c r="G105" s="176" t="s">
        <v>24</v>
      </c>
      <c r="H105" s="248">
        <v>7</v>
      </c>
      <c r="I105" s="62">
        <v>6</v>
      </c>
      <c r="J105" s="62">
        <v>6</v>
      </c>
      <c r="K105" s="30">
        <v>4786.25</v>
      </c>
      <c r="L105" s="205">
        <v>6</v>
      </c>
      <c r="M105" s="26">
        <f t="shared" ref="M105:M120" si="7">N105+O105</f>
        <v>4786.25</v>
      </c>
      <c r="N105" s="30">
        <v>4786.25</v>
      </c>
      <c r="O105" s="225"/>
      <c r="P105" s="53">
        <v>7</v>
      </c>
      <c r="Q105" s="30">
        <v>12035.94</v>
      </c>
      <c r="R105" s="205">
        <v>7</v>
      </c>
      <c r="S105" s="26">
        <f t="shared" ref="S105:S136" si="8">T105+U105</f>
        <v>12035.94</v>
      </c>
      <c r="T105" s="30">
        <v>12035.94</v>
      </c>
      <c r="U105" s="225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3"/>
      <c r="B106" s="375"/>
      <c r="C106" s="375"/>
      <c r="D106" s="375"/>
      <c r="E106" s="375"/>
      <c r="F106" s="220" t="s">
        <v>294</v>
      </c>
      <c r="G106" s="229" t="s">
        <v>28</v>
      </c>
      <c r="H106" s="251">
        <v>6</v>
      </c>
      <c r="I106" s="208">
        <v>4</v>
      </c>
      <c r="J106" s="208">
        <v>4</v>
      </c>
      <c r="K106" s="209">
        <v>5955.1</v>
      </c>
      <c r="L106" s="290">
        <v>4</v>
      </c>
      <c r="M106" s="211">
        <f t="shared" si="7"/>
        <v>5955.0999999999995</v>
      </c>
      <c r="N106" s="209">
        <f>1344.7+3265.7+1344.7</f>
        <v>5955.0999999999995</v>
      </c>
      <c r="O106" s="212"/>
      <c r="P106" s="103"/>
      <c r="Q106" s="43"/>
      <c r="R106" s="270">
        <v>1</v>
      </c>
      <c r="S106" s="43">
        <f t="shared" si="8"/>
        <v>2209.15</v>
      </c>
      <c r="T106" s="114">
        <v>2209.15</v>
      </c>
      <c r="U106" s="23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6"/>
      <c r="B107" s="377" t="s">
        <v>98</v>
      </c>
      <c r="C107" s="377" t="s">
        <v>39</v>
      </c>
      <c r="D107" s="377" t="s">
        <v>270</v>
      </c>
      <c r="E107" s="377" t="s">
        <v>99</v>
      </c>
      <c r="F107" s="232" t="s">
        <v>271</v>
      </c>
      <c r="G107" s="73" t="s">
        <v>24</v>
      </c>
      <c r="H107" s="24">
        <v>11</v>
      </c>
      <c r="I107" s="62">
        <v>8</v>
      </c>
      <c r="J107" s="62">
        <v>11</v>
      </c>
      <c r="K107" s="30">
        <v>21963.53</v>
      </c>
      <c r="L107" s="205">
        <v>11</v>
      </c>
      <c r="M107" s="26">
        <f t="shared" si="7"/>
        <v>21963.53</v>
      </c>
      <c r="N107" s="30">
        <v>21963.53</v>
      </c>
      <c r="O107" s="241"/>
      <c r="P107" s="214">
        <v>13</v>
      </c>
      <c r="Q107" s="30">
        <v>57575.81</v>
      </c>
      <c r="R107" s="205">
        <v>13</v>
      </c>
      <c r="S107" s="26">
        <f t="shared" si="8"/>
        <v>57575.81</v>
      </c>
      <c r="T107" s="30">
        <v>57575.81</v>
      </c>
      <c r="U107" s="225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3"/>
      <c r="B108" s="375"/>
      <c r="C108" s="375"/>
      <c r="D108" s="375"/>
      <c r="E108" s="375"/>
      <c r="F108" s="220" t="s">
        <v>295</v>
      </c>
      <c r="G108" s="215" t="s">
        <v>28</v>
      </c>
      <c r="H108" s="66">
        <v>8</v>
      </c>
      <c r="I108" s="286">
        <v>5</v>
      </c>
      <c r="J108" s="286">
        <v>5</v>
      </c>
      <c r="K108" s="287">
        <v>11331</v>
      </c>
      <c r="L108" s="315">
        <v>5</v>
      </c>
      <c r="M108" s="39">
        <f t="shared" si="7"/>
        <v>11331</v>
      </c>
      <c r="N108" s="39">
        <f>1921+3073.6+1921+3010.5+1404.9</f>
        <v>11331</v>
      </c>
      <c r="O108" s="41"/>
      <c r="P108" s="217">
        <v>3</v>
      </c>
      <c r="Q108" s="37">
        <v>7587.95</v>
      </c>
      <c r="R108" s="285">
        <v>3</v>
      </c>
      <c r="S108" s="39">
        <f t="shared" si="8"/>
        <v>8740.5499999999993</v>
      </c>
      <c r="T108" s="68">
        <f>1056.55+3457.8+4226.2</f>
        <v>8740.5499999999993</v>
      </c>
      <c r="U108" s="4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82"/>
      <c r="B109" s="381" t="s">
        <v>100</v>
      </c>
      <c r="C109" s="374" t="s">
        <v>39</v>
      </c>
      <c r="D109" s="381" t="s">
        <v>296</v>
      </c>
      <c r="E109" s="381" t="s">
        <v>27</v>
      </c>
      <c r="F109" s="223" t="s">
        <v>297</v>
      </c>
      <c r="G109" s="47" t="s">
        <v>24</v>
      </c>
      <c r="H109" s="218"/>
      <c r="I109" s="96"/>
      <c r="J109" s="96"/>
      <c r="K109" s="81"/>
      <c r="L109" s="80"/>
      <c r="M109" s="81">
        <f t="shared" si="7"/>
        <v>0</v>
      </c>
      <c r="N109" s="81"/>
      <c r="O109" s="219"/>
      <c r="P109" s="108">
        <v>4</v>
      </c>
      <c r="Q109" s="65">
        <v>17684.7</v>
      </c>
      <c r="R109" s="224">
        <v>4</v>
      </c>
      <c r="S109" s="50">
        <f t="shared" si="8"/>
        <v>17684.7</v>
      </c>
      <c r="T109" s="65">
        <v>17684.7</v>
      </c>
      <c r="U109" s="225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3"/>
      <c r="B110" s="375"/>
      <c r="C110" s="375"/>
      <c r="D110" s="375"/>
      <c r="E110" s="375"/>
      <c r="F110" s="220" t="s">
        <v>298</v>
      </c>
      <c r="G110" s="35" t="s">
        <v>28</v>
      </c>
      <c r="H110" s="133">
        <v>5</v>
      </c>
      <c r="I110" s="37">
        <v>1</v>
      </c>
      <c r="J110" s="37">
        <v>1</v>
      </c>
      <c r="K110" s="68">
        <v>864.45</v>
      </c>
      <c r="L110" s="285">
        <v>1</v>
      </c>
      <c r="M110" s="39">
        <f t="shared" si="7"/>
        <v>864.15</v>
      </c>
      <c r="N110" s="39">
        <f>864.15</f>
        <v>864.15</v>
      </c>
      <c r="O110" s="41"/>
      <c r="P110" s="115">
        <v>1</v>
      </c>
      <c r="Q110" s="68">
        <v>1152.5999999999999</v>
      </c>
      <c r="R110" s="40"/>
      <c r="S110" s="39">
        <f t="shared" si="8"/>
        <v>0</v>
      </c>
      <c r="T110" s="39"/>
      <c r="U110" s="4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82"/>
      <c r="B111" s="381" t="s">
        <v>102</v>
      </c>
      <c r="C111" s="381" t="s">
        <v>22</v>
      </c>
      <c r="D111" s="381"/>
      <c r="E111" s="381" t="s">
        <v>67</v>
      </c>
      <c r="F111" s="223" t="s">
        <v>272</v>
      </c>
      <c r="G111" s="23" t="s">
        <v>24</v>
      </c>
      <c r="H111" s="48">
        <v>8</v>
      </c>
      <c r="I111" s="203">
        <v>5</v>
      </c>
      <c r="J111" s="203">
        <v>6</v>
      </c>
      <c r="K111" s="65">
        <v>10235.59</v>
      </c>
      <c r="L111" s="224">
        <v>6</v>
      </c>
      <c r="M111" s="50">
        <f t="shared" si="7"/>
        <v>10235.59</v>
      </c>
      <c r="N111" s="65">
        <v>10235.59</v>
      </c>
      <c r="O111" s="225"/>
      <c r="P111" s="108">
        <v>9</v>
      </c>
      <c r="Q111" s="65">
        <v>19656.830000000002</v>
      </c>
      <c r="R111" s="224">
        <v>9</v>
      </c>
      <c r="S111" s="50">
        <f t="shared" si="8"/>
        <v>19656.830000000002</v>
      </c>
      <c r="T111" s="65">
        <v>19656.830000000002</v>
      </c>
      <c r="U111" s="225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9"/>
      <c r="B112" s="380"/>
      <c r="C112" s="380"/>
      <c r="D112" s="380"/>
      <c r="E112" s="380"/>
      <c r="F112" s="220" t="s">
        <v>299</v>
      </c>
      <c r="G112" s="55" t="s">
        <v>28</v>
      </c>
      <c r="H112" s="153">
        <v>8</v>
      </c>
      <c r="I112" s="130">
        <v>4</v>
      </c>
      <c r="J112" s="130">
        <v>4</v>
      </c>
      <c r="K112" s="114">
        <v>3785.4</v>
      </c>
      <c r="L112" s="316">
        <v>6</v>
      </c>
      <c r="M112" s="50">
        <f t="shared" si="7"/>
        <v>5770.3</v>
      </c>
      <c r="N112" s="43">
        <f>1290.6+1152.6+1290.6+694.3+602.1+740.1</f>
        <v>5770.3</v>
      </c>
      <c r="O112" s="41"/>
      <c r="P112" s="113">
        <v>3</v>
      </c>
      <c r="Q112" s="114">
        <v>14347.1</v>
      </c>
      <c r="R112" s="270">
        <v>4</v>
      </c>
      <c r="S112" s="43">
        <f t="shared" si="8"/>
        <v>19149.900000000001</v>
      </c>
      <c r="T112" s="114">
        <f>4358.2+3649.9+4802.5+6339.3</f>
        <v>19149.900000000001</v>
      </c>
      <c r="U112" s="4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2"/>
      <c r="B113" s="374" t="s">
        <v>103</v>
      </c>
      <c r="C113" s="374" t="s">
        <v>22</v>
      </c>
      <c r="D113" s="374"/>
      <c r="E113" s="374" t="s">
        <v>67</v>
      </c>
      <c r="F113" s="232" t="s">
        <v>407</v>
      </c>
      <c r="G113" s="23" t="s">
        <v>24</v>
      </c>
      <c r="H113" s="48">
        <v>7</v>
      </c>
      <c r="I113" s="62">
        <v>4</v>
      </c>
      <c r="J113" s="62">
        <v>5</v>
      </c>
      <c r="K113" s="30">
        <v>8528</v>
      </c>
      <c r="L113" s="205">
        <v>5</v>
      </c>
      <c r="M113" s="26">
        <f t="shared" si="7"/>
        <v>8528</v>
      </c>
      <c r="N113" s="30">
        <v>8528</v>
      </c>
      <c r="O113" s="225"/>
      <c r="P113" s="53">
        <v>6</v>
      </c>
      <c r="Q113" s="30">
        <v>12782.06</v>
      </c>
      <c r="R113" s="205">
        <v>6</v>
      </c>
      <c r="S113" s="26">
        <f t="shared" si="8"/>
        <v>12782.06</v>
      </c>
      <c r="T113" s="30">
        <v>12782.06</v>
      </c>
      <c r="U113" s="225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3"/>
      <c r="B114" s="375"/>
      <c r="C114" s="375"/>
      <c r="D114" s="375"/>
      <c r="E114" s="375"/>
      <c r="F114" s="220" t="s">
        <v>300</v>
      </c>
      <c r="G114" s="35" t="s">
        <v>28</v>
      </c>
      <c r="H114" s="133">
        <v>6</v>
      </c>
      <c r="I114" s="37">
        <v>5</v>
      </c>
      <c r="J114" s="37">
        <v>6</v>
      </c>
      <c r="K114" s="68">
        <v>12151</v>
      </c>
      <c r="L114" s="285">
        <v>5</v>
      </c>
      <c r="M114" s="39">
        <f t="shared" si="7"/>
        <v>11516.9</v>
      </c>
      <c r="N114" s="39">
        <f>1580.8+3353.7+4415.4+1404.9+762.1</f>
        <v>11516.9</v>
      </c>
      <c r="O114" s="41"/>
      <c r="P114" s="115">
        <v>2</v>
      </c>
      <c r="Q114" s="68">
        <v>3490.8</v>
      </c>
      <c r="R114" s="285">
        <v>3</v>
      </c>
      <c r="S114" s="39">
        <f t="shared" si="8"/>
        <v>8836.6</v>
      </c>
      <c r="T114" s="39">
        <f>5378.8+1344.7+2113.1</f>
        <v>8836.6</v>
      </c>
      <c r="U114" s="4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2"/>
      <c r="B115" s="374" t="s">
        <v>104</v>
      </c>
      <c r="C115" s="374" t="s">
        <v>39</v>
      </c>
      <c r="D115" s="374" t="s">
        <v>301</v>
      </c>
      <c r="E115" s="374" t="s">
        <v>27</v>
      </c>
      <c r="F115" s="204" t="s">
        <v>302</v>
      </c>
      <c r="G115" s="176" t="s">
        <v>24</v>
      </c>
      <c r="H115" s="48">
        <v>24</v>
      </c>
      <c r="I115" s="203">
        <v>16</v>
      </c>
      <c r="J115" s="203">
        <v>18</v>
      </c>
      <c r="K115" s="65">
        <v>44154.26</v>
      </c>
      <c r="L115" s="224">
        <v>18</v>
      </c>
      <c r="M115" s="50">
        <f t="shared" si="7"/>
        <v>44154.26</v>
      </c>
      <c r="N115" s="65">
        <v>44154.26</v>
      </c>
      <c r="O115" s="225"/>
      <c r="P115" s="108">
        <v>21</v>
      </c>
      <c r="Q115" s="65">
        <v>64204.61</v>
      </c>
      <c r="R115" s="224">
        <v>18</v>
      </c>
      <c r="S115" s="50">
        <f t="shared" si="8"/>
        <v>59690.23</v>
      </c>
      <c r="T115" s="65">
        <v>59690.23</v>
      </c>
      <c r="U115" s="225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3"/>
      <c r="B116" s="375"/>
      <c r="C116" s="375"/>
      <c r="D116" s="375"/>
      <c r="E116" s="375"/>
      <c r="F116" s="34"/>
      <c r="G116" s="229" t="s">
        <v>28</v>
      </c>
      <c r="H116" s="116"/>
      <c r="I116" s="57"/>
      <c r="J116" s="57"/>
      <c r="K116" s="43"/>
      <c r="L116" s="44"/>
      <c r="M116" s="43">
        <f t="shared" si="7"/>
        <v>0</v>
      </c>
      <c r="N116" s="43"/>
      <c r="O116" s="41"/>
      <c r="P116" s="103"/>
      <c r="Q116" s="43"/>
      <c r="R116" s="44"/>
      <c r="S116" s="43">
        <f t="shared" si="8"/>
        <v>0</v>
      </c>
      <c r="T116" s="43"/>
      <c r="U116" s="4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2"/>
      <c r="B117" s="374" t="s">
        <v>106</v>
      </c>
      <c r="C117" s="377" t="s">
        <v>39</v>
      </c>
      <c r="D117" s="374" t="s">
        <v>107</v>
      </c>
      <c r="E117" s="374" t="s">
        <v>27</v>
      </c>
      <c r="F117" s="232" t="s">
        <v>366</v>
      </c>
      <c r="G117" s="23" t="s">
        <v>24</v>
      </c>
      <c r="H117" s="48">
        <v>10</v>
      </c>
      <c r="I117" s="62">
        <v>9</v>
      </c>
      <c r="J117" s="62">
        <v>9</v>
      </c>
      <c r="K117" s="30">
        <v>7593.07</v>
      </c>
      <c r="L117" s="205">
        <v>9</v>
      </c>
      <c r="M117" s="26">
        <f t="shared" si="7"/>
        <v>7593.07</v>
      </c>
      <c r="N117" s="30">
        <v>7593.07</v>
      </c>
      <c r="O117" s="31"/>
      <c r="P117" s="53">
        <v>11</v>
      </c>
      <c r="Q117" s="30">
        <v>73773.25</v>
      </c>
      <c r="R117" s="205">
        <v>11</v>
      </c>
      <c r="S117" s="26">
        <f t="shared" si="8"/>
        <v>73773.25</v>
      </c>
      <c r="T117" s="30">
        <v>73773.25</v>
      </c>
      <c r="U117" s="3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9"/>
      <c r="B118" s="380"/>
      <c r="C118" s="380"/>
      <c r="D118" s="380"/>
      <c r="E118" s="380"/>
      <c r="F118" s="233" t="s">
        <v>233</v>
      </c>
      <c r="G118" s="227" t="s">
        <v>28</v>
      </c>
      <c r="H118" s="153">
        <v>6</v>
      </c>
      <c r="I118" s="57"/>
      <c r="J118" s="57"/>
      <c r="K118" s="43"/>
      <c r="L118" s="270">
        <v>1</v>
      </c>
      <c r="M118" s="43">
        <f t="shared" si="7"/>
        <v>576.29999999999995</v>
      </c>
      <c r="N118" s="43">
        <f>576.3</f>
        <v>576.29999999999995</v>
      </c>
      <c r="O118" s="41"/>
      <c r="P118" s="113">
        <v>2</v>
      </c>
      <c r="Q118" s="114">
        <v>2881.5</v>
      </c>
      <c r="R118" s="270">
        <v>2</v>
      </c>
      <c r="S118" s="43">
        <f t="shared" si="8"/>
        <v>2881.5</v>
      </c>
      <c r="T118" s="57">
        <f>576.3+2305.2</f>
        <v>2881.5</v>
      </c>
      <c r="U118" s="4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2"/>
      <c r="B119" s="374" t="s">
        <v>108</v>
      </c>
      <c r="C119" s="374" t="s">
        <v>46</v>
      </c>
      <c r="D119" s="374" t="s">
        <v>109</v>
      </c>
      <c r="E119" s="374" t="s">
        <v>27</v>
      </c>
      <c r="F119" s="204" t="s">
        <v>273</v>
      </c>
      <c r="G119" s="176" t="s">
        <v>24</v>
      </c>
      <c r="H119" s="151">
        <v>13</v>
      </c>
      <c r="I119" s="62">
        <v>10</v>
      </c>
      <c r="J119" s="62">
        <v>10</v>
      </c>
      <c r="K119" s="30">
        <v>9683</v>
      </c>
      <c r="L119" s="205">
        <v>9</v>
      </c>
      <c r="M119" s="26">
        <f t="shared" si="7"/>
        <v>8773.83</v>
      </c>
      <c r="N119" s="30">
        <v>8773.83</v>
      </c>
      <c r="O119" s="31"/>
      <c r="P119" s="53">
        <v>8</v>
      </c>
      <c r="Q119" s="30">
        <v>32433.51</v>
      </c>
      <c r="R119" s="205">
        <v>8</v>
      </c>
      <c r="S119" s="26">
        <f t="shared" si="8"/>
        <v>32433.51</v>
      </c>
      <c r="T119" s="30">
        <v>32433.51</v>
      </c>
      <c r="U119" s="225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87"/>
      <c r="B120" s="386"/>
      <c r="C120" s="386"/>
      <c r="D120" s="386"/>
      <c r="E120" s="386"/>
      <c r="F120" s="235" t="s">
        <v>234</v>
      </c>
      <c r="G120" s="252" t="s">
        <v>28</v>
      </c>
      <c r="H120" s="48">
        <v>6</v>
      </c>
      <c r="I120" s="246">
        <v>3</v>
      </c>
      <c r="J120" s="246">
        <v>3</v>
      </c>
      <c r="K120" s="158">
        <v>3159.6</v>
      </c>
      <c r="L120" s="317">
        <v>2</v>
      </c>
      <c r="M120" s="142">
        <f t="shared" si="7"/>
        <v>2583.3000000000002</v>
      </c>
      <c r="N120" s="142">
        <f>576.3+2007</f>
        <v>2583.3000000000002</v>
      </c>
      <c r="O120" s="45"/>
      <c r="P120" s="157">
        <v>7</v>
      </c>
      <c r="Q120" s="158">
        <v>15445.86</v>
      </c>
      <c r="R120" s="317">
        <v>5</v>
      </c>
      <c r="S120" s="142">
        <f t="shared" si="8"/>
        <v>13044.61</v>
      </c>
      <c r="T120" s="142">
        <f>288.15+576.3+5648.76+3649.9+2881.5</f>
        <v>13044.61</v>
      </c>
      <c r="U120" s="4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45"/>
      <c r="G121" s="253" t="s">
        <v>25</v>
      </c>
      <c r="H121" s="306">
        <v>1</v>
      </c>
      <c r="I121" s="37">
        <v>1</v>
      </c>
      <c r="J121" s="37">
        <v>1</v>
      </c>
      <c r="K121" s="68">
        <v>2881.5</v>
      </c>
      <c r="L121" s="285">
        <v>1</v>
      </c>
      <c r="M121" s="68">
        <v>2881.5</v>
      </c>
      <c r="N121" s="68">
        <v>2881.5</v>
      </c>
      <c r="O121" s="41"/>
      <c r="P121" s="59"/>
      <c r="Q121" s="39"/>
      <c r="R121" s="40"/>
      <c r="S121" s="39">
        <f t="shared" si="8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6"/>
      <c r="B122" s="377" t="s">
        <v>110</v>
      </c>
      <c r="C122" s="377" t="s">
        <v>22</v>
      </c>
      <c r="D122" s="377"/>
      <c r="E122" s="377" t="s">
        <v>67</v>
      </c>
      <c r="F122" s="232" t="s">
        <v>274</v>
      </c>
      <c r="G122" s="23" t="s">
        <v>24</v>
      </c>
      <c r="H122" s="48">
        <v>3</v>
      </c>
      <c r="I122" s="203">
        <v>2</v>
      </c>
      <c r="J122" s="203">
        <v>3</v>
      </c>
      <c r="K122" s="65">
        <v>5015.66</v>
      </c>
      <c r="L122" s="224">
        <v>3</v>
      </c>
      <c r="M122" s="50">
        <f t="shared" ref="M122:M136" si="9">N122+O122</f>
        <v>5015.66</v>
      </c>
      <c r="N122" s="65">
        <v>5015.66</v>
      </c>
      <c r="O122" s="31"/>
      <c r="P122" s="108">
        <v>7</v>
      </c>
      <c r="Q122" s="65">
        <v>34054.94</v>
      </c>
      <c r="R122" s="224">
        <v>7</v>
      </c>
      <c r="S122" s="50">
        <f t="shared" si="8"/>
        <v>34054.94</v>
      </c>
      <c r="T122" s="65">
        <v>34054.94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34"/>
      <c r="G123" s="55" t="s">
        <v>28</v>
      </c>
      <c r="H123" s="116"/>
      <c r="I123" s="57"/>
      <c r="J123" s="57"/>
      <c r="K123" s="43"/>
      <c r="L123" s="44"/>
      <c r="M123" s="43">
        <f t="shared" si="9"/>
        <v>0</v>
      </c>
      <c r="N123" s="43"/>
      <c r="O123" s="41"/>
      <c r="P123" s="103"/>
      <c r="Q123" s="43"/>
      <c r="R123" s="44"/>
      <c r="S123" s="43">
        <f t="shared" si="8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111</v>
      </c>
      <c r="C124" s="374" t="s">
        <v>39</v>
      </c>
      <c r="D124" s="374" t="s">
        <v>435</v>
      </c>
      <c r="E124" s="374" t="s">
        <v>112</v>
      </c>
      <c r="F124" s="232" t="s">
        <v>436</v>
      </c>
      <c r="G124" s="23" t="s">
        <v>24</v>
      </c>
      <c r="H124" s="48">
        <v>10</v>
      </c>
      <c r="I124" s="62">
        <v>8</v>
      </c>
      <c r="J124" s="62">
        <v>10</v>
      </c>
      <c r="K124" s="30">
        <v>27914.080000000002</v>
      </c>
      <c r="L124" s="205">
        <v>10</v>
      </c>
      <c r="M124" s="26">
        <f t="shared" si="9"/>
        <v>27914.080000000002</v>
      </c>
      <c r="N124" s="30">
        <v>27914.080000000002</v>
      </c>
      <c r="O124" s="31"/>
      <c r="P124" s="53">
        <v>4</v>
      </c>
      <c r="Q124" s="30">
        <v>3732.5</v>
      </c>
      <c r="R124" s="205">
        <v>4</v>
      </c>
      <c r="S124" s="26">
        <f t="shared" si="8"/>
        <v>3732.5</v>
      </c>
      <c r="T124" s="30">
        <v>3732.5</v>
      </c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9"/>
      <c r="B125" s="380"/>
      <c r="C125" s="380"/>
      <c r="D125" s="380"/>
      <c r="E125" s="380"/>
      <c r="F125" s="233" t="s">
        <v>235</v>
      </c>
      <c r="G125" s="227" t="s">
        <v>28</v>
      </c>
      <c r="H125" s="133">
        <v>1</v>
      </c>
      <c r="I125" s="57"/>
      <c r="J125" s="57"/>
      <c r="K125" s="43"/>
      <c r="L125" s="44"/>
      <c r="M125" s="43">
        <f t="shared" si="9"/>
        <v>0</v>
      </c>
      <c r="N125" s="43"/>
      <c r="O125" s="41"/>
      <c r="P125" s="103"/>
      <c r="Q125" s="43"/>
      <c r="R125" s="44"/>
      <c r="S125" s="43">
        <f t="shared" si="8"/>
        <v>0</v>
      </c>
      <c r="T125" s="43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2"/>
      <c r="B126" s="374" t="s">
        <v>113</v>
      </c>
      <c r="C126" s="374" t="s">
        <v>39</v>
      </c>
      <c r="D126" s="374" t="s">
        <v>114</v>
      </c>
      <c r="E126" s="374" t="s">
        <v>27</v>
      </c>
      <c r="F126" s="204" t="s">
        <v>305</v>
      </c>
      <c r="G126" s="176" t="s">
        <v>24</v>
      </c>
      <c r="H126" s="48">
        <v>18</v>
      </c>
      <c r="I126" s="62">
        <v>16</v>
      </c>
      <c r="J126" s="62">
        <v>22</v>
      </c>
      <c r="K126" s="30">
        <v>45233.25</v>
      </c>
      <c r="L126" s="205">
        <v>18</v>
      </c>
      <c r="M126" s="26">
        <f t="shared" si="9"/>
        <v>38332.99</v>
      </c>
      <c r="N126" s="30">
        <v>38332.99</v>
      </c>
      <c r="O126" s="225"/>
      <c r="P126" s="53">
        <v>10</v>
      </c>
      <c r="Q126" s="30">
        <v>25611.57</v>
      </c>
      <c r="R126" s="205">
        <v>10</v>
      </c>
      <c r="S126" s="26">
        <f t="shared" si="8"/>
        <v>25611.57</v>
      </c>
      <c r="T126" s="30">
        <v>25611.57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3"/>
      <c r="B127" s="375"/>
      <c r="C127" s="375"/>
      <c r="D127" s="375"/>
      <c r="E127" s="375"/>
      <c r="F127" s="220" t="s">
        <v>306</v>
      </c>
      <c r="G127" s="229" t="s">
        <v>28</v>
      </c>
      <c r="H127" s="56">
        <v>4</v>
      </c>
      <c r="I127" s="130">
        <v>3</v>
      </c>
      <c r="J127" s="130">
        <v>3</v>
      </c>
      <c r="K127" s="114">
        <v>4816.8</v>
      </c>
      <c r="L127" s="270">
        <v>3</v>
      </c>
      <c r="M127" s="43">
        <f t="shared" si="9"/>
        <v>4905.7000000000007</v>
      </c>
      <c r="N127" s="43">
        <f>1152.6+1344.7+2408.4</f>
        <v>4905.7000000000007</v>
      </c>
      <c r="O127" s="45"/>
      <c r="P127" s="113">
        <v>2</v>
      </c>
      <c r="Q127" s="114">
        <v>5186.7</v>
      </c>
      <c r="R127" s="270">
        <v>2</v>
      </c>
      <c r="S127" s="43">
        <f t="shared" si="8"/>
        <v>5186.7</v>
      </c>
      <c r="T127" s="43">
        <f>5186.7</f>
        <v>5186.7</v>
      </c>
      <c r="U127" s="4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2"/>
      <c r="B128" s="374" t="s">
        <v>115</v>
      </c>
      <c r="C128" s="374" t="s">
        <v>22</v>
      </c>
      <c r="D128" s="374"/>
      <c r="E128" s="374" t="s">
        <v>27</v>
      </c>
      <c r="F128" s="22"/>
      <c r="G128" s="23" t="s">
        <v>24</v>
      </c>
      <c r="H128" s="104"/>
      <c r="I128" s="25"/>
      <c r="J128" s="25"/>
      <c r="K128" s="26"/>
      <c r="L128" s="148"/>
      <c r="M128" s="149">
        <f t="shared" si="9"/>
        <v>0</v>
      </c>
      <c r="N128" s="26"/>
      <c r="O128" s="100"/>
      <c r="P128" s="120"/>
      <c r="Q128" s="26"/>
      <c r="R128" s="27"/>
      <c r="S128" s="26">
        <f t="shared" si="8"/>
        <v>0</v>
      </c>
      <c r="T128" s="26"/>
      <c r="U128" s="3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3"/>
      <c r="B129" s="375"/>
      <c r="C129" s="375"/>
      <c r="D129" s="375"/>
      <c r="E129" s="375"/>
      <c r="F129" s="34"/>
      <c r="G129" s="35" t="s">
        <v>28</v>
      </c>
      <c r="H129" s="106"/>
      <c r="I129" s="38"/>
      <c r="J129" s="38"/>
      <c r="K129" s="39"/>
      <c r="L129" s="40"/>
      <c r="M129" s="39">
        <f t="shared" si="9"/>
        <v>0</v>
      </c>
      <c r="N129" s="39"/>
      <c r="O129" s="41"/>
      <c r="P129" s="69"/>
      <c r="Q129" s="39"/>
      <c r="R129" s="40"/>
      <c r="S129" s="39">
        <f t="shared" si="8"/>
        <v>0</v>
      </c>
      <c r="T129" s="39"/>
      <c r="U129" s="4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82"/>
      <c r="B130" s="381" t="s">
        <v>116</v>
      </c>
      <c r="C130" s="381" t="s">
        <v>22</v>
      </c>
      <c r="D130" s="381"/>
      <c r="E130" s="381" t="s">
        <v>27</v>
      </c>
      <c r="F130" s="223" t="s">
        <v>307</v>
      </c>
      <c r="G130" s="47" t="s">
        <v>24</v>
      </c>
      <c r="H130" s="61">
        <v>8</v>
      </c>
      <c r="I130" s="62">
        <v>6</v>
      </c>
      <c r="J130" s="62">
        <v>8</v>
      </c>
      <c r="K130" s="30">
        <v>12647.96</v>
      </c>
      <c r="L130" s="205">
        <v>8</v>
      </c>
      <c r="M130" s="26">
        <f t="shared" si="9"/>
        <v>12647.96</v>
      </c>
      <c r="N130" s="30">
        <v>12647.96</v>
      </c>
      <c r="O130" s="243"/>
      <c r="P130" s="64">
        <v>4</v>
      </c>
      <c r="Q130" s="65">
        <v>10597.93</v>
      </c>
      <c r="R130" s="224">
        <v>4</v>
      </c>
      <c r="S130" s="50">
        <f t="shared" si="8"/>
        <v>10597.93</v>
      </c>
      <c r="T130" s="65">
        <v>10597.93</v>
      </c>
      <c r="U130" s="225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3"/>
      <c r="B131" s="375"/>
      <c r="C131" s="375"/>
      <c r="D131" s="375"/>
      <c r="E131" s="375"/>
      <c r="F131" s="34"/>
      <c r="G131" s="35" t="s">
        <v>28</v>
      </c>
      <c r="H131" s="133">
        <v>3</v>
      </c>
      <c r="I131" s="38"/>
      <c r="J131" s="38"/>
      <c r="K131" s="39"/>
      <c r="L131" s="40"/>
      <c r="M131" s="39">
        <f t="shared" si="9"/>
        <v>0</v>
      </c>
      <c r="N131" s="39"/>
      <c r="O131" s="41"/>
      <c r="P131" s="67">
        <v>1</v>
      </c>
      <c r="Q131" s="68">
        <v>2305.1999999999998</v>
      </c>
      <c r="R131" s="285">
        <v>1</v>
      </c>
      <c r="S131" s="39">
        <f t="shared" si="8"/>
        <v>2305.1999999999998</v>
      </c>
      <c r="T131" s="39">
        <f>2305.2</f>
        <v>2305.1999999999998</v>
      </c>
      <c r="U131" s="4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82"/>
      <c r="B132" s="381" t="s">
        <v>117</v>
      </c>
      <c r="C132" s="381" t="s">
        <v>22</v>
      </c>
      <c r="D132" s="381"/>
      <c r="E132" s="381" t="s">
        <v>67</v>
      </c>
      <c r="F132" s="223" t="s">
        <v>308</v>
      </c>
      <c r="G132" s="23" t="s">
        <v>24</v>
      </c>
      <c r="H132" s="48">
        <v>18</v>
      </c>
      <c r="I132" s="203">
        <v>12</v>
      </c>
      <c r="J132" s="203">
        <v>18</v>
      </c>
      <c r="K132" s="65">
        <v>44935.58</v>
      </c>
      <c r="L132" s="224">
        <v>18</v>
      </c>
      <c r="M132" s="50">
        <f t="shared" si="9"/>
        <v>44935.58</v>
      </c>
      <c r="N132" s="65">
        <v>44935.58</v>
      </c>
      <c r="O132" s="225"/>
      <c r="P132" s="108">
        <v>30</v>
      </c>
      <c r="Q132" s="65">
        <v>114614.78</v>
      </c>
      <c r="R132" s="224">
        <v>29</v>
      </c>
      <c r="S132" s="50">
        <f t="shared" si="8"/>
        <v>112352.1</v>
      </c>
      <c r="T132" s="65">
        <v>112352.1</v>
      </c>
      <c r="U132" s="225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9"/>
      <c r="B133" s="380"/>
      <c r="C133" s="380"/>
      <c r="D133" s="380"/>
      <c r="E133" s="380"/>
      <c r="F133" s="226"/>
      <c r="G133" s="227" t="s">
        <v>28</v>
      </c>
      <c r="H133" s="116"/>
      <c r="I133" s="57"/>
      <c r="J133" s="57"/>
      <c r="K133" s="43"/>
      <c r="L133" s="44"/>
      <c r="M133" s="43">
        <f t="shared" si="9"/>
        <v>0</v>
      </c>
      <c r="N133" s="43"/>
      <c r="O133" s="41"/>
      <c r="P133" s="103"/>
      <c r="Q133" s="43"/>
      <c r="R133" s="44"/>
      <c r="S133" s="43">
        <f t="shared" si="8"/>
        <v>0</v>
      </c>
      <c r="T133" s="43"/>
      <c r="U133" s="4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2"/>
      <c r="B134" s="374" t="s">
        <v>118</v>
      </c>
      <c r="C134" s="374" t="s">
        <v>39</v>
      </c>
      <c r="D134" s="374" t="s">
        <v>309</v>
      </c>
      <c r="E134" s="374" t="s">
        <v>27</v>
      </c>
      <c r="F134" s="204" t="s">
        <v>310</v>
      </c>
      <c r="G134" s="176" t="s">
        <v>24</v>
      </c>
      <c r="H134" s="151">
        <v>13</v>
      </c>
      <c r="I134" s="62">
        <v>8</v>
      </c>
      <c r="J134" s="62">
        <v>11</v>
      </c>
      <c r="K134" s="30">
        <v>20338.259999999998</v>
      </c>
      <c r="L134" s="205">
        <v>10</v>
      </c>
      <c r="M134" s="26">
        <f t="shared" si="9"/>
        <v>20338.259999999998</v>
      </c>
      <c r="N134" s="30">
        <v>20338.259999999998</v>
      </c>
      <c r="O134" s="31"/>
      <c r="P134" s="53">
        <v>13</v>
      </c>
      <c r="Q134" s="30">
        <v>52477.24</v>
      </c>
      <c r="R134" s="205">
        <v>13</v>
      </c>
      <c r="S134" s="26">
        <f t="shared" si="8"/>
        <v>52477.24</v>
      </c>
      <c r="T134" s="30">
        <v>52477.24</v>
      </c>
      <c r="U134" s="225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3"/>
      <c r="B135" s="375"/>
      <c r="C135" s="375"/>
      <c r="D135" s="375"/>
      <c r="E135" s="375"/>
      <c r="F135" s="152"/>
      <c r="G135" s="229" t="s">
        <v>28</v>
      </c>
      <c r="H135" s="116"/>
      <c r="I135" s="38"/>
      <c r="J135" s="38"/>
      <c r="K135" s="39"/>
      <c r="L135" s="40"/>
      <c r="M135" s="39">
        <f t="shared" si="9"/>
        <v>0</v>
      </c>
      <c r="N135" s="39"/>
      <c r="O135" s="41"/>
      <c r="P135" s="59"/>
      <c r="Q135" s="39"/>
      <c r="R135" s="40"/>
      <c r="S135" s="39">
        <f t="shared" si="8"/>
        <v>0</v>
      </c>
      <c r="T135" s="39"/>
      <c r="U135" s="4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2"/>
      <c r="B136" s="374" t="s">
        <v>119</v>
      </c>
      <c r="C136" s="374" t="s">
        <v>39</v>
      </c>
      <c r="D136" s="374" t="s">
        <v>311</v>
      </c>
      <c r="E136" s="374" t="s">
        <v>121</v>
      </c>
      <c r="F136" s="232" t="s">
        <v>312</v>
      </c>
      <c r="G136" s="23" t="s">
        <v>24</v>
      </c>
      <c r="H136" s="151">
        <v>25</v>
      </c>
      <c r="I136" s="62">
        <v>16</v>
      </c>
      <c r="J136" s="62">
        <v>17</v>
      </c>
      <c r="K136" s="30">
        <v>25225.88</v>
      </c>
      <c r="L136" s="205">
        <v>16</v>
      </c>
      <c r="M136" s="26">
        <f t="shared" si="9"/>
        <v>23772.44</v>
      </c>
      <c r="N136" s="30">
        <v>23772.44</v>
      </c>
      <c r="O136" s="31"/>
      <c r="P136" s="53">
        <v>27</v>
      </c>
      <c r="Q136" s="30">
        <v>47822.16</v>
      </c>
      <c r="R136" s="205">
        <v>27</v>
      </c>
      <c r="S136" s="26">
        <f t="shared" si="8"/>
        <v>47822.16</v>
      </c>
      <c r="T136" s="30">
        <v>47822.16</v>
      </c>
      <c r="U136" s="225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3"/>
      <c r="B137" s="380"/>
      <c r="C137" s="380"/>
      <c r="D137" s="380"/>
      <c r="E137" s="380"/>
      <c r="G137" s="227" t="s">
        <v>25</v>
      </c>
      <c r="H137" s="260">
        <v>5</v>
      </c>
      <c r="I137" s="208">
        <v>3</v>
      </c>
      <c r="J137" s="208">
        <v>3</v>
      </c>
      <c r="K137" s="209">
        <v>3668.91</v>
      </c>
      <c r="L137" s="290">
        <v>3</v>
      </c>
      <c r="M137" s="209">
        <v>3668.91</v>
      </c>
      <c r="N137" s="209">
        <v>3668.91</v>
      </c>
      <c r="O137" s="263"/>
      <c r="P137" s="262">
        <v>4</v>
      </c>
      <c r="Q137" s="209">
        <v>16712.7</v>
      </c>
      <c r="R137" s="290">
        <v>4</v>
      </c>
      <c r="S137" s="209">
        <v>16712.7</v>
      </c>
      <c r="T137" s="209">
        <v>16712.7</v>
      </c>
      <c r="U137" s="212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2"/>
      <c r="B138" s="374" t="s">
        <v>464</v>
      </c>
      <c r="C138" s="374" t="s">
        <v>22</v>
      </c>
      <c r="D138" s="374"/>
      <c r="E138" s="374" t="s">
        <v>391</v>
      </c>
      <c r="F138" s="204" t="s">
        <v>465</v>
      </c>
      <c r="G138" s="176" t="s">
        <v>24</v>
      </c>
      <c r="H138" s="61"/>
      <c r="I138" s="62"/>
      <c r="J138" s="62"/>
      <c r="K138" s="30"/>
      <c r="L138" s="27"/>
      <c r="M138" s="26">
        <f t="shared" ref="M138:M153" si="10">N138+O138</f>
        <v>0</v>
      </c>
      <c r="N138" s="26"/>
      <c r="O138" s="28"/>
      <c r="P138" s="214"/>
      <c r="Q138" s="30"/>
      <c r="R138" s="205"/>
      <c r="S138" s="26">
        <f t="shared" ref="S138:S153" si="11">T138+U138</f>
        <v>0</v>
      </c>
      <c r="T138" s="30"/>
      <c r="U138" s="2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86"/>
      <c r="C139" s="375"/>
      <c r="D139" s="386"/>
      <c r="E139" s="386"/>
      <c r="F139" s="152"/>
      <c r="G139" s="229" t="s">
        <v>28</v>
      </c>
      <c r="H139" s="344"/>
      <c r="I139" s="231"/>
      <c r="J139" s="231"/>
      <c r="K139" s="91"/>
      <c r="L139" s="92"/>
      <c r="M139" s="81">
        <f t="shared" si="10"/>
        <v>0</v>
      </c>
      <c r="N139" s="93"/>
      <c r="O139" s="94"/>
      <c r="P139" s="90"/>
      <c r="Q139" s="91"/>
      <c r="R139" s="330"/>
      <c r="S139" s="81">
        <f t="shared" si="11"/>
        <v>0</v>
      </c>
      <c r="T139" s="91"/>
      <c r="U139" s="33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367</v>
      </c>
      <c r="C140" s="374"/>
      <c r="D140" s="374"/>
      <c r="E140" s="374"/>
      <c r="F140" s="204"/>
      <c r="G140" s="213" t="s">
        <v>24</v>
      </c>
      <c r="H140" s="61"/>
      <c r="I140" s="62"/>
      <c r="J140" s="62"/>
      <c r="K140" s="30"/>
      <c r="L140" s="27"/>
      <c r="M140" s="26">
        <f t="shared" si="10"/>
        <v>0</v>
      </c>
      <c r="N140" s="26"/>
      <c r="O140" s="28"/>
      <c r="P140" s="214"/>
      <c r="Q140" s="30"/>
      <c r="R140" s="205"/>
      <c r="S140" s="26">
        <f t="shared" si="11"/>
        <v>0</v>
      </c>
      <c r="T140" s="30"/>
      <c r="U140" s="2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220"/>
      <c r="G141" s="215" t="s">
        <v>28</v>
      </c>
      <c r="H141" s="117">
        <v>4</v>
      </c>
      <c r="I141" s="37"/>
      <c r="J141" s="37"/>
      <c r="K141" s="68"/>
      <c r="L141" s="40"/>
      <c r="M141" s="39">
        <f t="shared" si="10"/>
        <v>0</v>
      </c>
      <c r="N141" s="39"/>
      <c r="O141" s="41"/>
      <c r="P141" s="217"/>
      <c r="Q141" s="68"/>
      <c r="R141" s="285"/>
      <c r="S141" s="39">
        <f t="shared" si="11"/>
        <v>0</v>
      </c>
      <c r="T141" s="68"/>
      <c r="U141" s="23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6"/>
      <c r="B142" s="377" t="s">
        <v>122</v>
      </c>
      <c r="C142" s="377" t="s">
        <v>39</v>
      </c>
      <c r="D142" s="377" t="s">
        <v>123</v>
      </c>
      <c r="E142" s="377" t="s">
        <v>55</v>
      </c>
      <c r="F142" s="232" t="s">
        <v>236</v>
      </c>
      <c r="G142" s="291" t="s">
        <v>24</v>
      </c>
      <c r="H142" s="265">
        <v>22</v>
      </c>
      <c r="I142" s="266">
        <v>19</v>
      </c>
      <c r="J142" s="266">
        <v>28</v>
      </c>
      <c r="K142" s="79">
        <v>56314.54</v>
      </c>
      <c r="L142" s="268">
        <v>27</v>
      </c>
      <c r="M142" s="81">
        <f t="shared" si="10"/>
        <v>52653.62</v>
      </c>
      <c r="N142" s="79">
        <v>52653.62</v>
      </c>
      <c r="O142" s="269"/>
      <c r="P142" s="267">
        <v>19</v>
      </c>
      <c r="Q142" s="79">
        <v>80617.679999999993</v>
      </c>
      <c r="R142" s="268">
        <v>17</v>
      </c>
      <c r="S142" s="81">
        <f t="shared" si="11"/>
        <v>78992.92</v>
      </c>
      <c r="T142" s="79">
        <v>78992.92</v>
      </c>
      <c r="U142" s="269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3"/>
      <c r="B143" s="375"/>
      <c r="C143" s="375"/>
      <c r="D143" s="375"/>
      <c r="E143" s="375"/>
      <c r="F143" s="34"/>
      <c r="G143" s="229" t="s">
        <v>25</v>
      </c>
      <c r="H143" s="116"/>
      <c r="I143" s="38"/>
      <c r="J143" s="38"/>
      <c r="K143" s="39"/>
      <c r="L143" s="40"/>
      <c r="M143" s="39">
        <f t="shared" si="10"/>
        <v>0</v>
      </c>
      <c r="N143" s="39"/>
      <c r="O143" s="41"/>
      <c r="P143" s="59"/>
      <c r="Q143" s="39"/>
      <c r="R143" s="40"/>
      <c r="S143" s="39">
        <f t="shared" si="11"/>
        <v>0</v>
      </c>
      <c r="T143" s="39"/>
      <c r="U143" s="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6"/>
      <c r="B144" s="377" t="s">
        <v>124</v>
      </c>
      <c r="C144" s="377" t="s">
        <v>39</v>
      </c>
      <c r="D144" s="377" t="s">
        <v>314</v>
      </c>
      <c r="E144" s="377" t="s">
        <v>27</v>
      </c>
      <c r="F144" s="232" t="s">
        <v>237</v>
      </c>
      <c r="G144" s="23" t="s">
        <v>24</v>
      </c>
      <c r="H144" s="48">
        <v>18</v>
      </c>
      <c r="I144" s="203">
        <v>13</v>
      </c>
      <c r="J144" s="203">
        <v>16</v>
      </c>
      <c r="K144" s="65">
        <v>36210.6</v>
      </c>
      <c r="L144" s="224">
        <v>15</v>
      </c>
      <c r="M144" s="50">
        <f t="shared" si="10"/>
        <v>36210.6</v>
      </c>
      <c r="N144" s="65">
        <v>36210.6</v>
      </c>
      <c r="O144" s="225"/>
      <c r="P144" s="108">
        <v>56</v>
      </c>
      <c r="Q144" s="65">
        <v>335574.55</v>
      </c>
      <c r="R144" s="224">
        <v>56</v>
      </c>
      <c r="S144" s="50">
        <f t="shared" si="11"/>
        <v>335574.55</v>
      </c>
      <c r="T144" s="65">
        <v>335574.55</v>
      </c>
      <c r="U144" s="225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87"/>
      <c r="B145" s="386"/>
      <c r="C145" s="386"/>
      <c r="D145" s="386"/>
      <c r="E145" s="386"/>
      <c r="F145" s="135"/>
      <c r="G145" s="154" t="s">
        <v>25</v>
      </c>
      <c r="H145" s="98"/>
      <c r="I145" s="155"/>
      <c r="J145" s="155"/>
      <c r="K145" s="239" t="s">
        <v>43</v>
      </c>
      <c r="L145" s="128"/>
      <c r="M145" s="129">
        <f t="shared" si="10"/>
        <v>0</v>
      </c>
      <c r="N145" s="129"/>
      <c r="O145" s="45"/>
      <c r="P145" s="156"/>
      <c r="Q145" s="129"/>
      <c r="R145" s="128"/>
      <c r="S145" s="129">
        <f t="shared" si="11"/>
        <v>0</v>
      </c>
      <c r="T145" s="129"/>
      <c r="U145" s="4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9"/>
      <c r="B146" s="380"/>
      <c r="C146" s="380"/>
      <c r="D146" s="380"/>
      <c r="E146" s="380"/>
      <c r="F146" s="34"/>
      <c r="G146" s="55" t="s">
        <v>28</v>
      </c>
      <c r="H146" s="111"/>
      <c r="I146" s="57"/>
      <c r="J146" s="57"/>
      <c r="K146" s="43"/>
      <c r="L146" s="44"/>
      <c r="M146" s="43">
        <f t="shared" si="10"/>
        <v>0</v>
      </c>
      <c r="N146" s="43"/>
      <c r="O146" s="41"/>
      <c r="P146" s="113">
        <v>3</v>
      </c>
      <c r="Q146" s="114">
        <v>8317.5</v>
      </c>
      <c r="R146" s="270">
        <v>4</v>
      </c>
      <c r="S146" s="43">
        <f t="shared" si="11"/>
        <v>10625.699999999999</v>
      </c>
      <c r="T146" s="114">
        <f>2305.2+4226.2+2689.4+1404.9</f>
        <v>10625.699999999999</v>
      </c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126</v>
      </c>
      <c r="C147" s="374" t="s">
        <v>22</v>
      </c>
      <c r="D147" s="378"/>
      <c r="E147" s="374" t="s">
        <v>65</v>
      </c>
      <c r="F147" s="232" t="s">
        <v>443</v>
      </c>
      <c r="G147" s="23" t="s">
        <v>24</v>
      </c>
      <c r="H147" s="151">
        <v>5</v>
      </c>
      <c r="I147" s="62">
        <v>1</v>
      </c>
      <c r="J147" s="62">
        <v>1</v>
      </c>
      <c r="K147" s="30">
        <v>384.2</v>
      </c>
      <c r="L147" s="205">
        <v>1</v>
      </c>
      <c r="M147" s="26">
        <f t="shared" si="10"/>
        <v>384.2</v>
      </c>
      <c r="N147" s="30">
        <v>384.2</v>
      </c>
      <c r="O147" s="225"/>
      <c r="P147" s="53">
        <v>15</v>
      </c>
      <c r="Q147" s="30">
        <v>10414.84</v>
      </c>
      <c r="R147" s="205">
        <v>4</v>
      </c>
      <c r="S147" s="26">
        <f t="shared" si="11"/>
        <v>10414.84</v>
      </c>
      <c r="T147" s="30">
        <v>10414.84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54" t="s">
        <v>316</v>
      </c>
      <c r="G148" s="35" t="s">
        <v>28</v>
      </c>
      <c r="H148" s="153">
        <v>6</v>
      </c>
      <c r="I148" s="37">
        <v>3</v>
      </c>
      <c r="J148" s="37">
        <v>3</v>
      </c>
      <c r="K148" s="68">
        <v>3710.1</v>
      </c>
      <c r="L148" s="285">
        <v>3</v>
      </c>
      <c r="M148" s="39">
        <f t="shared" si="10"/>
        <v>3710.1</v>
      </c>
      <c r="N148" s="39">
        <f>2305.2+1404.9</f>
        <v>3710.1</v>
      </c>
      <c r="O148" s="41"/>
      <c r="P148" s="115">
        <v>3</v>
      </c>
      <c r="Q148" s="68">
        <v>7062.2</v>
      </c>
      <c r="R148" s="285">
        <v>3</v>
      </c>
      <c r="S148" s="39">
        <f t="shared" si="11"/>
        <v>7418.45</v>
      </c>
      <c r="T148" s="39">
        <f>1056.55+1344.4+5017.5</f>
        <v>7418.45</v>
      </c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82"/>
      <c r="B149" s="381" t="s">
        <v>127</v>
      </c>
      <c r="C149" s="381" t="s">
        <v>22</v>
      </c>
      <c r="D149" s="381"/>
      <c r="E149" s="381" t="s">
        <v>67</v>
      </c>
      <c r="F149" s="223" t="s">
        <v>368</v>
      </c>
      <c r="G149" s="47" t="s">
        <v>24</v>
      </c>
      <c r="H149" s="48">
        <v>11</v>
      </c>
      <c r="I149" s="203">
        <v>10</v>
      </c>
      <c r="J149" s="203">
        <v>14</v>
      </c>
      <c r="K149" s="65">
        <v>28292.01</v>
      </c>
      <c r="L149" s="224">
        <v>10</v>
      </c>
      <c r="M149" s="50">
        <f t="shared" si="10"/>
        <v>19226.240000000002</v>
      </c>
      <c r="N149" s="65">
        <v>19226.240000000002</v>
      </c>
      <c r="O149" s="225"/>
      <c r="P149" s="108">
        <v>8</v>
      </c>
      <c r="Q149" s="65">
        <v>29582.03</v>
      </c>
      <c r="R149" s="224">
        <v>8</v>
      </c>
      <c r="S149" s="50">
        <f t="shared" si="11"/>
        <v>29582.03</v>
      </c>
      <c r="T149" s="65">
        <v>29582.03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33" t="s">
        <v>317</v>
      </c>
      <c r="G150" s="227" t="s">
        <v>28</v>
      </c>
      <c r="H150" s="153">
        <v>7</v>
      </c>
      <c r="I150" s="37">
        <v>4</v>
      </c>
      <c r="J150" s="37">
        <v>4</v>
      </c>
      <c r="K150" s="68">
        <v>5174.6000000000004</v>
      </c>
      <c r="L150" s="285">
        <v>4</v>
      </c>
      <c r="M150" s="39">
        <f t="shared" si="10"/>
        <v>5220.5999999999995</v>
      </c>
      <c r="N150" s="39">
        <f>1578.8+1152.6+1152.6+1336.6</f>
        <v>5220.5999999999995</v>
      </c>
      <c r="O150" s="41"/>
      <c r="P150" s="115">
        <v>3</v>
      </c>
      <c r="Q150" s="68">
        <v>17095</v>
      </c>
      <c r="R150" s="285">
        <v>3</v>
      </c>
      <c r="S150" s="39">
        <f t="shared" si="11"/>
        <v>17095</v>
      </c>
      <c r="T150" s="39">
        <f>4034.1+11053.9+2007</f>
        <v>17095</v>
      </c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128</v>
      </c>
      <c r="C151" s="374" t="s">
        <v>39</v>
      </c>
      <c r="D151" s="374" t="s">
        <v>129</v>
      </c>
      <c r="E151" s="374" t="s">
        <v>121</v>
      </c>
      <c r="F151" s="60"/>
      <c r="G151" s="176" t="s">
        <v>24</v>
      </c>
      <c r="H151" s="107"/>
      <c r="I151" s="49"/>
      <c r="J151" s="127"/>
      <c r="K151" s="50"/>
      <c r="L151" s="51"/>
      <c r="M151" s="50">
        <f t="shared" si="10"/>
        <v>0</v>
      </c>
      <c r="N151" s="50"/>
      <c r="O151" s="31"/>
      <c r="P151" s="108"/>
      <c r="Q151" s="65"/>
      <c r="R151" s="51"/>
      <c r="S151" s="50">
        <f t="shared" si="11"/>
        <v>0</v>
      </c>
      <c r="T151" s="50"/>
      <c r="U151" s="3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229" t="s">
        <v>25</v>
      </c>
      <c r="H152" s="153">
        <v>1</v>
      </c>
      <c r="I152" s="57"/>
      <c r="J152" s="57"/>
      <c r="K152" s="43"/>
      <c r="L152" s="44"/>
      <c r="M152" s="43">
        <f t="shared" si="10"/>
        <v>0</v>
      </c>
      <c r="N152" s="43"/>
      <c r="O152" s="41"/>
      <c r="P152" s="103"/>
      <c r="Q152" s="43"/>
      <c r="R152" s="44"/>
      <c r="S152" s="43">
        <f t="shared" si="11"/>
        <v>0</v>
      </c>
      <c r="T152" s="43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2"/>
      <c r="B153" s="374" t="s">
        <v>130</v>
      </c>
      <c r="C153" s="374" t="s">
        <v>22</v>
      </c>
      <c r="D153" s="374"/>
      <c r="E153" s="374" t="s">
        <v>131</v>
      </c>
      <c r="F153" s="232" t="s">
        <v>411</v>
      </c>
      <c r="G153" s="176" t="s">
        <v>24</v>
      </c>
      <c r="H153" s="48">
        <v>10</v>
      </c>
      <c r="I153" s="62">
        <v>6</v>
      </c>
      <c r="J153" s="62">
        <v>6</v>
      </c>
      <c r="K153" s="30">
        <v>9104.94</v>
      </c>
      <c r="L153" s="205">
        <v>6</v>
      </c>
      <c r="M153" s="26">
        <f t="shared" si="10"/>
        <v>9104.94</v>
      </c>
      <c r="N153" s="30">
        <v>9104.94</v>
      </c>
      <c r="O153" s="31"/>
      <c r="P153" s="53">
        <v>4</v>
      </c>
      <c r="Q153" s="30">
        <v>22885.21</v>
      </c>
      <c r="R153" s="205">
        <v>4</v>
      </c>
      <c r="S153" s="26">
        <f t="shared" si="11"/>
        <v>22885.21</v>
      </c>
      <c r="T153" s="30">
        <v>22885.21</v>
      </c>
      <c r="U153" s="225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34"/>
      <c r="G154" s="229" t="s">
        <v>25</v>
      </c>
      <c r="H154" s="112">
        <v>7</v>
      </c>
      <c r="I154" s="130">
        <v>5</v>
      </c>
      <c r="J154" s="130">
        <v>5</v>
      </c>
      <c r="K154" s="114">
        <v>7800.08</v>
      </c>
      <c r="L154" s="270">
        <v>4</v>
      </c>
      <c r="M154" s="114">
        <v>3986.78</v>
      </c>
      <c r="N154" s="114">
        <v>3986.78</v>
      </c>
      <c r="O154" s="234"/>
      <c r="P154" s="113">
        <v>3</v>
      </c>
      <c r="Q154" s="114">
        <v>7539.8</v>
      </c>
      <c r="R154" s="270">
        <v>3</v>
      </c>
      <c r="S154" s="114">
        <v>7539.8</v>
      </c>
      <c r="T154" s="114">
        <v>7539.8</v>
      </c>
      <c r="U154" s="4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132</v>
      </c>
      <c r="C155" s="374" t="s">
        <v>39</v>
      </c>
      <c r="D155" s="374" t="s">
        <v>238</v>
      </c>
      <c r="E155" s="377" t="s">
        <v>136</v>
      </c>
      <c r="F155" s="232" t="s">
        <v>239</v>
      </c>
      <c r="G155" s="23" t="s">
        <v>24</v>
      </c>
      <c r="H155" s="61">
        <v>12</v>
      </c>
      <c r="I155" s="62">
        <v>8</v>
      </c>
      <c r="J155" s="62">
        <v>11</v>
      </c>
      <c r="K155" s="30">
        <v>15812.22</v>
      </c>
      <c r="L155" s="205">
        <v>11</v>
      </c>
      <c r="M155" s="26">
        <f t="shared" ref="M155:M226" si="12">N155+O155</f>
        <v>15812.22</v>
      </c>
      <c r="N155" s="30">
        <v>15812.22</v>
      </c>
      <c r="O155" s="225"/>
      <c r="P155" s="53">
        <v>12</v>
      </c>
      <c r="Q155" s="30">
        <v>49378.37</v>
      </c>
      <c r="R155" s="205">
        <v>12</v>
      </c>
      <c r="S155" s="26">
        <f t="shared" ref="S155:S187" si="13">T155+U155</f>
        <v>49378.37</v>
      </c>
      <c r="T155" s="30">
        <v>49378.37</v>
      </c>
      <c r="U155" s="225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7"/>
      <c r="B156" s="386"/>
      <c r="C156" s="386"/>
      <c r="D156" s="386"/>
      <c r="E156" s="386"/>
      <c r="F156" s="237" t="s">
        <v>240</v>
      </c>
      <c r="G156" s="154" t="s">
        <v>28</v>
      </c>
      <c r="H156" s="112">
        <v>13</v>
      </c>
      <c r="I156" s="271">
        <v>7</v>
      </c>
      <c r="J156" s="271">
        <v>7</v>
      </c>
      <c r="K156" s="239">
        <v>13627.6</v>
      </c>
      <c r="L156" s="316">
        <v>7</v>
      </c>
      <c r="M156" s="129">
        <f t="shared" si="12"/>
        <v>13627.599999999999</v>
      </c>
      <c r="N156" s="129">
        <f>1728.9+2305.2+576.3+4802.5+1404.9+1404.9+1404.9</f>
        <v>13627.599999999999</v>
      </c>
      <c r="O156" s="45"/>
      <c r="P156" s="238">
        <v>7</v>
      </c>
      <c r="Q156" s="239">
        <v>11775.73</v>
      </c>
      <c r="R156" s="316">
        <v>8</v>
      </c>
      <c r="S156" s="129">
        <f t="shared" si="13"/>
        <v>12985.960000000001</v>
      </c>
      <c r="T156" s="239">
        <f>288.15+6934.81+3073.6+1344.7+1344.7</f>
        <v>12985.960000000001</v>
      </c>
      <c r="U156" s="4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105"/>
      <c r="G157" s="55" t="s">
        <v>25</v>
      </c>
      <c r="H157" s="131"/>
      <c r="I157" s="57"/>
      <c r="J157" s="57"/>
      <c r="K157" s="43"/>
      <c r="L157" s="44"/>
      <c r="M157" s="43">
        <f t="shared" si="12"/>
        <v>0</v>
      </c>
      <c r="N157" s="43"/>
      <c r="O157" s="41"/>
      <c r="P157" s="103"/>
      <c r="Q157" s="43"/>
      <c r="R157" s="44"/>
      <c r="S157" s="43">
        <f t="shared" si="13"/>
        <v>0</v>
      </c>
      <c r="T157" s="43"/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133</v>
      </c>
      <c r="C158" s="374" t="s">
        <v>39</v>
      </c>
      <c r="D158" s="374" t="s">
        <v>448</v>
      </c>
      <c r="E158" s="381" t="s">
        <v>23</v>
      </c>
      <c r="F158" s="232" t="s">
        <v>449</v>
      </c>
      <c r="G158" s="23" t="s">
        <v>24</v>
      </c>
      <c r="H158" s="61">
        <v>10</v>
      </c>
      <c r="I158" s="62">
        <v>6</v>
      </c>
      <c r="J158" s="62">
        <v>6</v>
      </c>
      <c r="K158" s="30">
        <v>16306.8</v>
      </c>
      <c r="L158" s="205">
        <v>6</v>
      </c>
      <c r="M158" s="26">
        <f t="shared" si="12"/>
        <v>16306.8</v>
      </c>
      <c r="N158" s="30">
        <v>16306.8</v>
      </c>
      <c r="O158" s="31"/>
      <c r="P158" s="53">
        <v>1</v>
      </c>
      <c r="Q158" s="30">
        <v>1415.78</v>
      </c>
      <c r="R158" s="205">
        <v>1</v>
      </c>
      <c r="S158" s="26">
        <f t="shared" si="13"/>
        <v>1415.78</v>
      </c>
      <c r="T158" s="30">
        <v>1415.78</v>
      </c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34"/>
      <c r="G159" s="35" t="s">
        <v>25</v>
      </c>
      <c r="H159" s="106"/>
      <c r="I159" s="38"/>
      <c r="J159" s="38"/>
      <c r="K159" s="39"/>
      <c r="L159" s="40"/>
      <c r="M159" s="39">
        <f t="shared" si="12"/>
        <v>0</v>
      </c>
      <c r="N159" s="39"/>
      <c r="O159" s="41"/>
      <c r="P159" s="59"/>
      <c r="Q159" s="39"/>
      <c r="R159" s="40"/>
      <c r="S159" s="39">
        <f t="shared" si="13"/>
        <v>0</v>
      </c>
      <c r="T159" s="39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134</v>
      </c>
      <c r="C160" s="374" t="s">
        <v>39</v>
      </c>
      <c r="D160" s="374" t="s">
        <v>280</v>
      </c>
      <c r="E160" s="374" t="s">
        <v>136</v>
      </c>
      <c r="F160" s="204" t="s">
        <v>282</v>
      </c>
      <c r="G160" s="176" t="s">
        <v>24</v>
      </c>
      <c r="H160" s="48">
        <v>12</v>
      </c>
      <c r="I160" s="203">
        <v>9</v>
      </c>
      <c r="J160" s="203">
        <v>9</v>
      </c>
      <c r="K160" s="65">
        <v>11430.48</v>
      </c>
      <c r="L160" s="224">
        <v>9</v>
      </c>
      <c r="M160" s="50">
        <f t="shared" si="12"/>
        <v>11430.48</v>
      </c>
      <c r="N160" s="65">
        <v>11430.48</v>
      </c>
      <c r="O160" s="225"/>
      <c r="P160" s="108">
        <v>6</v>
      </c>
      <c r="Q160" s="65">
        <v>33605.230000000003</v>
      </c>
      <c r="R160" s="224">
        <v>6</v>
      </c>
      <c r="S160" s="50">
        <f t="shared" si="13"/>
        <v>33605.230000000003</v>
      </c>
      <c r="T160" s="65">
        <v>33605.230000000003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7"/>
      <c r="B161" s="386"/>
      <c r="C161" s="386"/>
      <c r="D161" s="386"/>
      <c r="E161" s="386"/>
      <c r="F161" s="235" t="s">
        <v>321</v>
      </c>
      <c r="G161" s="252" t="s">
        <v>28</v>
      </c>
      <c r="H161" s="151">
        <v>10</v>
      </c>
      <c r="I161" s="246">
        <v>4</v>
      </c>
      <c r="J161" s="246">
        <v>4</v>
      </c>
      <c r="K161" s="158">
        <v>8842.2999999999993</v>
      </c>
      <c r="L161" s="317">
        <v>4</v>
      </c>
      <c r="M161" s="142">
        <f t="shared" si="12"/>
        <v>8842.2999999999993</v>
      </c>
      <c r="N161" s="142">
        <f>1921+2305.2+1404.9+3211.2</f>
        <v>8842.2999999999993</v>
      </c>
      <c r="O161" s="45"/>
      <c r="P161" s="157">
        <v>4</v>
      </c>
      <c r="Q161" s="158">
        <v>8625.2900000000009</v>
      </c>
      <c r="R161" s="224">
        <v>5</v>
      </c>
      <c r="S161" s="50">
        <f t="shared" si="13"/>
        <v>9681.84</v>
      </c>
      <c r="T161" s="158">
        <f>6224.04+3457.8</f>
        <v>9681.84</v>
      </c>
      <c r="U161" s="4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229" t="s">
        <v>25</v>
      </c>
      <c r="H162" s="118"/>
      <c r="I162" s="57"/>
      <c r="J162" s="57"/>
      <c r="K162" s="43"/>
      <c r="L162" s="44"/>
      <c r="M162" s="43">
        <f t="shared" si="12"/>
        <v>0</v>
      </c>
      <c r="N162" s="43"/>
      <c r="O162" s="41"/>
      <c r="P162" s="103"/>
      <c r="Q162" s="43"/>
      <c r="R162" s="44"/>
      <c r="S162" s="43">
        <f t="shared" si="13"/>
        <v>0</v>
      </c>
      <c r="T162" s="43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137</v>
      </c>
      <c r="C163" s="377" t="s">
        <v>39</v>
      </c>
      <c r="D163" s="374" t="s">
        <v>322</v>
      </c>
      <c r="E163" s="377" t="s">
        <v>27</v>
      </c>
      <c r="F163" s="232" t="s">
        <v>323</v>
      </c>
      <c r="G163" s="23" t="s">
        <v>24</v>
      </c>
      <c r="H163" s="24">
        <v>15</v>
      </c>
      <c r="I163" s="62">
        <v>7</v>
      </c>
      <c r="J163" s="62">
        <v>9</v>
      </c>
      <c r="K163" s="30">
        <v>19251.14</v>
      </c>
      <c r="L163" s="205">
        <v>8</v>
      </c>
      <c r="M163" s="26">
        <f t="shared" si="12"/>
        <v>15213.58</v>
      </c>
      <c r="N163" s="30">
        <v>15213.58</v>
      </c>
      <c r="O163" s="31"/>
      <c r="P163" s="53">
        <v>2</v>
      </c>
      <c r="Q163" s="30">
        <v>3779.47</v>
      </c>
      <c r="R163" s="205">
        <v>2</v>
      </c>
      <c r="S163" s="26">
        <f t="shared" si="13"/>
        <v>3779.47</v>
      </c>
      <c r="T163" s="30">
        <v>3779.47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80"/>
      <c r="F164" s="220" t="s">
        <v>241</v>
      </c>
      <c r="G164" s="35" t="s">
        <v>28</v>
      </c>
      <c r="H164" s="66">
        <v>8</v>
      </c>
      <c r="I164" s="37">
        <v>4</v>
      </c>
      <c r="J164" s="37">
        <v>4</v>
      </c>
      <c r="K164" s="68">
        <v>5042.7</v>
      </c>
      <c r="L164" s="285">
        <v>5</v>
      </c>
      <c r="M164" s="39">
        <f t="shared" si="12"/>
        <v>5042.7000000000007</v>
      </c>
      <c r="N164" s="39">
        <f>576.3+1716.8+1344.7+1404.9</f>
        <v>5042.7000000000007</v>
      </c>
      <c r="O164" s="41"/>
      <c r="P164" s="115">
        <v>2</v>
      </c>
      <c r="Q164" s="68">
        <v>3265.7</v>
      </c>
      <c r="R164" s="285">
        <v>2</v>
      </c>
      <c r="S164" s="39">
        <f t="shared" si="13"/>
        <v>6957.96</v>
      </c>
      <c r="T164" s="39">
        <f>1921+1344.7+3692.26</f>
        <v>6957.96</v>
      </c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138</v>
      </c>
      <c r="C165" s="374" t="s">
        <v>22</v>
      </c>
      <c r="D165" s="374"/>
      <c r="E165" s="374" t="s">
        <v>27</v>
      </c>
      <c r="F165" s="204" t="s">
        <v>324</v>
      </c>
      <c r="G165" s="176" t="s">
        <v>24</v>
      </c>
      <c r="H165" s="151">
        <v>9</v>
      </c>
      <c r="I165" s="203">
        <v>7</v>
      </c>
      <c r="J165" s="203">
        <v>8</v>
      </c>
      <c r="K165" s="65">
        <v>14390.37</v>
      </c>
      <c r="L165" s="224">
        <v>6</v>
      </c>
      <c r="M165" s="50">
        <f t="shared" si="12"/>
        <v>13186.17</v>
      </c>
      <c r="N165" s="65">
        <v>13186.17</v>
      </c>
      <c r="O165" s="31"/>
      <c r="P165" s="108">
        <v>9</v>
      </c>
      <c r="Q165" s="65">
        <v>21231.99</v>
      </c>
      <c r="R165" s="224">
        <v>8</v>
      </c>
      <c r="S165" s="50">
        <f t="shared" si="13"/>
        <v>16335.71</v>
      </c>
      <c r="T165" s="65">
        <v>16335.71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220" t="s">
        <v>242</v>
      </c>
      <c r="G166" s="229" t="s">
        <v>28</v>
      </c>
      <c r="H166" s="133">
        <v>6</v>
      </c>
      <c r="I166" s="130">
        <v>5</v>
      </c>
      <c r="J166" s="130">
        <v>5</v>
      </c>
      <c r="K166" s="114">
        <v>18356.64</v>
      </c>
      <c r="L166" s="270">
        <v>5</v>
      </c>
      <c r="M166" s="43">
        <f t="shared" si="12"/>
        <v>8836.6</v>
      </c>
      <c r="N166" s="43">
        <f>3880.42+1344.7+1921+1690.48</f>
        <v>8836.6</v>
      </c>
      <c r="O166" s="41"/>
      <c r="P166" s="113">
        <v>5</v>
      </c>
      <c r="Q166" s="114">
        <v>11814.15</v>
      </c>
      <c r="R166" s="270">
        <v>4</v>
      </c>
      <c r="S166" s="43">
        <f t="shared" si="13"/>
        <v>9893.15</v>
      </c>
      <c r="T166" s="114">
        <f>4802.5+2401.25+2689.4</f>
        <v>9893.15</v>
      </c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139</v>
      </c>
      <c r="C167" s="374" t="s">
        <v>22</v>
      </c>
      <c r="D167" s="374"/>
      <c r="E167" s="374" t="s">
        <v>67</v>
      </c>
      <c r="F167" s="232" t="s">
        <v>325</v>
      </c>
      <c r="G167" s="23" t="s">
        <v>24</v>
      </c>
      <c r="H167" s="151">
        <v>6</v>
      </c>
      <c r="I167" s="62">
        <v>6</v>
      </c>
      <c r="J167" s="62">
        <v>7</v>
      </c>
      <c r="K167" s="30">
        <v>14388.8</v>
      </c>
      <c r="L167" s="205">
        <v>6</v>
      </c>
      <c r="M167" s="26">
        <f t="shared" si="12"/>
        <v>13798.74</v>
      </c>
      <c r="N167" s="30">
        <v>13798.74</v>
      </c>
      <c r="O167" s="225"/>
      <c r="P167" s="53">
        <v>15</v>
      </c>
      <c r="Q167" s="30">
        <v>52937.79</v>
      </c>
      <c r="R167" s="205">
        <v>15</v>
      </c>
      <c r="S167" s="26">
        <f t="shared" si="13"/>
        <v>52937.79</v>
      </c>
      <c r="T167" s="30">
        <v>52937.79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233" t="s">
        <v>326</v>
      </c>
      <c r="G168" s="227" t="s">
        <v>28</v>
      </c>
      <c r="H168" s="112">
        <v>6</v>
      </c>
      <c r="I168" s="130">
        <v>3</v>
      </c>
      <c r="J168" s="130">
        <v>3</v>
      </c>
      <c r="K168" s="114">
        <v>4835.3999999999996</v>
      </c>
      <c r="L168" s="270">
        <v>4</v>
      </c>
      <c r="M168" s="43">
        <f t="shared" si="12"/>
        <v>8335.2999999999993</v>
      </c>
      <c r="N168" s="43">
        <f>1728.9+602.1+2504.4+3499.9</f>
        <v>8335.2999999999993</v>
      </c>
      <c r="O168" s="45"/>
      <c r="P168" s="113">
        <v>4</v>
      </c>
      <c r="Q168" s="114">
        <v>9785.2000000000007</v>
      </c>
      <c r="R168" s="270">
        <v>6</v>
      </c>
      <c r="S168" s="43">
        <f t="shared" si="13"/>
        <v>16062.800000000001</v>
      </c>
      <c r="T168" s="114">
        <f>6269.7+3984+2305.2+3503.9</f>
        <v>16062.800000000001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2"/>
      <c r="B169" s="374" t="s">
        <v>140</v>
      </c>
      <c r="C169" s="374" t="s">
        <v>39</v>
      </c>
      <c r="D169" s="374" t="s">
        <v>369</v>
      </c>
      <c r="E169" s="374" t="s">
        <v>27</v>
      </c>
      <c r="F169" s="204" t="s">
        <v>370</v>
      </c>
      <c r="G169" s="176" t="s">
        <v>24</v>
      </c>
      <c r="H169" s="24">
        <v>14</v>
      </c>
      <c r="I169" s="62">
        <v>10</v>
      </c>
      <c r="J169" s="62">
        <v>11</v>
      </c>
      <c r="K169" s="30">
        <v>24333.17</v>
      </c>
      <c r="L169" s="205">
        <v>10</v>
      </c>
      <c r="M169" s="26">
        <f t="shared" si="12"/>
        <v>23339.7</v>
      </c>
      <c r="N169" s="30">
        <v>23339.7</v>
      </c>
      <c r="O169" s="159"/>
      <c r="P169" s="53">
        <v>4</v>
      </c>
      <c r="Q169" s="30">
        <v>31835.37</v>
      </c>
      <c r="R169" s="205">
        <v>4</v>
      </c>
      <c r="S169" s="26">
        <f t="shared" si="13"/>
        <v>31835.37</v>
      </c>
      <c r="T169" s="30">
        <v>31835.37</v>
      </c>
      <c r="U169" s="2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3"/>
      <c r="B170" s="375"/>
      <c r="C170" s="375"/>
      <c r="D170" s="375"/>
      <c r="E170" s="375"/>
      <c r="F170" s="233" t="s">
        <v>243</v>
      </c>
      <c r="G170" s="282" t="s">
        <v>28</v>
      </c>
      <c r="H170" s="207">
        <v>6</v>
      </c>
      <c r="I170" s="208">
        <v>1</v>
      </c>
      <c r="J170" s="208">
        <v>1</v>
      </c>
      <c r="K170" s="209">
        <v>1728</v>
      </c>
      <c r="L170" s="210"/>
      <c r="M170" s="211">
        <f t="shared" si="12"/>
        <v>1728.9</v>
      </c>
      <c r="N170" s="211">
        <f>1728.9</f>
        <v>1728.9</v>
      </c>
      <c r="O170" s="274"/>
      <c r="P170" s="262">
        <v>3</v>
      </c>
      <c r="Q170" s="209">
        <v>5494.06</v>
      </c>
      <c r="R170" s="290">
        <v>6</v>
      </c>
      <c r="S170" s="211">
        <f t="shared" si="13"/>
        <v>14023.3</v>
      </c>
      <c r="T170" s="211">
        <f>4034.1+3073.6+5071.44+1267.86+576.3</f>
        <v>14023.3</v>
      </c>
      <c r="U170" s="212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413</v>
      </c>
      <c r="C171" s="374" t="s">
        <v>22</v>
      </c>
      <c r="D171" s="374"/>
      <c r="E171" s="374" t="s">
        <v>391</v>
      </c>
      <c r="F171" s="204" t="s">
        <v>414</v>
      </c>
      <c r="G171" s="176" t="s">
        <v>24</v>
      </c>
      <c r="H171" s="24">
        <v>4</v>
      </c>
      <c r="I171" s="62">
        <v>4</v>
      </c>
      <c r="J171" s="62">
        <v>7</v>
      </c>
      <c r="K171" s="30">
        <v>18567.810000000001</v>
      </c>
      <c r="L171" s="205">
        <v>6</v>
      </c>
      <c r="M171" s="26">
        <f t="shared" si="12"/>
        <v>18005.849999999999</v>
      </c>
      <c r="N171" s="30">
        <v>18005.849999999999</v>
      </c>
      <c r="O171" s="28"/>
      <c r="P171" s="214"/>
      <c r="Q171" s="30"/>
      <c r="R171" s="205"/>
      <c r="S171" s="26">
        <f t="shared" si="13"/>
        <v>0</v>
      </c>
      <c r="T171" s="30"/>
      <c r="U171" s="2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220"/>
      <c r="G172" s="229" t="s">
        <v>28</v>
      </c>
      <c r="H172" s="66"/>
      <c r="I172" s="38"/>
      <c r="J172" s="38"/>
      <c r="K172" s="39"/>
      <c r="L172" s="40"/>
      <c r="M172" s="39">
        <f t="shared" si="12"/>
        <v>0</v>
      </c>
      <c r="N172" s="39"/>
      <c r="O172" s="41"/>
      <c r="P172" s="217"/>
      <c r="Q172" s="68"/>
      <c r="R172" s="285"/>
      <c r="S172" s="39">
        <f t="shared" si="13"/>
        <v>0</v>
      </c>
      <c r="T172" s="68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141</v>
      </c>
      <c r="C173" s="374" t="s">
        <v>39</v>
      </c>
      <c r="D173" s="374" t="s">
        <v>371</v>
      </c>
      <c r="E173" s="374" t="s">
        <v>27</v>
      </c>
      <c r="F173" s="204" t="s">
        <v>372</v>
      </c>
      <c r="G173" s="176" t="s">
        <v>24</v>
      </c>
      <c r="H173" s="281">
        <v>8</v>
      </c>
      <c r="I173" s="266">
        <v>5</v>
      </c>
      <c r="J173" s="266">
        <v>5</v>
      </c>
      <c r="K173" s="79">
        <v>11395.47</v>
      </c>
      <c r="L173" s="268">
        <v>5</v>
      </c>
      <c r="M173" s="81">
        <f t="shared" si="12"/>
        <v>11395.47</v>
      </c>
      <c r="N173" s="79">
        <v>11395.47</v>
      </c>
      <c r="O173" s="219"/>
      <c r="P173" s="267">
        <v>3</v>
      </c>
      <c r="Q173" s="79">
        <v>16223.5</v>
      </c>
      <c r="R173" s="268">
        <v>3</v>
      </c>
      <c r="S173" s="81">
        <f t="shared" si="13"/>
        <v>16223.5</v>
      </c>
      <c r="T173" s="79">
        <v>16223.5</v>
      </c>
      <c r="U173" s="219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34"/>
      <c r="G174" s="229" t="s">
        <v>28</v>
      </c>
      <c r="H174" s="118"/>
      <c r="I174" s="57"/>
      <c r="J174" s="57"/>
      <c r="K174" s="43"/>
      <c r="L174" s="44"/>
      <c r="M174" s="43">
        <f t="shared" si="12"/>
        <v>0</v>
      </c>
      <c r="N174" s="43"/>
      <c r="O174" s="45"/>
      <c r="P174" s="103"/>
      <c r="Q174" s="43"/>
      <c r="R174" s="44"/>
      <c r="S174" s="43">
        <f t="shared" si="13"/>
        <v>0</v>
      </c>
      <c r="T174" s="43"/>
      <c r="U174" s="4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2"/>
      <c r="B175" s="374" t="s">
        <v>142</v>
      </c>
      <c r="C175" s="374" t="s">
        <v>39</v>
      </c>
      <c r="D175" s="374" t="s">
        <v>415</v>
      </c>
      <c r="E175" s="374" t="s">
        <v>27</v>
      </c>
      <c r="F175" s="232" t="s">
        <v>416</v>
      </c>
      <c r="G175" s="23" t="s">
        <v>24</v>
      </c>
      <c r="H175" s="24">
        <v>4</v>
      </c>
      <c r="I175" s="62">
        <v>2</v>
      </c>
      <c r="J175" s="62">
        <v>2</v>
      </c>
      <c r="K175" s="30">
        <v>524.91</v>
      </c>
      <c r="L175" s="205">
        <v>2</v>
      </c>
      <c r="M175" s="26">
        <f t="shared" si="12"/>
        <v>524.91</v>
      </c>
      <c r="N175" s="30">
        <v>524.91</v>
      </c>
      <c r="O175" s="241"/>
      <c r="P175" s="53">
        <v>1</v>
      </c>
      <c r="Q175" s="30">
        <v>412.05</v>
      </c>
      <c r="R175" s="205">
        <v>1</v>
      </c>
      <c r="S175" s="26">
        <f t="shared" si="13"/>
        <v>412.05</v>
      </c>
      <c r="T175" s="30">
        <v>412.05</v>
      </c>
      <c r="U175" s="2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105"/>
      <c r="G176" s="227" t="s">
        <v>28</v>
      </c>
      <c r="H176" s="311"/>
      <c r="I176" s="261"/>
      <c r="J176" s="261"/>
      <c r="K176" s="211"/>
      <c r="L176" s="210"/>
      <c r="M176" s="211">
        <f t="shared" si="12"/>
        <v>0</v>
      </c>
      <c r="N176" s="211"/>
      <c r="O176" s="212"/>
      <c r="P176" s="273"/>
      <c r="Q176" s="211"/>
      <c r="R176" s="210"/>
      <c r="S176" s="211">
        <f t="shared" si="13"/>
        <v>0</v>
      </c>
      <c r="T176" s="211"/>
      <c r="U176" s="212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424</v>
      </c>
      <c r="C177" s="374" t="s">
        <v>22</v>
      </c>
      <c r="D177" s="374"/>
      <c r="E177" s="374" t="s">
        <v>65</v>
      </c>
      <c r="F177" s="232" t="s">
        <v>437</v>
      </c>
      <c r="G177" s="213" t="s">
        <v>24</v>
      </c>
      <c r="H177" s="24">
        <v>4</v>
      </c>
      <c r="I177" s="62">
        <v>1</v>
      </c>
      <c r="J177" s="62">
        <v>1</v>
      </c>
      <c r="K177" s="30">
        <v>1285.1500000000001</v>
      </c>
      <c r="L177" s="205">
        <v>1</v>
      </c>
      <c r="M177" s="26">
        <f t="shared" si="12"/>
        <v>1285.1500000000001</v>
      </c>
      <c r="N177" s="30">
        <v>1285.1500000000001</v>
      </c>
      <c r="O177" s="28"/>
      <c r="P177" s="214"/>
      <c r="Q177" s="30"/>
      <c r="R177" s="205"/>
      <c r="S177" s="26">
        <f t="shared" si="13"/>
        <v>0</v>
      </c>
      <c r="T177" s="30"/>
      <c r="U177" s="24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75"/>
      <c r="F178" s="220"/>
      <c r="G178" s="215" t="s">
        <v>28</v>
      </c>
      <c r="H178" s="66"/>
      <c r="I178" s="38"/>
      <c r="J178" s="38"/>
      <c r="K178" s="39"/>
      <c r="L178" s="40"/>
      <c r="M178" s="39">
        <f t="shared" si="12"/>
        <v>0</v>
      </c>
      <c r="N178" s="39"/>
      <c r="O178" s="41"/>
      <c r="P178" s="217"/>
      <c r="Q178" s="68"/>
      <c r="R178" s="285"/>
      <c r="S178" s="39">
        <f t="shared" si="13"/>
        <v>0</v>
      </c>
      <c r="T178" s="68"/>
      <c r="U178" s="23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6"/>
      <c r="B179" s="377" t="s">
        <v>143</v>
      </c>
      <c r="C179" s="377" t="s">
        <v>39</v>
      </c>
      <c r="D179" s="377" t="s">
        <v>327</v>
      </c>
      <c r="E179" s="377" t="s">
        <v>145</v>
      </c>
      <c r="F179" s="232" t="s">
        <v>215</v>
      </c>
      <c r="G179" s="95" t="s">
        <v>24</v>
      </c>
      <c r="H179" s="281">
        <v>4</v>
      </c>
      <c r="I179" s="266">
        <v>4</v>
      </c>
      <c r="J179" s="266">
        <v>5</v>
      </c>
      <c r="K179" s="79">
        <v>14046.02</v>
      </c>
      <c r="L179" s="268">
        <v>3</v>
      </c>
      <c r="M179" s="81">
        <f t="shared" si="12"/>
        <v>3521.24</v>
      </c>
      <c r="N179" s="79">
        <v>3521.24</v>
      </c>
      <c r="O179" s="219"/>
      <c r="P179" s="267">
        <v>16</v>
      </c>
      <c r="Q179" s="79">
        <v>44811.49</v>
      </c>
      <c r="R179" s="268">
        <v>15</v>
      </c>
      <c r="S179" s="81">
        <f t="shared" si="13"/>
        <v>43575.18</v>
      </c>
      <c r="T179" s="79">
        <v>43575.18</v>
      </c>
      <c r="U179" s="269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9"/>
      <c r="B180" s="380"/>
      <c r="C180" s="380"/>
      <c r="D180" s="380"/>
      <c r="E180" s="380"/>
      <c r="F180" s="233" t="s">
        <v>244</v>
      </c>
      <c r="G180" s="227" t="s">
        <v>28</v>
      </c>
      <c r="H180" s="133">
        <v>9</v>
      </c>
      <c r="I180" s="130">
        <v>4</v>
      </c>
      <c r="J180" s="130">
        <v>4</v>
      </c>
      <c r="K180" s="114">
        <v>14993.72</v>
      </c>
      <c r="L180" s="316">
        <v>4</v>
      </c>
      <c r="M180" s="50">
        <f t="shared" si="12"/>
        <v>14165.32</v>
      </c>
      <c r="N180" s="43">
        <f>2497.3+1152.6+5920.02+4595.4</f>
        <v>14165.32</v>
      </c>
      <c r="O180" s="41"/>
      <c r="P180" s="113">
        <v>2</v>
      </c>
      <c r="Q180" s="114">
        <v>7924</v>
      </c>
      <c r="R180" s="270">
        <v>3</v>
      </c>
      <c r="S180" s="43">
        <f t="shared" si="13"/>
        <v>8500.2999999999993</v>
      </c>
      <c r="T180" s="114">
        <f>576.3+5426.7+2497.3</f>
        <v>8500.2999999999993</v>
      </c>
      <c r="U180" s="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2"/>
      <c r="B181" s="374" t="s">
        <v>146</v>
      </c>
      <c r="C181" s="374" t="s">
        <v>39</v>
      </c>
      <c r="D181" s="374" t="s">
        <v>328</v>
      </c>
      <c r="E181" s="374" t="s">
        <v>27</v>
      </c>
      <c r="F181" s="204" t="s">
        <v>329</v>
      </c>
      <c r="G181" s="176" t="s">
        <v>24</v>
      </c>
      <c r="H181" s="48">
        <v>10</v>
      </c>
      <c r="I181" s="62">
        <v>6</v>
      </c>
      <c r="J181" s="62">
        <v>6</v>
      </c>
      <c r="K181" s="30">
        <v>22780.46</v>
      </c>
      <c r="L181" s="205">
        <v>6</v>
      </c>
      <c r="M181" s="26">
        <f t="shared" si="12"/>
        <v>22780.46</v>
      </c>
      <c r="N181" s="30">
        <v>22780.46</v>
      </c>
      <c r="O181" s="225"/>
      <c r="P181" s="53">
        <v>11</v>
      </c>
      <c r="Q181" s="30">
        <v>34917.42</v>
      </c>
      <c r="R181" s="205">
        <v>11</v>
      </c>
      <c r="S181" s="26">
        <f t="shared" si="13"/>
        <v>34917.42</v>
      </c>
      <c r="T181" s="30">
        <v>34917.42</v>
      </c>
      <c r="U181" s="22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3"/>
      <c r="B182" s="375"/>
      <c r="C182" s="375"/>
      <c r="D182" s="375"/>
      <c r="E182" s="375"/>
      <c r="F182" s="220" t="s">
        <v>330</v>
      </c>
      <c r="G182" s="229" t="s">
        <v>28</v>
      </c>
      <c r="H182" s="153">
        <v>4</v>
      </c>
      <c r="I182" s="57"/>
      <c r="J182" s="57"/>
      <c r="K182" s="43"/>
      <c r="L182" s="44"/>
      <c r="M182" s="43">
        <f t="shared" si="12"/>
        <v>0</v>
      </c>
      <c r="N182" s="43"/>
      <c r="O182" s="41"/>
      <c r="P182" s="115">
        <v>7</v>
      </c>
      <c r="Q182" s="68">
        <v>28978.07</v>
      </c>
      <c r="R182" s="285">
        <v>7</v>
      </c>
      <c r="S182" s="39">
        <f t="shared" si="13"/>
        <v>28978.07</v>
      </c>
      <c r="T182" s="68">
        <f>576.3+15944.3+1479.17+1344.7+8228.7+1404.9</f>
        <v>28978.07</v>
      </c>
      <c r="U182" s="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2"/>
      <c r="B183" s="374" t="s">
        <v>148</v>
      </c>
      <c r="C183" s="374" t="s">
        <v>39</v>
      </c>
      <c r="D183" s="374" t="s">
        <v>149</v>
      </c>
      <c r="E183" s="374" t="s">
        <v>27</v>
      </c>
      <c r="F183" s="204" t="s">
        <v>218</v>
      </c>
      <c r="G183" s="176" t="s">
        <v>24</v>
      </c>
      <c r="H183" s="48">
        <v>19</v>
      </c>
      <c r="I183" s="62">
        <v>19</v>
      </c>
      <c r="J183" s="204">
        <v>24</v>
      </c>
      <c r="K183" s="30">
        <v>41117.31</v>
      </c>
      <c r="L183" s="205">
        <v>21</v>
      </c>
      <c r="M183" s="26">
        <f t="shared" si="12"/>
        <v>38411.870000000003</v>
      </c>
      <c r="N183" s="30">
        <v>38411.870000000003</v>
      </c>
      <c r="O183" s="225"/>
      <c r="P183" s="108">
        <v>22</v>
      </c>
      <c r="Q183" s="65">
        <v>79924.350000000006</v>
      </c>
      <c r="R183" s="224">
        <v>22</v>
      </c>
      <c r="S183" s="50">
        <f t="shared" si="13"/>
        <v>79924.350000000006</v>
      </c>
      <c r="T183" s="65">
        <v>79924.350000000006</v>
      </c>
      <c r="U183" s="225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3"/>
      <c r="B184" s="375"/>
      <c r="C184" s="375"/>
      <c r="D184" s="375"/>
      <c r="E184" s="375"/>
      <c r="F184" s="34"/>
      <c r="G184" s="229" t="s">
        <v>28</v>
      </c>
      <c r="H184" s="292">
        <v>2</v>
      </c>
      <c r="I184" s="208">
        <v>1</v>
      </c>
      <c r="J184" s="208">
        <v>1</v>
      </c>
      <c r="K184" s="209">
        <v>3010.5</v>
      </c>
      <c r="L184" s="290">
        <v>1</v>
      </c>
      <c r="M184" s="211">
        <f t="shared" si="12"/>
        <v>3010.5</v>
      </c>
      <c r="N184" s="211">
        <f>3010.5</f>
        <v>3010.5</v>
      </c>
      <c r="O184" s="212"/>
      <c r="P184" s="262">
        <v>1</v>
      </c>
      <c r="Q184" s="209">
        <v>576.29999999999995</v>
      </c>
      <c r="R184" s="290">
        <v>3</v>
      </c>
      <c r="S184" s="211">
        <f t="shared" si="13"/>
        <v>3902.2000000000003</v>
      </c>
      <c r="T184" s="209">
        <f>1921+576.3+1404.9</f>
        <v>3902.2000000000003</v>
      </c>
      <c r="U184" s="21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2"/>
      <c r="B185" s="374" t="s">
        <v>373</v>
      </c>
      <c r="C185" s="374" t="s">
        <v>22</v>
      </c>
      <c r="D185" s="374"/>
      <c r="E185" s="374" t="s">
        <v>27</v>
      </c>
      <c r="F185" s="232" t="s">
        <v>417</v>
      </c>
      <c r="G185" s="213" t="s">
        <v>24</v>
      </c>
      <c r="H185" s="61">
        <v>1</v>
      </c>
      <c r="I185" s="62">
        <v>1</v>
      </c>
      <c r="J185" s="62">
        <v>1</v>
      </c>
      <c r="K185" s="326">
        <v>662.31</v>
      </c>
      <c r="L185" s="327">
        <v>1</v>
      </c>
      <c r="M185" s="162">
        <f t="shared" si="12"/>
        <v>662.31</v>
      </c>
      <c r="N185" s="326">
        <v>662.31</v>
      </c>
      <c r="O185" s="28"/>
      <c r="P185" s="275"/>
      <c r="Q185" s="26"/>
      <c r="R185" s="27"/>
      <c r="S185" s="26">
        <f t="shared" si="13"/>
        <v>0</v>
      </c>
      <c r="T185" s="26"/>
      <c r="U185" s="28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3"/>
      <c r="B186" s="375"/>
      <c r="C186" s="375"/>
      <c r="D186" s="375"/>
      <c r="E186" s="375"/>
      <c r="F186" s="105"/>
      <c r="G186" s="215" t="s">
        <v>28</v>
      </c>
      <c r="H186" s="117">
        <v>4</v>
      </c>
      <c r="I186" s="37">
        <v>1</v>
      </c>
      <c r="J186" s="37">
        <v>1</v>
      </c>
      <c r="K186" s="318">
        <v>1056.22</v>
      </c>
      <c r="L186" s="343">
        <v>1</v>
      </c>
      <c r="M186" s="164">
        <f t="shared" si="12"/>
        <v>1056.55</v>
      </c>
      <c r="N186" s="164">
        <f>1056.55</f>
        <v>1056.55</v>
      </c>
      <c r="O186" s="41"/>
      <c r="P186" s="276"/>
      <c r="Q186" s="39"/>
      <c r="R186" s="40"/>
      <c r="S186" s="39">
        <f t="shared" si="13"/>
        <v>0</v>
      </c>
      <c r="T186" s="39"/>
      <c r="U186" s="4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6"/>
      <c r="B187" s="402" t="s">
        <v>150</v>
      </c>
      <c r="C187" s="377" t="s">
        <v>39</v>
      </c>
      <c r="D187" s="377" t="s">
        <v>151</v>
      </c>
      <c r="E187" s="377" t="s">
        <v>152</v>
      </c>
      <c r="F187" s="72"/>
      <c r="G187" s="95" t="s">
        <v>24</v>
      </c>
      <c r="H187" s="74"/>
      <c r="I187" s="96"/>
      <c r="J187" s="96"/>
      <c r="K187" s="293"/>
      <c r="L187" s="294"/>
      <c r="M187" s="293">
        <f t="shared" si="12"/>
        <v>0</v>
      </c>
      <c r="N187" s="293"/>
      <c r="O187" s="82"/>
      <c r="P187" s="295"/>
      <c r="Q187" s="81"/>
      <c r="R187" s="80"/>
      <c r="S187" s="81">
        <f t="shared" si="13"/>
        <v>0</v>
      </c>
      <c r="T187" s="81"/>
      <c r="U187" s="8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3"/>
      <c r="B188" s="389"/>
      <c r="C188" s="375"/>
      <c r="D188" s="375"/>
      <c r="E188" s="375"/>
      <c r="F188" s="220" t="s">
        <v>331</v>
      </c>
      <c r="G188" s="35" t="s">
        <v>25</v>
      </c>
      <c r="H188" s="106"/>
      <c r="I188" s="38"/>
      <c r="J188" s="38"/>
      <c r="K188" s="164"/>
      <c r="L188" s="165"/>
      <c r="M188" s="164">
        <f t="shared" si="12"/>
        <v>0</v>
      </c>
      <c r="N188" s="164"/>
      <c r="O188" s="41"/>
      <c r="P188" s="67">
        <v>4</v>
      </c>
      <c r="Q188" s="68">
        <v>19199.810000000001</v>
      </c>
      <c r="R188" s="285">
        <v>4</v>
      </c>
      <c r="S188" s="68">
        <v>19199.810000000001</v>
      </c>
      <c r="T188" s="68">
        <v>19199.810000000001</v>
      </c>
      <c r="U188" s="41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82"/>
      <c r="B189" s="381" t="s">
        <v>153</v>
      </c>
      <c r="C189" s="374" t="s">
        <v>39</v>
      </c>
      <c r="D189" s="381" t="s">
        <v>332</v>
      </c>
      <c r="E189" s="381" t="s">
        <v>27</v>
      </c>
      <c r="F189" s="223" t="s">
        <v>333</v>
      </c>
      <c r="G189" s="47" t="s">
        <v>24</v>
      </c>
      <c r="H189" s="48">
        <v>21</v>
      </c>
      <c r="I189" s="203">
        <v>20</v>
      </c>
      <c r="J189" s="203">
        <v>25</v>
      </c>
      <c r="K189" s="242">
        <v>50699.519999999997</v>
      </c>
      <c r="L189" s="320">
        <v>25</v>
      </c>
      <c r="M189" s="166">
        <f t="shared" si="12"/>
        <v>50699.519999999997</v>
      </c>
      <c r="N189" s="242">
        <v>50699.519999999997</v>
      </c>
      <c r="O189" s="225"/>
      <c r="P189" s="108">
        <v>7</v>
      </c>
      <c r="Q189" s="65">
        <v>41813.410000000003</v>
      </c>
      <c r="R189" s="224">
        <v>7</v>
      </c>
      <c r="S189" s="50">
        <f t="shared" ref="S189:S208" si="14">T189+U189</f>
        <v>41813.410000000003</v>
      </c>
      <c r="T189" s="65">
        <v>41813.410000000003</v>
      </c>
      <c r="U189" s="225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9"/>
      <c r="B190" s="380"/>
      <c r="C190" s="375"/>
      <c r="D190" s="380"/>
      <c r="E190" s="380"/>
      <c r="F190" s="34"/>
      <c r="G190" s="35" t="s">
        <v>28</v>
      </c>
      <c r="H190" s="153">
        <v>1</v>
      </c>
      <c r="I190" s="130">
        <v>1</v>
      </c>
      <c r="J190" s="130">
        <v>1</v>
      </c>
      <c r="K190" s="114">
        <v>1152.5999999999999</v>
      </c>
      <c r="L190" s="270">
        <v>1</v>
      </c>
      <c r="M190" s="43">
        <f t="shared" si="12"/>
        <v>1152.5999999999999</v>
      </c>
      <c r="N190" s="43">
        <f>1152.6</f>
        <v>1152.5999999999999</v>
      </c>
      <c r="O190" s="41"/>
      <c r="P190" s="113">
        <v>3</v>
      </c>
      <c r="Q190" s="114">
        <v>19714.599999999999</v>
      </c>
      <c r="R190" s="270">
        <v>4</v>
      </c>
      <c r="S190" s="43">
        <f t="shared" si="14"/>
        <v>21635.599999999999</v>
      </c>
      <c r="T190" s="114">
        <f>1921+11718.1+5186.7+2809.8</f>
        <v>21635.599999999999</v>
      </c>
      <c r="U190" s="4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2"/>
      <c r="B191" s="374" t="s">
        <v>155</v>
      </c>
      <c r="C191" s="374" t="s">
        <v>22</v>
      </c>
      <c r="D191" s="374"/>
      <c r="E191" s="374" t="s">
        <v>37</v>
      </c>
      <c r="F191" s="223" t="s">
        <v>245</v>
      </c>
      <c r="G191" s="23" t="s">
        <v>24</v>
      </c>
      <c r="H191" s="48">
        <v>5</v>
      </c>
      <c r="I191" s="62">
        <v>4</v>
      </c>
      <c r="J191" s="62">
        <v>4</v>
      </c>
      <c r="K191" s="30">
        <v>5891.75</v>
      </c>
      <c r="L191" s="205">
        <v>4</v>
      </c>
      <c r="M191" s="26">
        <f t="shared" si="12"/>
        <v>5891.75</v>
      </c>
      <c r="N191" s="30">
        <v>5891.75</v>
      </c>
      <c r="O191" s="31"/>
      <c r="P191" s="53">
        <v>8</v>
      </c>
      <c r="Q191" s="30">
        <v>19951.68</v>
      </c>
      <c r="R191" s="205">
        <v>7</v>
      </c>
      <c r="S191" s="26">
        <f t="shared" si="14"/>
        <v>16748.509999999998</v>
      </c>
      <c r="T191" s="30">
        <v>16748.509999999998</v>
      </c>
      <c r="U191" s="225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3"/>
      <c r="B192" s="375"/>
      <c r="C192" s="375"/>
      <c r="D192" s="375"/>
      <c r="E192" s="375"/>
      <c r="F192" s="105"/>
      <c r="G192" s="35" t="s">
        <v>28</v>
      </c>
      <c r="H192" s="116"/>
      <c r="I192" s="38"/>
      <c r="J192" s="38"/>
      <c r="K192" s="39"/>
      <c r="L192" s="40"/>
      <c r="M192" s="39">
        <f t="shared" si="12"/>
        <v>0</v>
      </c>
      <c r="N192" s="39"/>
      <c r="O192" s="41"/>
      <c r="P192" s="59"/>
      <c r="Q192" s="39"/>
      <c r="R192" s="40"/>
      <c r="S192" s="39">
        <f t="shared" si="14"/>
        <v>0</v>
      </c>
      <c r="T192" s="39"/>
      <c r="U192" s="4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82"/>
      <c r="B193" s="381" t="s">
        <v>156</v>
      </c>
      <c r="C193" s="381" t="s">
        <v>46</v>
      </c>
      <c r="D193" s="385" t="s">
        <v>418</v>
      </c>
      <c r="E193" s="381" t="s">
        <v>27</v>
      </c>
      <c r="F193" s="223" t="s">
        <v>419</v>
      </c>
      <c r="G193" s="23" t="s">
        <v>24</v>
      </c>
      <c r="H193" s="98"/>
      <c r="I193" s="49"/>
      <c r="J193" s="49"/>
      <c r="K193" s="50"/>
      <c r="L193" s="51"/>
      <c r="M193" s="50">
        <f t="shared" si="12"/>
        <v>0</v>
      </c>
      <c r="N193" s="50"/>
      <c r="O193" s="31"/>
      <c r="P193" s="108">
        <v>2</v>
      </c>
      <c r="Q193" s="65">
        <v>14241.9</v>
      </c>
      <c r="R193" s="224">
        <v>2</v>
      </c>
      <c r="S193" s="50">
        <f t="shared" si="14"/>
        <v>14241.9</v>
      </c>
      <c r="T193" s="65">
        <v>14241.9</v>
      </c>
      <c r="U193" s="225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9"/>
      <c r="B194" s="380"/>
      <c r="C194" s="380"/>
      <c r="D194" s="380"/>
      <c r="E194" s="380"/>
      <c r="F194" s="54"/>
      <c r="G194" s="55" t="s">
        <v>28</v>
      </c>
      <c r="H194" s="118"/>
      <c r="I194" s="57"/>
      <c r="J194" s="57"/>
      <c r="K194" s="43"/>
      <c r="L194" s="44"/>
      <c r="M194" s="43">
        <f t="shared" si="12"/>
        <v>0</v>
      </c>
      <c r="N194" s="43"/>
      <c r="O194" s="41"/>
      <c r="P194" s="113">
        <v>1</v>
      </c>
      <c r="Q194" s="114">
        <v>0</v>
      </c>
      <c r="R194" s="44"/>
      <c r="S194" s="43">
        <f t="shared" si="14"/>
        <v>0</v>
      </c>
      <c r="T194" s="43"/>
      <c r="U194" s="4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2"/>
      <c r="B195" s="374" t="s">
        <v>157</v>
      </c>
      <c r="C195" s="390"/>
      <c r="D195" s="374"/>
      <c r="E195" s="374"/>
      <c r="F195" s="22"/>
      <c r="G195" s="23" t="s">
        <v>24</v>
      </c>
      <c r="H195" s="104"/>
      <c r="I195" s="25"/>
      <c r="J195" s="25"/>
      <c r="K195" s="26"/>
      <c r="L195" s="27"/>
      <c r="M195" s="26">
        <f t="shared" si="12"/>
        <v>0</v>
      </c>
      <c r="N195" s="26"/>
      <c r="O195" s="31"/>
      <c r="P195" s="120"/>
      <c r="Q195" s="26"/>
      <c r="R195" s="27"/>
      <c r="S195" s="26">
        <f t="shared" si="14"/>
        <v>0</v>
      </c>
      <c r="T195" s="26"/>
      <c r="U195" s="3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3"/>
      <c r="B196" s="375"/>
      <c r="C196" s="375"/>
      <c r="D196" s="375"/>
      <c r="E196" s="375"/>
      <c r="F196" s="34"/>
      <c r="G196" s="35" t="s">
        <v>28</v>
      </c>
      <c r="H196" s="106"/>
      <c r="I196" s="38"/>
      <c r="J196" s="38"/>
      <c r="K196" s="39"/>
      <c r="L196" s="40"/>
      <c r="M196" s="39">
        <f t="shared" si="12"/>
        <v>0</v>
      </c>
      <c r="N196" s="39"/>
      <c r="O196" s="41"/>
      <c r="P196" s="69"/>
      <c r="Q196" s="39"/>
      <c r="R196" s="40"/>
      <c r="S196" s="39">
        <f t="shared" si="14"/>
        <v>0</v>
      </c>
      <c r="T196" s="39"/>
      <c r="U196" s="4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2"/>
      <c r="B197" s="374" t="s">
        <v>158</v>
      </c>
      <c r="C197" s="374" t="s">
        <v>39</v>
      </c>
      <c r="D197" s="374" t="s">
        <v>288</v>
      </c>
      <c r="E197" s="374" t="s">
        <v>27</v>
      </c>
      <c r="F197" s="204" t="s">
        <v>289</v>
      </c>
      <c r="G197" s="176" t="s">
        <v>24</v>
      </c>
      <c r="H197" s="48">
        <v>11</v>
      </c>
      <c r="I197" s="203">
        <v>9</v>
      </c>
      <c r="J197" s="203">
        <v>10</v>
      </c>
      <c r="K197" s="65">
        <v>26045.17</v>
      </c>
      <c r="L197" s="224">
        <v>10</v>
      </c>
      <c r="M197" s="50">
        <f t="shared" si="12"/>
        <v>26045.17</v>
      </c>
      <c r="N197" s="65">
        <v>26045.17</v>
      </c>
      <c r="O197" s="225"/>
      <c r="P197" s="108">
        <v>10</v>
      </c>
      <c r="Q197" s="65">
        <v>22956.16</v>
      </c>
      <c r="R197" s="224">
        <v>10</v>
      </c>
      <c r="S197" s="50">
        <f t="shared" si="14"/>
        <v>22956.16</v>
      </c>
      <c r="T197" s="65">
        <v>22956.16</v>
      </c>
      <c r="U197" s="225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3"/>
      <c r="B198" s="375"/>
      <c r="C198" s="375"/>
      <c r="D198" s="375"/>
      <c r="E198" s="375"/>
      <c r="F198" s="220" t="s">
        <v>334</v>
      </c>
      <c r="G198" s="229" t="s">
        <v>28</v>
      </c>
      <c r="H198" s="117">
        <v>5</v>
      </c>
      <c r="I198" s="37">
        <v>4</v>
      </c>
      <c r="J198" s="37">
        <v>4</v>
      </c>
      <c r="K198" s="68">
        <v>5874.79</v>
      </c>
      <c r="L198" s="285">
        <v>3</v>
      </c>
      <c r="M198" s="39">
        <f t="shared" si="12"/>
        <v>4329.3999999999996</v>
      </c>
      <c r="N198" s="39">
        <f>1921+1204.2+1204.2</f>
        <v>4329.3999999999996</v>
      </c>
      <c r="O198" s="41"/>
      <c r="P198" s="59"/>
      <c r="Q198" s="39"/>
      <c r="R198" s="40"/>
      <c r="S198" s="39">
        <f t="shared" si="14"/>
        <v>1152.5999999999999</v>
      </c>
      <c r="T198" s="68">
        <v>1152.5999999999999</v>
      </c>
      <c r="U198" s="4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6"/>
      <c r="B199" s="377" t="s">
        <v>159</v>
      </c>
      <c r="C199" s="377" t="s">
        <v>22</v>
      </c>
      <c r="D199" s="377"/>
      <c r="E199" s="377" t="s">
        <v>160</v>
      </c>
      <c r="F199" s="232" t="s">
        <v>246</v>
      </c>
      <c r="G199" s="95" t="s">
        <v>24</v>
      </c>
      <c r="H199" s="48">
        <v>20</v>
      </c>
      <c r="I199" s="203">
        <v>18</v>
      </c>
      <c r="J199" s="203">
        <v>27</v>
      </c>
      <c r="K199" s="65">
        <v>50695.82</v>
      </c>
      <c r="L199" s="224">
        <v>27</v>
      </c>
      <c r="M199" s="50">
        <f t="shared" si="12"/>
        <v>50695.82</v>
      </c>
      <c r="N199" s="65">
        <v>50695.82</v>
      </c>
      <c r="O199" s="225"/>
      <c r="P199" s="108">
        <v>26</v>
      </c>
      <c r="Q199" s="65">
        <v>42356.26</v>
      </c>
      <c r="R199" s="224">
        <v>26</v>
      </c>
      <c r="S199" s="50">
        <f t="shared" si="14"/>
        <v>42356.26</v>
      </c>
      <c r="T199" s="65">
        <v>42356.26</v>
      </c>
      <c r="U199" s="225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3"/>
      <c r="B200" s="375"/>
      <c r="C200" s="375"/>
      <c r="D200" s="375"/>
      <c r="E200" s="375"/>
      <c r="F200" s="54"/>
      <c r="G200" s="55" t="s">
        <v>28</v>
      </c>
      <c r="H200" s="112">
        <v>6</v>
      </c>
      <c r="I200" s="130">
        <v>2</v>
      </c>
      <c r="J200" s="130">
        <v>2</v>
      </c>
      <c r="K200" s="114">
        <v>2401.25</v>
      </c>
      <c r="L200" s="316">
        <v>2</v>
      </c>
      <c r="M200" s="50">
        <f t="shared" si="12"/>
        <v>2401.25</v>
      </c>
      <c r="N200" s="43">
        <f>1056.55+1344.7</f>
        <v>2401.25</v>
      </c>
      <c r="O200" s="41"/>
      <c r="P200" s="113">
        <v>3</v>
      </c>
      <c r="Q200" s="114">
        <v>5551.69</v>
      </c>
      <c r="R200" s="270">
        <v>3</v>
      </c>
      <c r="S200" s="43">
        <f t="shared" si="14"/>
        <v>5551.69</v>
      </c>
      <c r="T200" s="43">
        <f>5551.69</f>
        <v>5551.69</v>
      </c>
      <c r="U200" s="4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2"/>
      <c r="B201" s="374" t="s">
        <v>161</v>
      </c>
      <c r="C201" s="377" t="s">
        <v>22</v>
      </c>
      <c r="D201" s="374"/>
      <c r="E201" s="374" t="s">
        <v>450</v>
      </c>
      <c r="F201" s="204" t="s">
        <v>451</v>
      </c>
      <c r="G201" s="23" t="s">
        <v>24</v>
      </c>
      <c r="H201" s="24">
        <v>12</v>
      </c>
      <c r="I201" s="62">
        <v>1</v>
      </c>
      <c r="J201" s="62">
        <v>2</v>
      </c>
      <c r="K201" s="30">
        <v>3016.65</v>
      </c>
      <c r="L201" s="205">
        <v>2</v>
      </c>
      <c r="M201" s="26">
        <f t="shared" si="12"/>
        <v>3016.65</v>
      </c>
      <c r="N201" s="30">
        <v>3016.65</v>
      </c>
      <c r="O201" s="31"/>
      <c r="P201" s="53">
        <v>11</v>
      </c>
      <c r="Q201" s="30">
        <v>35207.21</v>
      </c>
      <c r="R201" s="205">
        <v>11</v>
      </c>
      <c r="S201" s="26">
        <f t="shared" si="14"/>
        <v>35207.21</v>
      </c>
      <c r="T201" s="30">
        <v>35207.21</v>
      </c>
      <c r="U201" s="3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3"/>
      <c r="B202" s="375"/>
      <c r="C202" s="375"/>
      <c r="D202" s="375"/>
      <c r="E202" s="392"/>
      <c r="F202" s="34"/>
      <c r="G202" s="35" t="s">
        <v>28</v>
      </c>
      <c r="H202" s="66">
        <v>4</v>
      </c>
      <c r="I202" s="38"/>
      <c r="J202" s="38"/>
      <c r="K202" s="39"/>
      <c r="L202" s="40"/>
      <c r="M202" s="39">
        <f t="shared" si="12"/>
        <v>0</v>
      </c>
      <c r="N202" s="39"/>
      <c r="O202" s="41"/>
      <c r="P202" s="59"/>
      <c r="Q202" s="39"/>
      <c r="R202" s="40"/>
      <c r="S202" s="39">
        <f t="shared" si="14"/>
        <v>0</v>
      </c>
      <c r="T202" s="39"/>
      <c r="U202" s="4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82"/>
      <c r="B203" s="381" t="s">
        <v>162</v>
      </c>
      <c r="C203" s="381" t="s">
        <v>39</v>
      </c>
      <c r="D203" s="381" t="s">
        <v>163</v>
      </c>
      <c r="E203" s="374" t="s">
        <v>27</v>
      </c>
      <c r="F203" s="135"/>
      <c r="G203" s="47" t="s">
        <v>24</v>
      </c>
      <c r="H203" s="98"/>
      <c r="I203" s="49"/>
      <c r="J203" s="49"/>
      <c r="K203" s="50"/>
      <c r="L203" s="51"/>
      <c r="M203" s="50">
        <f t="shared" si="12"/>
        <v>0</v>
      </c>
      <c r="N203" s="50"/>
      <c r="O203" s="31"/>
      <c r="P203" s="123"/>
      <c r="Q203" s="50"/>
      <c r="R203" s="51"/>
      <c r="S203" s="50">
        <f t="shared" si="14"/>
        <v>0</v>
      </c>
      <c r="T203" s="50"/>
      <c r="U203" s="3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7"/>
      <c r="B204" s="386"/>
      <c r="C204" s="386"/>
      <c r="D204" s="386"/>
      <c r="E204" s="386"/>
      <c r="F204" s="54"/>
      <c r="G204" s="47" t="s">
        <v>25</v>
      </c>
      <c r="H204" s="98"/>
      <c r="I204" s="49"/>
      <c r="J204" s="49"/>
      <c r="K204" s="50"/>
      <c r="L204" s="51"/>
      <c r="M204" s="50">
        <f t="shared" si="12"/>
        <v>0</v>
      </c>
      <c r="N204" s="50"/>
      <c r="O204" s="45"/>
      <c r="P204" s="123"/>
      <c r="Q204" s="50"/>
      <c r="R204" s="51"/>
      <c r="S204" s="50">
        <f t="shared" si="14"/>
        <v>0</v>
      </c>
      <c r="T204" s="50"/>
      <c r="U204" s="4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9"/>
      <c r="B205" s="380"/>
      <c r="C205" s="380"/>
      <c r="D205" s="380"/>
      <c r="E205" s="380"/>
      <c r="F205" s="54"/>
      <c r="G205" s="55" t="s">
        <v>28</v>
      </c>
      <c r="H205" s="116"/>
      <c r="I205" s="57"/>
      <c r="J205" s="57"/>
      <c r="K205" s="43"/>
      <c r="L205" s="44"/>
      <c r="M205" s="43">
        <f t="shared" si="12"/>
        <v>0</v>
      </c>
      <c r="N205" s="43"/>
      <c r="O205" s="41"/>
      <c r="P205" s="113">
        <v>1</v>
      </c>
      <c r="Q205" s="114">
        <v>4602.5</v>
      </c>
      <c r="R205" s="270">
        <v>1</v>
      </c>
      <c r="S205" s="43">
        <f t="shared" si="14"/>
        <v>4602.5</v>
      </c>
      <c r="T205" s="114">
        <v>4602.5</v>
      </c>
      <c r="U205" s="23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164</v>
      </c>
      <c r="C206" s="374" t="s">
        <v>22</v>
      </c>
      <c r="D206" s="374"/>
      <c r="E206" s="374" t="s">
        <v>27</v>
      </c>
      <c r="F206" s="22"/>
      <c r="G206" s="23" t="s">
        <v>24</v>
      </c>
      <c r="H206" s="98"/>
      <c r="I206" s="25"/>
      <c r="J206" s="25"/>
      <c r="K206" s="26"/>
      <c r="L206" s="27"/>
      <c r="M206" s="26">
        <f t="shared" si="12"/>
        <v>0</v>
      </c>
      <c r="N206" s="26"/>
      <c r="O206" s="31"/>
      <c r="P206" s="99"/>
      <c r="Q206" s="26"/>
      <c r="R206" s="27"/>
      <c r="S206" s="26">
        <f t="shared" si="14"/>
        <v>0</v>
      </c>
      <c r="T206" s="26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221" t="s">
        <v>335</v>
      </c>
      <c r="G207" s="55" t="s">
        <v>28</v>
      </c>
      <c r="H207" s="56">
        <v>4</v>
      </c>
      <c r="I207" s="57"/>
      <c r="J207" s="57"/>
      <c r="K207" s="43"/>
      <c r="L207" s="44"/>
      <c r="M207" s="43">
        <f t="shared" si="12"/>
        <v>0</v>
      </c>
      <c r="N207" s="43"/>
      <c r="O207" s="41"/>
      <c r="P207" s="113">
        <v>4</v>
      </c>
      <c r="Q207" s="114">
        <v>7395.85</v>
      </c>
      <c r="R207" s="270">
        <v>5</v>
      </c>
      <c r="S207" s="43">
        <f t="shared" si="14"/>
        <v>8452.4000000000015</v>
      </c>
      <c r="T207" s="114">
        <f>4034.1+1921+2497.3</f>
        <v>8452.4000000000015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165</v>
      </c>
      <c r="C208" s="374"/>
      <c r="D208" s="374"/>
      <c r="E208" s="374"/>
      <c r="F208" s="22"/>
      <c r="G208" s="23" t="s">
        <v>24</v>
      </c>
      <c r="H208" s="119"/>
      <c r="I208" s="25"/>
      <c r="J208" s="25"/>
      <c r="K208" s="26"/>
      <c r="L208" s="27"/>
      <c r="M208" s="26">
        <f t="shared" si="12"/>
        <v>0</v>
      </c>
      <c r="N208" s="26"/>
      <c r="O208" s="31"/>
      <c r="P208" s="99"/>
      <c r="Q208" s="26"/>
      <c r="R208" s="27"/>
      <c r="S208" s="26">
        <f t="shared" si="14"/>
        <v>0</v>
      </c>
      <c r="T208" s="26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75"/>
      <c r="F209" s="34"/>
      <c r="G209" s="35" t="s">
        <v>25</v>
      </c>
      <c r="H209" s="66">
        <v>2</v>
      </c>
      <c r="I209" s="38"/>
      <c r="J209" s="38"/>
      <c r="K209" s="39"/>
      <c r="L209" s="40"/>
      <c r="M209" s="39">
        <f t="shared" si="12"/>
        <v>0</v>
      </c>
      <c r="N209" s="39"/>
      <c r="O209" s="41"/>
      <c r="P209" s="115">
        <v>2</v>
      </c>
      <c r="Q209" s="68">
        <v>288.14999999999998</v>
      </c>
      <c r="R209" s="285">
        <v>1</v>
      </c>
      <c r="S209" s="68">
        <v>288.14999999999998</v>
      </c>
      <c r="T209" s="68">
        <v>288.14999999999998</v>
      </c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6"/>
      <c r="B210" s="377" t="s">
        <v>454</v>
      </c>
      <c r="C210" s="377" t="s">
        <v>39</v>
      </c>
      <c r="D210" s="405" t="s">
        <v>455</v>
      </c>
      <c r="E210" s="381" t="s">
        <v>27</v>
      </c>
      <c r="F210" s="204" t="s">
        <v>467</v>
      </c>
      <c r="G210" s="23" t="s">
        <v>24</v>
      </c>
      <c r="H210" s="328"/>
      <c r="I210" s="71"/>
      <c r="J210" s="71"/>
      <c r="K210" s="93"/>
      <c r="L210" s="92"/>
      <c r="M210" s="26">
        <f t="shared" si="12"/>
        <v>0</v>
      </c>
      <c r="N210" s="93"/>
      <c r="O210" s="94"/>
      <c r="P210" s="329"/>
      <c r="Q210" s="91"/>
      <c r="R210" s="330"/>
      <c r="S210" s="26">
        <f t="shared" ref="S210:S226" si="15">T210+U210</f>
        <v>0</v>
      </c>
      <c r="T210" s="79"/>
      <c r="U210" s="336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3"/>
      <c r="B211" s="375"/>
      <c r="C211" s="375"/>
      <c r="D211" s="406"/>
      <c r="E211" s="375"/>
      <c r="F211" s="220"/>
      <c r="G211" s="345" t="s">
        <v>28</v>
      </c>
      <c r="H211" s="346">
        <v>6</v>
      </c>
      <c r="I211" s="38"/>
      <c r="J211" s="38"/>
      <c r="K211" s="39"/>
      <c r="L211" s="40"/>
      <c r="M211" s="87">
        <f t="shared" si="12"/>
        <v>0</v>
      </c>
      <c r="N211" s="39"/>
      <c r="O211" s="41"/>
      <c r="P211" s="217"/>
      <c r="Q211" s="68"/>
      <c r="R211" s="285"/>
      <c r="S211" s="87">
        <f t="shared" si="15"/>
        <v>0</v>
      </c>
      <c r="T211" s="339"/>
      <c r="U211" s="34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82"/>
      <c r="B212" s="381" t="s">
        <v>166</v>
      </c>
      <c r="C212" s="381" t="s">
        <v>22</v>
      </c>
      <c r="D212" s="377"/>
      <c r="E212" s="381" t="s">
        <v>27</v>
      </c>
      <c r="F212" s="232" t="s">
        <v>420</v>
      </c>
      <c r="G212" s="347" t="s">
        <v>24</v>
      </c>
      <c r="H212" s="348">
        <v>1</v>
      </c>
      <c r="I212" s="96"/>
      <c r="J212" s="96"/>
      <c r="K212" s="81"/>
      <c r="L212" s="80"/>
      <c r="M212" s="81">
        <f t="shared" si="12"/>
        <v>0</v>
      </c>
      <c r="N212" s="81"/>
      <c r="O212" s="82"/>
      <c r="P212" s="78">
        <v>4</v>
      </c>
      <c r="Q212" s="79">
        <v>17868.150000000001</v>
      </c>
      <c r="R212" s="268">
        <v>4</v>
      </c>
      <c r="S212" s="81">
        <f t="shared" si="15"/>
        <v>17868.150000000001</v>
      </c>
      <c r="T212" s="79">
        <v>17868.150000000001</v>
      </c>
      <c r="U212" s="269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3"/>
      <c r="B213" s="375"/>
      <c r="C213" s="375"/>
      <c r="D213" s="375"/>
      <c r="E213" s="375"/>
      <c r="F213" s="226"/>
      <c r="G213" s="227" t="s">
        <v>28</v>
      </c>
      <c r="H213" s="334"/>
      <c r="I213" s="57"/>
      <c r="J213" s="57"/>
      <c r="K213" s="43"/>
      <c r="L213" s="44"/>
      <c r="M213" s="43">
        <f t="shared" si="12"/>
        <v>0</v>
      </c>
      <c r="N213" s="43"/>
      <c r="O213" s="45"/>
      <c r="P213" s="273"/>
      <c r="Q213" s="211"/>
      <c r="R213" s="210"/>
      <c r="S213" s="211">
        <f t="shared" si="15"/>
        <v>0</v>
      </c>
      <c r="T213" s="211"/>
      <c r="U213" s="21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2"/>
      <c r="B214" s="374" t="s">
        <v>167</v>
      </c>
      <c r="C214" s="374" t="s">
        <v>46</v>
      </c>
      <c r="D214" s="374" t="s">
        <v>168</v>
      </c>
      <c r="E214" s="374" t="s">
        <v>27</v>
      </c>
      <c r="F214" s="204" t="s">
        <v>421</v>
      </c>
      <c r="G214" s="176" t="s">
        <v>24</v>
      </c>
      <c r="H214" s="248">
        <v>4</v>
      </c>
      <c r="I214" s="62">
        <v>3</v>
      </c>
      <c r="J214" s="62">
        <v>3</v>
      </c>
      <c r="K214" s="30">
        <v>2022.81</v>
      </c>
      <c r="L214" s="205">
        <v>3</v>
      </c>
      <c r="M214" s="26">
        <f t="shared" si="12"/>
        <v>2022.81</v>
      </c>
      <c r="N214" s="30">
        <v>2022.81</v>
      </c>
      <c r="O214" s="308"/>
      <c r="P214" s="99"/>
      <c r="Q214" s="26"/>
      <c r="R214" s="27"/>
      <c r="S214" s="26">
        <f t="shared" si="15"/>
        <v>0</v>
      </c>
      <c r="T214" s="26"/>
      <c r="U214" s="28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3"/>
      <c r="B215" s="375"/>
      <c r="C215" s="375"/>
      <c r="D215" s="375"/>
      <c r="E215" s="375"/>
      <c r="F215" s="220" t="s">
        <v>247</v>
      </c>
      <c r="G215" s="229" t="s">
        <v>28</v>
      </c>
      <c r="H215" s="258">
        <v>7</v>
      </c>
      <c r="I215" s="37">
        <v>5</v>
      </c>
      <c r="J215" s="37">
        <v>5</v>
      </c>
      <c r="K215" s="68">
        <v>10794.85</v>
      </c>
      <c r="L215" s="285">
        <v>5</v>
      </c>
      <c r="M215" s="39">
        <f t="shared" si="12"/>
        <v>19304.88</v>
      </c>
      <c r="N215" s="39">
        <f>1985.09+7101.24+2689.4+4418.3+1705.95+1404.9</f>
        <v>19304.88</v>
      </c>
      <c r="O215" s="309"/>
      <c r="P215" s="310">
        <v>6</v>
      </c>
      <c r="Q215" s="245">
        <v>28151.200000000001</v>
      </c>
      <c r="R215" s="285">
        <v>6</v>
      </c>
      <c r="S215" s="39">
        <f t="shared" si="15"/>
        <v>19124.87</v>
      </c>
      <c r="T215" s="68">
        <f>4034.1+1152.6+2881.5+2497.3+1921+6638.37</f>
        <v>19124.87</v>
      </c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6"/>
      <c r="B216" s="377" t="s">
        <v>169</v>
      </c>
      <c r="C216" s="377" t="s">
        <v>39</v>
      </c>
      <c r="D216" s="377"/>
      <c r="E216" s="377" t="s">
        <v>27</v>
      </c>
      <c r="F216" s="72"/>
      <c r="G216" s="291" t="s">
        <v>24</v>
      </c>
      <c r="H216" s="98"/>
      <c r="I216" s="49"/>
      <c r="J216" s="49"/>
      <c r="K216" s="50"/>
      <c r="L216" s="51"/>
      <c r="M216" s="50">
        <f t="shared" si="12"/>
        <v>0</v>
      </c>
      <c r="N216" s="50"/>
      <c r="O216" s="31"/>
      <c r="P216" s="277"/>
      <c r="Q216" s="81"/>
      <c r="R216" s="80"/>
      <c r="S216" s="81">
        <f t="shared" si="15"/>
        <v>0</v>
      </c>
      <c r="T216" s="81"/>
      <c r="U216" s="219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336</v>
      </c>
      <c r="G217" s="229" t="s">
        <v>28</v>
      </c>
      <c r="H217" s="153">
        <v>3</v>
      </c>
      <c r="I217" s="57"/>
      <c r="J217" s="57"/>
      <c r="K217" s="43"/>
      <c r="L217" s="44"/>
      <c r="M217" s="43">
        <f t="shared" si="12"/>
        <v>0</v>
      </c>
      <c r="N217" s="43"/>
      <c r="O217" s="41"/>
      <c r="P217" s="113">
        <v>1</v>
      </c>
      <c r="Q217" s="114">
        <v>3842</v>
      </c>
      <c r="R217" s="316">
        <v>1</v>
      </c>
      <c r="S217" s="50">
        <f t="shared" si="15"/>
        <v>3842</v>
      </c>
      <c r="T217" s="43">
        <f>3842</f>
        <v>3842</v>
      </c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170</v>
      </c>
      <c r="C218" s="374" t="s">
        <v>22</v>
      </c>
      <c r="D218" s="374"/>
      <c r="E218" s="374" t="s">
        <v>160</v>
      </c>
      <c r="F218" s="232" t="s">
        <v>248</v>
      </c>
      <c r="G218" s="23" t="s">
        <v>24</v>
      </c>
      <c r="H218" s="48">
        <v>21</v>
      </c>
      <c r="I218" s="62">
        <v>15</v>
      </c>
      <c r="J218" s="62">
        <v>22</v>
      </c>
      <c r="K218" s="30">
        <v>49378.13</v>
      </c>
      <c r="L218" s="205">
        <v>22</v>
      </c>
      <c r="M218" s="26">
        <f t="shared" si="12"/>
        <v>49378.13</v>
      </c>
      <c r="N218" s="30">
        <v>49378.13</v>
      </c>
      <c r="O218" s="225"/>
      <c r="P218" s="53">
        <v>21</v>
      </c>
      <c r="Q218" s="30">
        <v>66092.33</v>
      </c>
      <c r="R218" s="205">
        <v>21</v>
      </c>
      <c r="S218" s="26">
        <f t="shared" si="15"/>
        <v>66092.33</v>
      </c>
      <c r="T218" s="30">
        <v>66092.33</v>
      </c>
      <c r="U218" s="225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105"/>
      <c r="G219" s="35" t="s">
        <v>28</v>
      </c>
      <c r="H219" s="116"/>
      <c r="I219" s="38"/>
      <c r="J219" s="38"/>
      <c r="K219" s="39"/>
      <c r="L219" s="40"/>
      <c r="M219" s="39">
        <f t="shared" si="12"/>
        <v>0</v>
      </c>
      <c r="N219" s="39"/>
      <c r="O219" s="41"/>
      <c r="P219" s="59"/>
      <c r="Q219" s="39"/>
      <c r="R219" s="40"/>
      <c r="S219" s="39">
        <f t="shared" si="15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2"/>
      <c r="B220" s="374" t="s">
        <v>171</v>
      </c>
      <c r="C220" s="374" t="s">
        <v>39</v>
      </c>
      <c r="D220" s="374" t="s">
        <v>374</v>
      </c>
      <c r="E220" s="374" t="s">
        <v>27</v>
      </c>
      <c r="F220" s="223" t="s">
        <v>375</v>
      </c>
      <c r="G220" s="176" t="s">
        <v>24</v>
      </c>
      <c r="H220" s="48">
        <v>4</v>
      </c>
      <c r="I220" s="203">
        <v>2</v>
      </c>
      <c r="J220" s="203">
        <v>2</v>
      </c>
      <c r="K220" s="65">
        <v>3169.65</v>
      </c>
      <c r="L220" s="224">
        <v>2</v>
      </c>
      <c r="M220" s="50">
        <f t="shared" si="12"/>
        <v>3169.65</v>
      </c>
      <c r="N220" s="65">
        <v>3169.65</v>
      </c>
      <c r="O220" s="31"/>
      <c r="P220" s="108">
        <v>6</v>
      </c>
      <c r="Q220" s="65">
        <v>16741.060000000001</v>
      </c>
      <c r="R220" s="224">
        <v>6</v>
      </c>
      <c r="S220" s="50">
        <f t="shared" si="15"/>
        <v>16741.060000000001</v>
      </c>
      <c r="T220" s="65">
        <v>16741.060000000001</v>
      </c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3"/>
      <c r="B221" s="375"/>
      <c r="C221" s="375"/>
      <c r="D221" s="375"/>
      <c r="E221" s="375"/>
      <c r="F221" s="220" t="s">
        <v>337</v>
      </c>
      <c r="G221" s="229" t="s">
        <v>28</v>
      </c>
      <c r="H221" s="133">
        <v>4</v>
      </c>
      <c r="I221" s="37">
        <v>1</v>
      </c>
      <c r="J221" s="37">
        <v>1</v>
      </c>
      <c r="K221" s="68">
        <v>3457.8</v>
      </c>
      <c r="L221" s="350">
        <v>1</v>
      </c>
      <c r="M221" s="351">
        <f t="shared" si="12"/>
        <v>3457.8</v>
      </c>
      <c r="N221" s="39">
        <f>3457.8</f>
        <v>3457.8</v>
      </c>
      <c r="O221" s="41"/>
      <c r="P221" s="115">
        <v>2</v>
      </c>
      <c r="Q221" s="68">
        <v>7299.8</v>
      </c>
      <c r="R221" s="285">
        <v>2</v>
      </c>
      <c r="S221" s="39">
        <f t="shared" si="15"/>
        <v>7299.7999999999993</v>
      </c>
      <c r="T221" s="39">
        <f>3073.6+4226.2</f>
        <v>7299.7999999999993</v>
      </c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477</v>
      </c>
      <c r="C222" s="374"/>
      <c r="D222" s="374"/>
      <c r="E222" s="374"/>
      <c r="F222" s="232"/>
      <c r="G222" s="176" t="s">
        <v>24</v>
      </c>
      <c r="H222" s="260"/>
      <c r="I222" s="231"/>
      <c r="J222" s="231"/>
      <c r="K222" s="91"/>
      <c r="L222" s="330"/>
      <c r="M222" s="50">
        <f t="shared" si="12"/>
        <v>0</v>
      </c>
      <c r="N222" s="91"/>
      <c r="O222" s="331"/>
      <c r="P222" s="329"/>
      <c r="Q222" s="91"/>
      <c r="R222" s="330"/>
      <c r="S222" s="142">
        <f t="shared" si="15"/>
        <v>0</v>
      </c>
      <c r="T222" s="91"/>
      <c r="U222" s="3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3"/>
      <c r="B223" s="375"/>
      <c r="C223" s="375"/>
      <c r="D223" s="375"/>
      <c r="E223" s="375"/>
      <c r="F223" s="305"/>
      <c r="G223" s="229" t="s">
        <v>28</v>
      </c>
      <c r="H223" s="117">
        <v>1</v>
      </c>
      <c r="I223" s="208"/>
      <c r="J223" s="208"/>
      <c r="K223" s="209"/>
      <c r="L223" s="290"/>
      <c r="M223" s="87">
        <f t="shared" si="12"/>
        <v>0</v>
      </c>
      <c r="N223" s="209"/>
      <c r="O223" s="234"/>
      <c r="P223" s="262"/>
      <c r="Q223" s="209"/>
      <c r="R223" s="290"/>
      <c r="S223" s="87">
        <f t="shared" si="15"/>
        <v>0</v>
      </c>
      <c r="T223" s="209"/>
      <c r="U223" s="263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172</v>
      </c>
      <c r="C224" s="374" t="s">
        <v>39</v>
      </c>
      <c r="D224" s="374" t="s">
        <v>303</v>
      </c>
      <c r="E224" s="374" t="s">
        <v>121</v>
      </c>
      <c r="F224" s="204" t="s">
        <v>304</v>
      </c>
      <c r="G224" s="176" t="s">
        <v>24</v>
      </c>
      <c r="H224" s="265">
        <v>25</v>
      </c>
      <c r="I224" s="62">
        <v>15</v>
      </c>
      <c r="J224" s="62">
        <v>16</v>
      </c>
      <c r="K224" s="30">
        <v>15584.37</v>
      </c>
      <c r="L224" s="205">
        <v>10</v>
      </c>
      <c r="M224" s="26">
        <f t="shared" si="12"/>
        <v>7339.68</v>
      </c>
      <c r="N224" s="30">
        <v>7339.68</v>
      </c>
      <c r="O224" s="269"/>
      <c r="P224" s="53">
        <v>29</v>
      </c>
      <c r="Q224" s="30">
        <v>78523.929999999993</v>
      </c>
      <c r="R224" s="205">
        <v>26</v>
      </c>
      <c r="S224" s="26">
        <f t="shared" si="15"/>
        <v>73507.41</v>
      </c>
      <c r="T224" s="30">
        <v>73507.41</v>
      </c>
      <c r="U224" s="2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34"/>
      <c r="G225" s="229" t="s">
        <v>25</v>
      </c>
      <c r="H225" s="102"/>
      <c r="I225" s="57"/>
      <c r="J225" s="57"/>
      <c r="K225" s="43"/>
      <c r="L225" s="44"/>
      <c r="M225" s="43">
        <f t="shared" si="12"/>
        <v>0</v>
      </c>
      <c r="N225" s="43"/>
      <c r="O225" s="41"/>
      <c r="P225" s="113">
        <v>1</v>
      </c>
      <c r="Q225" s="114">
        <v>1728.9</v>
      </c>
      <c r="R225" s="270">
        <v>1</v>
      </c>
      <c r="S225" s="43">
        <f t="shared" si="15"/>
        <v>1728.9</v>
      </c>
      <c r="T225" s="114">
        <v>1728.9</v>
      </c>
      <c r="U225" s="23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2"/>
      <c r="B226" s="374" t="s">
        <v>173</v>
      </c>
      <c r="C226" s="374" t="s">
        <v>39</v>
      </c>
      <c r="D226" s="374" t="s">
        <v>338</v>
      </c>
      <c r="E226" s="374" t="s">
        <v>121</v>
      </c>
      <c r="F226" s="232" t="s">
        <v>376</v>
      </c>
      <c r="G226" s="23" t="s">
        <v>24</v>
      </c>
      <c r="H226" s="61">
        <v>40</v>
      </c>
      <c r="I226" s="62">
        <v>11</v>
      </c>
      <c r="J226" s="62">
        <v>18</v>
      </c>
      <c r="K226" s="30">
        <v>14371.13</v>
      </c>
      <c r="L226" s="27"/>
      <c r="M226" s="26">
        <f t="shared" si="12"/>
        <v>0</v>
      </c>
      <c r="N226" s="26"/>
      <c r="O226" s="31"/>
      <c r="P226" s="53">
        <v>5</v>
      </c>
      <c r="Q226" s="30">
        <v>4887.8599999999997</v>
      </c>
      <c r="R226" s="205">
        <v>5</v>
      </c>
      <c r="S226" s="26">
        <f t="shared" si="15"/>
        <v>4887.8599999999997</v>
      </c>
      <c r="T226" s="30">
        <v>4887.8599999999997</v>
      </c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339</v>
      </c>
      <c r="G227" s="35" t="s">
        <v>25</v>
      </c>
      <c r="H227" s="117">
        <v>12</v>
      </c>
      <c r="I227" s="37">
        <v>3</v>
      </c>
      <c r="J227" s="37">
        <v>3</v>
      </c>
      <c r="K227" s="68">
        <v>4062.8</v>
      </c>
      <c r="L227" s="285">
        <v>3</v>
      </c>
      <c r="M227" s="68">
        <v>4062.8</v>
      </c>
      <c r="N227" s="68">
        <v>4062.8</v>
      </c>
      <c r="O227" s="234"/>
      <c r="P227" s="115">
        <v>3</v>
      </c>
      <c r="Q227" s="68">
        <v>5845.65</v>
      </c>
      <c r="R227" s="285">
        <v>3</v>
      </c>
      <c r="S227" s="68">
        <v>5845.65</v>
      </c>
      <c r="T227" s="68">
        <v>4942.5</v>
      </c>
      <c r="U227" s="23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174</v>
      </c>
      <c r="C228" s="374" t="s">
        <v>39</v>
      </c>
      <c r="D228" s="374" t="s">
        <v>175</v>
      </c>
      <c r="E228" s="374" t="s">
        <v>176</v>
      </c>
      <c r="F228" s="204" t="s">
        <v>377</v>
      </c>
      <c r="G228" s="176" t="s">
        <v>24</v>
      </c>
      <c r="H228" s="48">
        <v>19</v>
      </c>
      <c r="I228" s="203">
        <v>13</v>
      </c>
      <c r="J228" s="203">
        <v>14</v>
      </c>
      <c r="K228" s="65">
        <v>24081.66</v>
      </c>
      <c r="L228" s="224">
        <v>14</v>
      </c>
      <c r="M228" s="50">
        <f>N228+O228</f>
        <v>24081.66</v>
      </c>
      <c r="N228" s="65">
        <v>24081.66</v>
      </c>
      <c r="O228" s="225"/>
      <c r="P228" s="108">
        <v>18</v>
      </c>
      <c r="Q228" s="65">
        <v>56598.95</v>
      </c>
      <c r="R228" s="224">
        <v>18</v>
      </c>
      <c r="S228" s="50">
        <f>T228+U228</f>
        <v>56598.95</v>
      </c>
      <c r="T228" s="65">
        <v>56598.95</v>
      </c>
      <c r="U228" s="225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 t="s">
        <v>340</v>
      </c>
      <c r="G229" s="229" t="s">
        <v>25</v>
      </c>
      <c r="H229" s="153">
        <v>2</v>
      </c>
      <c r="I229" s="130">
        <v>2</v>
      </c>
      <c r="J229" s="130">
        <v>2</v>
      </c>
      <c r="K229" s="114">
        <v>11239.2</v>
      </c>
      <c r="L229" s="270">
        <v>2</v>
      </c>
      <c r="M229" s="114">
        <v>11239.2</v>
      </c>
      <c r="N229" s="114">
        <v>11239.2</v>
      </c>
      <c r="O229" s="41"/>
      <c r="P229" s="113">
        <v>10</v>
      </c>
      <c r="Q229" s="114">
        <v>46701.760000000002</v>
      </c>
      <c r="R229" s="270">
        <v>10</v>
      </c>
      <c r="S229" s="114">
        <v>46701.760000000002</v>
      </c>
      <c r="T229" s="114">
        <v>46701.760000000002</v>
      </c>
      <c r="U229" s="23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177</v>
      </c>
      <c r="C230" s="377" t="s">
        <v>39</v>
      </c>
      <c r="D230" s="374" t="s">
        <v>226</v>
      </c>
      <c r="E230" s="374" t="s">
        <v>27</v>
      </c>
      <c r="F230" s="204" t="s">
        <v>227</v>
      </c>
      <c r="G230" s="23" t="s">
        <v>24</v>
      </c>
      <c r="H230" s="48">
        <v>6</v>
      </c>
      <c r="I230" s="62">
        <v>3</v>
      </c>
      <c r="J230" s="62">
        <v>3</v>
      </c>
      <c r="K230" s="30">
        <v>1969.94</v>
      </c>
      <c r="L230" s="205">
        <v>3</v>
      </c>
      <c r="M230" s="26">
        <f t="shared" ref="M230:M256" si="16">N230+O230</f>
        <v>1969.94</v>
      </c>
      <c r="N230" s="30">
        <v>1969.94</v>
      </c>
      <c r="O230" s="225"/>
      <c r="P230" s="53">
        <v>16</v>
      </c>
      <c r="Q230" s="30">
        <v>53460.74</v>
      </c>
      <c r="R230" s="205">
        <v>16</v>
      </c>
      <c r="S230" s="26">
        <f t="shared" ref="S230:S256" si="17">T230+U230</f>
        <v>53460.74</v>
      </c>
      <c r="T230" s="30">
        <v>53460.74</v>
      </c>
      <c r="U230" s="225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80"/>
      <c r="D231" s="375"/>
      <c r="E231" s="375"/>
      <c r="F231" s="105"/>
      <c r="G231" s="55" t="s">
        <v>28</v>
      </c>
      <c r="H231" s="118"/>
      <c r="I231" s="57"/>
      <c r="J231" s="57"/>
      <c r="K231" s="43"/>
      <c r="L231" s="44"/>
      <c r="M231" s="43">
        <f t="shared" si="16"/>
        <v>0</v>
      </c>
      <c r="N231" s="43"/>
      <c r="O231" s="41"/>
      <c r="P231" s="103"/>
      <c r="Q231" s="43"/>
      <c r="R231" s="44"/>
      <c r="S231" s="43">
        <f t="shared" si="17"/>
        <v>0</v>
      </c>
      <c r="T231" s="43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2"/>
      <c r="B232" s="374" t="s">
        <v>178</v>
      </c>
      <c r="C232" s="374" t="s">
        <v>22</v>
      </c>
      <c r="D232" s="374"/>
      <c r="E232" s="374" t="s">
        <v>27</v>
      </c>
      <c r="F232" s="232" t="s">
        <v>452</v>
      </c>
      <c r="G232" s="176" t="s">
        <v>24</v>
      </c>
      <c r="H232" s="61">
        <v>7</v>
      </c>
      <c r="I232" s="62">
        <v>7</v>
      </c>
      <c r="J232" s="62">
        <v>7</v>
      </c>
      <c r="K232" s="30">
        <v>6740.58</v>
      </c>
      <c r="L232" s="205">
        <v>5</v>
      </c>
      <c r="M232" s="26">
        <f t="shared" si="16"/>
        <v>5349.73</v>
      </c>
      <c r="N232" s="30">
        <v>5349.73</v>
      </c>
      <c r="O232" s="31"/>
      <c r="P232" s="29">
        <v>1</v>
      </c>
      <c r="Q232" s="30">
        <v>2466.56</v>
      </c>
      <c r="R232" s="205">
        <v>1</v>
      </c>
      <c r="S232" s="26">
        <f t="shared" si="17"/>
        <v>2466.56</v>
      </c>
      <c r="T232" s="30">
        <v>2466.56</v>
      </c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105"/>
      <c r="G233" s="252" t="s">
        <v>28</v>
      </c>
      <c r="H233" s="106"/>
      <c r="I233" s="38"/>
      <c r="J233" s="38"/>
      <c r="K233" s="39"/>
      <c r="L233" s="40"/>
      <c r="M233" s="39">
        <f t="shared" si="16"/>
        <v>0</v>
      </c>
      <c r="N233" s="39"/>
      <c r="O233" s="41"/>
      <c r="P233" s="69"/>
      <c r="Q233" s="39"/>
      <c r="R233" s="40"/>
      <c r="S233" s="39">
        <f t="shared" si="17"/>
        <v>0</v>
      </c>
      <c r="T233" s="39"/>
      <c r="U233" s="4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445</v>
      </c>
      <c r="C234" s="374"/>
      <c r="D234" s="374"/>
      <c r="E234" s="374"/>
      <c r="F234" s="72"/>
      <c r="G234" s="176" t="s">
        <v>24</v>
      </c>
      <c r="H234" s="265"/>
      <c r="I234" s="266"/>
      <c r="J234" s="96"/>
      <c r="K234" s="81"/>
      <c r="L234" s="80"/>
      <c r="M234" s="142">
        <f t="shared" si="16"/>
        <v>0</v>
      </c>
      <c r="N234" s="81"/>
      <c r="O234" s="82"/>
      <c r="P234" s="295"/>
      <c r="Q234" s="81"/>
      <c r="R234" s="80"/>
      <c r="S234" s="142">
        <f t="shared" si="17"/>
        <v>0</v>
      </c>
      <c r="T234" s="81"/>
      <c r="U234" s="8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226"/>
      <c r="G235" s="252" t="s">
        <v>28</v>
      </c>
      <c r="H235" s="302">
        <v>1</v>
      </c>
      <c r="I235" s="261"/>
      <c r="J235" s="261"/>
      <c r="K235" s="211"/>
      <c r="L235" s="210"/>
      <c r="M235" s="39">
        <f t="shared" si="16"/>
        <v>0</v>
      </c>
      <c r="N235" s="211"/>
      <c r="O235" s="212"/>
      <c r="P235" s="284"/>
      <c r="Q235" s="211"/>
      <c r="R235" s="210"/>
      <c r="S235" s="39">
        <f t="shared" si="17"/>
        <v>0</v>
      </c>
      <c r="T235" s="211"/>
      <c r="U235" s="21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2"/>
      <c r="B236" s="374" t="s">
        <v>179</v>
      </c>
      <c r="C236" s="374" t="s">
        <v>471</v>
      </c>
      <c r="D236" s="374" t="s">
        <v>472</v>
      </c>
      <c r="E236" s="374" t="s">
        <v>27</v>
      </c>
      <c r="F236" s="204" t="s">
        <v>473</v>
      </c>
      <c r="G236" s="176" t="s">
        <v>24</v>
      </c>
      <c r="H236" s="61">
        <v>2</v>
      </c>
      <c r="I236" s="25"/>
      <c r="J236" s="25"/>
      <c r="K236" s="26"/>
      <c r="L236" s="27"/>
      <c r="M236" s="26">
        <f t="shared" si="16"/>
        <v>0</v>
      </c>
      <c r="N236" s="26"/>
      <c r="O236" s="28"/>
      <c r="P236" s="120"/>
      <c r="Q236" s="26"/>
      <c r="R236" s="27"/>
      <c r="S236" s="26">
        <f t="shared" si="17"/>
        <v>0</v>
      </c>
      <c r="T236" s="26"/>
      <c r="U236" s="28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3"/>
      <c r="B237" s="375"/>
      <c r="C237" s="375"/>
      <c r="D237" s="375"/>
      <c r="E237" s="375"/>
      <c r="F237" s="105"/>
      <c r="G237" s="229" t="s">
        <v>28</v>
      </c>
      <c r="H237" s="298"/>
      <c r="I237" s="261"/>
      <c r="J237" s="261"/>
      <c r="K237" s="211"/>
      <c r="L237" s="210"/>
      <c r="M237" s="211">
        <f t="shared" si="16"/>
        <v>0</v>
      </c>
      <c r="N237" s="211"/>
      <c r="O237" s="212"/>
      <c r="P237" s="284"/>
      <c r="Q237" s="211"/>
      <c r="R237" s="210"/>
      <c r="S237" s="211">
        <f t="shared" si="17"/>
        <v>0</v>
      </c>
      <c r="T237" s="211"/>
      <c r="U237" s="21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378</v>
      </c>
      <c r="C238" s="374" t="s">
        <v>46</v>
      </c>
      <c r="D238" s="374" t="s">
        <v>422</v>
      </c>
      <c r="E238" s="374" t="s">
        <v>27</v>
      </c>
      <c r="F238" s="232" t="s">
        <v>423</v>
      </c>
      <c r="G238" s="213" t="s">
        <v>24</v>
      </c>
      <c r="H238" s="61">
        <v>13</v>
      </c>
      <c r="I238" s="62">
        <v>7</v>
      </c>
      <c r="J238" s="62">
        <v>8</v>
      </c>
      <c r="K238" s="30">
        <v>8606.68</v>
      </c>
      <c r="L238" s="205">
        <v>8</v>
      </c>
      <c r="M238" s="26">
        <f t="shared" si="16"/>
        <v>8606.68</v>
      </c>
      <c r="N238" s="30">
        <v>8606.68</v>
      </c>
      <c r="O238" s="28"/>
      <c r="P238" s="214"/>
      <c r="Q238" s="30"/>
      <c r="R238" s="205"/>
      <c r="S238" s="26">
        <f t="shared" si="17"/>
        <v>0</v>
      </c>
      <c r="T238" s="30"/>
      <c r="U238" s="24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/>
      <c r="G239" s="215" t="s">
        <v>28</v>
      </c>
      <c r="H239" s="117">
        <v>5</v>
      </c>
      <c r="I239" s="37">
        <v>1</v>
      </c>
      <c r="J239" s="37">
        <v>1</v>
      </c>
      <c r="K239" s="68">
        <v>1152.5999999999999</v>
      </c>
      <c r="L239" s="285">
        <v>1</v>
      </c>
      <c r="M239" s="39">
        <f t="shared" si="16"/>
        <v>1152.5999999999999</v>
      </c>
      <c r="N239" s="39">
        <f>1152.6</f>
        <v>1152.5999999999999</v>
      </c>
      <c r="O239" s="41"/>
      <c r="P239" s="217"/>
      <c r="Q239" s="68"/>
      <c r="R239" s="285"/>
      <c r="S239" s="39">
        <f t="shared" si="17"/>
        <v>0</v>
      </c>
      <c r="T239" s="68"/>
      <c r="U239" s="23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6"/>
      <c r="B240" s="377" t="s">
        <v>180</v>
      </c>
      <c r="C240" s="377" t="s">
        <v>46</v>
      </c>
      <c r="D240" s="377" t="s">
        <v>181</v>
      </c>
      <c r="E240" s="377" t="s">
        <v>27</v>
      </c>
      <c r="F240" s="232" t="s">
        <v>228</v>
      </c>
      <c r="G240" s="95" t="s">
        <v>24</v>
      </c>
      <c r="H240" s="265">
        <v>14</v>
      </c>
      <c r="I240" s="266">
        <v>8</v>
      </c>
      <c r="J240" s="266">
        <v>9</v>
      </c>
      <c r="K240" s="79">
        <v>14947.04</v>
      </c>
      <c r="L240" s="268">
        <v>9</v>
      </c>
      <c r="M240" s="81">
        <f t="shared" si="16"/>
        <v>14947.04</v>
      </c>
      <c r="N240" s="79">
        <v>14947.04</v>
      </c>
      <c r="O240" s="219"/>
      <c r="P240" s="267">
        <v>15</v>
      </c>
      <c r="Q240" s="79">
        <v>67448.800000000003</v>
      </c>
      <c r="R240" s="268">
        <v>15</v>
      </c>
      <c r="S240" s="26">
        <f t="shared" si="17"/>
        <v>67448.800000000003</v>
      </c>
      <c r="T240" s="79">
        <v>67448.800000000003</v>
      </c>
      <c r="U240" s="269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54"/>
      <c r="G241" s="55" t="s">
        <v>28</v>
      </c>
      <c r="H241" s="116"/>
      <c r="I241" s="57"/>
      <c r="J241" s="57"/>
      <c r="K241" s="43"/>
      <c r="L241" s="128"/>
      <c r="M241" s="50">
        <f t="shared" si="16"/>
        <v>0</v>
      </c>
      <c r="N241" s="43"/>
      <c r="O241" s="41"/>
      <c r="P241" s="113">
        <v>3</v>
      </c>
      <c r="Q241" s="114">
        <v>15175.95</v>
      </c>
      <c r="R241" s="270">
        <v>3</v>
      </c>
      <c r="S241" s="43">
        <f t="shared" si="17"/>
        <v>2881.5499999999997</v>
      </c>
      <c r="T241" s="114">
        <f>2209.2+672.35</f>
        <v>2881.5499999999997</v>
      </c>
      <c r="U241" s="45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6.5" customHeight="1">
      <c r="A242" s="372"/>
      <c r="B242" s="374" t="s">
        <v>182</v>
      </c>
      <c r="C242" s="374" t="s">
        <v>46</v>
      </c>
      <c r="D242" s="374" t="s">
        <v>181</v>
      </c>
      <c r="E242" s="374" t="s">
        <v>27</v>
      </c>
      <c r="F242" s="204" t="s">
        <v>379</v>
      </c>
      <c r="G242" s="23" t="s">
        <v>24</v>
      </c>
      <c r="H242" s="48">
        <v>18</v>
      </c>
      <c r="I242" s="62">
        <v>17</v>
      </c>
      <c r="J242" s="62">
        <v>19</v>
      </c>
      <c r="K242" s="30">
        <v>26535.09</v>
      </c>
      <c r="L242" s="205">
        <v>19</v>
      </c>
      <c r="M242" s="26">
        <f t="shared" si="16"/>
        <v>26535.09</v>
      </c>
      <c r="N242" s="30">
        <v>26535.09</v>
      </c>
      <c r="O242" s="31"/>
      <c r="P242" s="53">
        <v>11</v>
      </c>
      <c r="Q242" s="30">
        <v>60086.13</v>
      </c>
      <c r="R242" s="205">
        <v>11</v>
      </c>
      <c r="S242" s="26">
        <f t="shared" si="17"/>
        <v>60086.13</v>
      </c>
      <c r="T242" s="30">
        <v>60086.13</v>
      </c>
      <c r="U242" s="100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3"/>
      <c r="B243" s="375"/>
      <c r="C243" s="375"/>
      <c r="D243" s="375"/>
      <c r="E243" s="375"/>
      <c r="F243" s="34"/>
      <c r="G243" s="35" t="s">
        <v>28</v>
      </c>
      <c r="H243" s="116"/>
      <c r="I243" s="38"/>
      <c r="J243" s="38"/>
      <c r="K243" s="39"/>
      <c r="L243" s="40"/>
      <c r="M243" s="39">
        <f t="shared" si="16"/>
        <v>0</v>
      </c>
      <c r="N243" s="39"/>
      <c r="O243" s="41"/>
      <c r="P243" s="115">
        <v>2</v>
      </c>
      <c r="Q243" s="68">
        <v>4418.3</v>
      </c>
      <c r="R243" s="285">
        <v>2</v>
      </c>
      <c r="S243" s="39">
        <f t="shared" si="17"/>
        <v>4418.3</v>
      </c>
      <c r="T243" s="39">
        <f>3073.6+1344.7</f>
        <v>4418.3</v>
      </c>
      <c r="U243" s="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70"/>
      <c r="B244" s="377" t="s">
        <v>480</v>
      </c>
      <c r="C244" s="377" t="s">
        <v>39</v>
      </c>
      <c r="D244" s="377" t="s">
        <v>481</v>
      </c>
      <c r="E244" s="377"/>
      <c r="F244" s="232"/>
      <c r="G244" s="23" t="s">
        <v>24</v>
      </c>
      <c r="H244" s="48"/>
      <c r="I244" s="266"/>
      <c r="J244" s="266"/>
      <c r="K244" s="79"/>
      <c r="L244" s="268"/>
      <c r="M244" s="142">
        <f t="shared" si="16"/>
        <v>0</v>
      </c>
      <c r="N244" s="79"/>
      <c r="O244" s="82"/>
      <c r="P244" s="267"/>
      <c r="Q244" s="79"/>
      <c r="R244" s="268"/>
      <c r="S244" s="142">
        <f t="shared" si="17"/>
        <v>0</v>
      </c>
      <c r="T244" s="79"/>
      <c r="U244" s="336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55"/>
      <c r="B245" s="375"/>
      <c r="C245" s="375"/>
      <c r="D245" s="375"/>
      <c r="E245" s="375"/>
      <c r="F245" s="356"/>
      <c r="G245" s="35" t="s">
        <v>28</v>
      </c>
      <c r="H245" s="353">
        <v>3</v>
      </c>
      <c r="I245" s="338"/>
      <c r="J245" s="338"/>
      <c r="K245" s="339"/>
      <c r="L245" s="340"/>
      <c r="M245" s="39">
        <f t="shared" si="16"/>
        <v>0</v>
      </c>
      <c r="N245" s="339"/>
      <c r="O245" s="89"/>
      <c r="P245" s="357"/>
      <c r="Q245" s="339"/>
      <c r="R245" s="340"/>
      <c r="S245" s="39">
        <f t="shared" si="17"/>
        <v>0</v>
      </c>
      <c r="T245" s="339"/>
      <c r="U245" s="34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6"/>
      <c r="B246" s="377" t="s">
        <v>183</v>
      </c>
      <c r="C246" s="377" t="s">
        <v>22</v>
      </c>
      <c r="D246" s="377"/>
      <c r="E246" s="377" t="s">
        <v>99</v>
      </c>
      <c r="F246" s="232" t="s">
        <v>380</v>
      </c>
      <c r="G246" s="23" t="s">
        <v>24</v>
      </c>
      <c r="H246" s="265">
        <v>11</v>
      </c>
      <c r="I246" s="266">
        <v>4</v>
      </c>
      <c r="J246" s="266">
        <v>5</v>
      </c>
      <c r="K246" s="79">
        <v>6598</v>
      </c>
      <c r="L246" s="268">
        <v>5</v>
      </c>
      <c r="M246" s="81">
        <f t="shared" si="16"/>
        <v>6598</v>
      </c>
      <c r="N246" s="79">
        <v>6598</v>
      </c>
      <c r="O246" s="219"/>
      <c r="P246" s="267">
        <v>12</v>
      </c>
      <c r="Q246" s="79">
        <v>23530.12</v>
      </c>
      <c r="R246" s="268">
        <v>12</v>
      </c>
      <c r="S246" s="81">
        <f t="shared" si="17"/>
        <v>23530.12</v>
      </c>
      <c r="T246" s="79">
        <v>23530.12</v>
      </c>
      <c r="U246" s="269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9"/>
      <c r="B247" s="380"/>
      <c r="C247" s="380"/>
      <c r="D247" s="380"/>
      <c r="E247" s="380"/>
      <c r="F247" s="233" t="s">
        <v>252</v>
      </c>
      <c r="G247" s="227" t="s">
        <v>28</v>
      </c>
      <c r="H247" s="292">
        <v>7</v>
      </c>
      <c r="I247" s="208">
        <v>1</v>
      </c>
      <c r="J247" s="208">
        <v>1</v>
      </c>
      <c r="K247" s="209">
        <v>3073.6</v>
      </c>
      <c r="L247" s="290">
        <v>2</v>
      </c>
      <c r="M247" s="211">
        <f t="shared" si="16"/>
        <v>4879.8999999999996</v>
      </c>
      <c r="N247" s="211">
        <f>1806.3+3073.6</f>
        <v>4879.8999999999996</v>
      </c>
      <c r="O247" s="212"/>
      <c r="P247" s="262">
        <v>3</v>
      </c>
      <c r="Q247" s="209">
        <v>7185.1</v>
      </c>
      <c r="R247" s="290">
        <v>2</v>
      </c>
      <c r="S247" s="211">
        <f t="shared" si="17"/>
        <v>5378.8</v>
      </c>
      <c r="T247" s="211">
        <f>4034.1+1344.7</f>
        <v>5378.8</v>
      </c>
      <c r="U247" s="21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2"/>
      <c r="B248" s="374" t="s">
        <v>425</v>
      </c>
      <c r="C248" s="374" t="s">
        <v>22</v>
      </c>
      <c r="D248" s="374"/>
      <c r="E248" s="374" t="s">
        <v>131</v>
      </c>
      <c r="F248" s="204" t="s">
        <v>426</v>
      </c>
      <c r="G248" s="176" t="s">
        <v>24</v>
      </c>
      <c r="H248" s="61">
        <v>9</v>
      </c>
      <c r="I248" s="62">
        <v>6</v>
      </c>
      <c r="J248" s="62">
        <v>7</v>
      </c>
      <c r="K248" s="30">
        <v>9021.6299999999992</v>
      </c>
      <c r="L248" s="205">
        <v>6</v>
      </c>
      <c r="M248" s="26">
        <f t="shared" si="16"/>
        <v>7502.13</v>
      </c>
      <c r="N248" s="30">
        <v>7502.13</v>
      </c>
      <c r="O248" s="28"/>
      <c r="P248" s="275"/>
      <c r="Q248" s="26"/>
      <c r="R248" s="27"/>
      <c r="S248" s="26">
        <f t="shared" si="17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3"/>
      <c r="B249" s="375"/>
      <c r="C249" s="375"/>
      <c r="D249" s="375"/>
      <c r="E249" s="375"/>
      <c r="F249" s="34"/>
      <c r="G249" s="229" t="s">
        <v>25</v>
      </c>
      <c r="H249" s="106"/>
      <c r="I249" s="38"/>
      <c r="J249" s="38"/>
      <c r="K249" s="39"/>
      <c r="L249" s="40"/>
      <c r="M249" s="39">
        <f t="shared" si="16"/>
        <v>0</v>
      </c>
      <c r="N249" s="39"/>
      <c r="O249" s="41"/>
      <c r="P249" s="276"/>
      <c r="Q249" s="39"/>
      <c r="R249" s="40"/>
      <c r="S249" s="39">
        <f t="shared" si="17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6"/>
      <c r="B250" s="377" t="s">
        <v>184</v>
      </c>
      <c r="C250" s="377" t="s">
        <v>22</v>
      </c>
      <c r="D250" s="377"/>
      <c r="E250" s="377" t="s">
        <v>27</v>
      </c>
      <c r="F250" s="223" t="s">
        <v>453</v>
      </c>
      <c r="G250" s="95" t="s">
        <v>24</v>
      </c>
      <c r="H250" s="265">
        <v>2</v>
      </c>
      <c r="I250" s="266">
        <v>2</v>
      </c>
      <c r="J250" s="266">
        <v>2</v>
      </c>
      <c r="K250" s="79">
        <v>3158.6</v>
      </c>
      <c r="L250" s="268">
        <v>2</v>
      </c>
      <c r="M250" s="81">
        <f t="shared" si="16"/>
        <v>3158.6</v>
      </c>
      <c r="N250" s="79">
        <v>3158.6</v>
      </c>
      <c r="O250" s="219"/>
      <c r="P250" s="277"/>
      <c r="Q250" s="81"/>
      <c r="R250" s="80"/>
      <c r="S250" s="81">
        <f t="shared" si="17"/>
        <v>0</v>
      </c>
      <c r="T250" s="81"/>
      <c r="U250" s="219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9"/>
      <c r="B251" s="380"/>
      <c r="C251" s="380"/>
      <c r="D251" s="380"/>
      <c r="E251" s="380"/>
      <c r="F251" s="233" t="s">
        <v>253</v>
      </c>
      <c r="G251" s="227" t="s">
        <v>28</v>
      </c>
      <c r="H251" s="153">
        <v>4</v>
      </c>
      <c r="I251" s="130">
        <v>3</v>
      </c>
      <c r="J251" s="130">
        <v>3</v>
      </c>
      <c r="K251" s="114">
        <v>8675.82</v>
      </c>
      <c r="L251" s="270">
        <v>3</v>
      </c>
      <c r="M251" s="43">
        <f t="shared" si="16"/>
        <v>9275.82</v>
      </c>
      <c r="N251" s="43">
        <f>1921+3380.96+3973.86</f>
        <v>9275.82</v>
      </c>
      <c r="O251" s="41"/>
      <c r="P251" s="113">
        <v>5</v>
      </c>
      <c r="Q251" s="114">
        <v>10565.5</v>
      </c>
      <c r="R251" s="270">
        <v>4</v>
      </c>
      <c r="S251" s="43">
        <f t="shared" si="17"/>
        <v>9989.2000000000007</v>
      </c>
      <c r="T251" s="114">
        <f>2958.34+3457.8+1267.86+2305.2</f>
        <v>9989.2000000000007</v>
      </c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2"/>
      <c r="B252" s="374" t="s">
        <v>185</v>
      </c>
      <c r="C252" s="374" t="s">
        <v>22</v>
      </c>
      <c r="D252" s="374"/>
      <c r="E252" s="374" t="s">
        <v>27</v>
      </c>
      <c r="F252" s="204" t="s">
        <v>341</v>
      </c>
      <c r="G252" s="176" t="s">
        <v>24</v>
      </c>
      <c r="H252" s="98"/>
      <c r="I252" s="25"/>
      <c r="J252" s="25"/>
      <c r="K252" s="26"/>
      <c r="L252" s="27"/>
      <c r="M252" s="26">
        <f t="shared" si="16"/>
        <v>0</v>
      </c>
      <c r="N252" s="26"/>
      <c r="O252" s="31"/>
      <c r="P252" s="53">
        <v>2</v>
      </c>
      <c r="Q252" s="30">
        <v>2633.4</v>
      </c>
      <c r="R252" s="205">
        <v>2</v>
      </c>
      <c r="S252" s="26">
        <f t="shared" si="17"/>
        <v>2633.4</v>
      </c>
      <c r="T252" s="30">
        <v>2633.4</v>
      </c>
      <c r="U252" s="225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373"/>
      <c r="B253" s="375"/>
      <c r="C253" s="375"/>
      <c r="D253" s="375"/>
      <c r="E253" s="375"/>
      <c r="F253" s="220" t="s">
        <v>342</v>
      </c>
      <c r="G253" s="229" t="s">
        <v>28</v>
      </c>
      <c r="H253" s="133">
        <v>4</v>
      </c>
      <c r="I253" s="57"/>
      <c r="J253" s="57"/>
      <c r="K253" s="43"/>
      <c r="L253" s="44"/>
      <c r="M253" s="43">
        <f t="shared" si="16"/>
        <v>0</v>
      </c>
      <c r="N253" s="43"/>
      <c r="O253" s="41"/>
      <c r="P253" s="113">
        <v>3</v>
      </c>
      <c r="Q253" s="114">
        <v>15773.67</v>
      </c>
      <c r="R253" s="270">
        <v>3</v>
      </c>
      <c r="S253" s="43">
        <f t="shared" si="17"/>
        <v>15773.67</v>
      </c>
      <c r="T253" s="43">
        <f>2994.47+1204.2+11575</f>
        <v>15773.67</v>
      </c>
      <c r="U253" s="41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2"/>
      <c r="B254" s="374" t="s">
        <v>186</v>
      </c>
      <c r="C254" s="374" t="s">
        <v>22</v>
      </c>
      <c r="D254" s="374"/>
      <c r="E254" s="374" t="s">
        <v>99</v>
      </c>
      <c r="F254" s="232" t="s">
        <v>315</v>
      </c>
      <c r="G254" s="23" t="s">
        <v>24</v>
      </c>
      <c r="H254" s="48">
        <v>10</v>
      </c>
      <c r="I254" s="62">
        <v>5</v>
      </c>
      <c r="J254" s="62">
        <v>8</v>
      </c>
      <c r="K254" s="30">
        <v>19970.849999999999</v>
      </c>
      <c r="L254" s="205">
        <v>7</v>
      </c>
      <c r="M254" s="26">
        <f t="shared" si="16"/>
        <v>17012.53</v>
      </c>
      <c r="N254" s="30">
        <v>17012.53</v>
      </c>
      <c r="O254" s="31"/>
      <c r="P254" s="53">
        <v>13</v>
      </c>
      <c r="Q254" s="30">
        <v>34864.89</v>
      </c>
      <c r="R254" s="205">
        <v>12</v>
      </c>
      <c r="S254" s="26">
        <f t="shared" si="17"/>
        <v>25258.31</v>
      </c>
      <c r="T254" s="30">
        <v>25258.31</v>
      </c>
      <c r="U254" s="225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3"/>
      <c r="B255" s="375"/>
      <c r="C255" s="375"/>
      <c r="D255" s="375"/>
      <c r="E255" s="375"/>
      <c r="F255" s="220" t="s">
        <v>254</v>
      </c>
      <c r="G255" s="35" t="s">
        <v>28</v>
      </c>
      <c r="H255" s="153">
        <v>9</v>
      </c>
      <c r="I255" s="38"/>
      <c r="J255" s="38"/>
      <c r="K255" s="39"/>
      <c r="L255" s="40"/>
      <c r="M255" s="39">
        <f t="shared" si="16"/>
        <v>0</v>
      </c>
      <c r="N255" s="39"/>
      <c r="O255" s="41"/>
      <c r="P255" s="59"/>
      <c r="Q255" s="39"/>
      <c r="R255" s="40"/>
      <c r="S255" s="39">
        <f t="shared" si="17"/>
        <v>0</v>
      </c>
      <c r="T255" s="39"/>
      <c r="U255" s="41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82"/>
      <c r="B256" s="381" t="s">
        <v>187</v>
      </c>
      <c r="C256" s="381" t="s">
        <v>22</v>
      </c>
      <c r="D256" s="381"/>
      <c r="E256" s="381" t="s">
        <v>131</v>
      </c>
      <c r="F256" s="223" t="s">
        <v>343</v>
      </c>
      <c r="G256" s="23" t="s">
        <v>24</v>
      </c>
      <c r="H256" s="48">
        <v>14</v>
      </c>
      <c r="I256" s="203">
        <v>12</v>
      </c>
      <c r="J256" s="203">
        <v>17</v>
      </c>
      <c r="K256" s="65">
        <v>33407.07</v>
      </c>
      <c r="L256" s="224">
        <v>17</v>
      </c>
      <c r="M256" s="50">
        <f t="shared" si="16"/>
        <v>33407.07</v>
      </c>
      <c r="N256" s="65">
        <v>33407.07</v>
      </c>
      <c r="O256" s="225"/>
      <c r="P256" s="108">
        <v>18</v>
      </c>
      <c r="Q256" s="65">
        <v>50634.13</v>
      </c>
      <c r="R256" s="224">
        <v>18</v>
      </c>
      <c r="S256" s="50">
        <f t="shared" si="17"/>
        <v>50634.13</v>
      </c>
      <c r="T256" s="65">
        <v>50634.13</v>
      </c>
      <c r="U256" s="225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9"/>
      <c r="B257" s="380"/>
      <c r="C257" s="380"/>
      <c r="D257" s="380"/>
      <c r="E257" s="380"/>
      <c r="F257" s="247"/>
      <c r="G257" s="227" t="s">
        <v>25</v>
      </c>
      <c r="H257" s="153">
        <v>2</v>
      </c>
      <c r="I257" s="130">
        <v>1</v>
      </c>
      <c r="J257" s="130">
        <v>1</v>
      </c>
      <c r="K257" s="114">
        <v>1728.9</v>
      </c>
      <c r="L257" s="270">
        <v>1</v>
      </c>
      <c r="M257" s="114">
        <v>1728.9</v>
      </c>
      <c r="N257" s="114">
        <v>1728.9</v>
      </c>
      <c r="O257" s="41"/>
      <c r="P257" s="113">
        <v>4</v>
      </c>
      <c r="Q257" s="114">
        <v>30582.32</v>
      </c>
      <c r="R257" s="270">
        <v>4</v>
      </c>
      <c r="S257" s="114">
        <v>30582.32</v>
      </c>
      <c r="T257" s="114">
        <v>30582.32</v>
      </c>
      <c r="U257" s="2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2"/>
      <c r="B258" s="374" t="s">
        <v>429</v>
      </c>
      <c r="C258" s="374" t="s">
        <v>22</v>
      </c>
      <c r="D258" s="374"/>
      <c r="E258" s="374" t="s">
        <v>27</v>
      </c>
      <c r="F258" s="204" t="s">
        <v>446</v>
      </c>
      <c r="G258" s="176" t="s">
        <v>24</v>
      </c>
      <c r="H258" s="151"/>
      <c r="I258" s="25"/>
      <c r="J258" s="25"/>
      <c r="K258" s="26"/>
      <c r="L258" s="27"/>
      <c r="M258" s="26">
        <f t="shared" ref="M258:M291" si="18">N258+O258</f>
        <v>0</v>
      </c>
      <c r="N258" s="30"/>
      <c r="O258" s="31"/>
      <c r="P258" s="53">
        <v>1</v>
      </c>
      <c r="Q258" s="30">
        <v>36784.050000000003</v>
      </c>
      <c r="R258" s="205">
        <v>1</v>
      </c>
      <c r="S258" s="26">
        <f t="shared" ref="S258:S284" si="19">T258+U258</f>
        <v>36784.050000000003</v>
      </c>
      <c r="T258" s="30">
        <v>36784.050000000003</v>
      </c>
      <c r="U258" s="3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3"/>
      <c r="B259" s="375"/>
      <c r="C259" s="375"/>
      <c r="D259" s="375"/>
      <c r="E259" s="375"/>
      <c r="F259" s="220"/>
      <c r="G259" s="229" t="s">
        <v>28</v>
      </c>
      <c r="H259" s="133"/>
      <c r="I259" s="57"/>
      <c r="J259" s="57"/>
      <c r="K259" s="43"/>
      <c r="L259" s="44"/>
      <c r="M259" s="43">
        <f t="shared" si="18"/>
        <v>0</v>
      </c>
      <c r="N259" s="43"/>
      <c r="O259" s="41"/>
      <c r="P259" s="113"/>
      <c r="Q259" s="114"/>
      <c r="R259" s="44"/>
      <c r="S259" s="43">
        <f t="shared" si="19"/>
        <v>0</v>
      </c>
      <c r="T259" s="114"/>
      <c r="U259" s="2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2"/>
      <c r="B260" s="374" t="s">
        <v>188</v>
      </c>
      <c r="C260" s="374" t="s">
        <v>39</v>
      </c>
      <c r="D260" s="374" t="s">
        <v>474</v>
      </c>
      <c r="E260" s="374" t="s">
        <v>27</v>
      </c>
      <c r="F260" s="358" t="s">
        <v>482</v>
      </c>
      <c r="G260" s="176" t="s">
        <v>24</v>
      </c>
      <c r="H260" s="281">
        <v>3</v>
      </c>
      <c r="I260" s="62">
        <v>1</v>
      </c>
      <c r="J260" s="62">
        <v>2</v>
      </c>
      <c r="K260" s="30">
        <v>642.24</v>
      </c>
      <c r="L260" s="205">
        <v>1</v>
      </c>
      <c r="M260" s="26">
        <f t="shared" si="18"/>
        <v>642.24</v>
      </c>
      <c r="N260" s="30">
        <v>642.24</v>
      </c>
      <c r="O260" s="219"/>
      <c r="P260" s="53">
        <v>2</v>
      </c>
      <c r="Q260" s="30">
        <v>3649.9</v>
      </c>
      <c r="R260" s="205">
        <v>1</v>
      </c>
      <c r="S260" s="26">
        <f t="shared" si="19"/>
        <v>3649.9</v>
      </c>
      <c r="T260" s="30">
        <v>3649.9</v>
      </c>
      <c r="U260" s="219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20.25" customHeight="1">
      <c r="A261" s="373"/>
      <c r="B261" s="375"/>
      <c r="C261" s="375"/>
      <c r="D261" s="375"/>
      <c r="E261" s="375"/>
      <c r="F261" s="220" t="s">
        <v>344</v>
      </c>
      <c r="G261" s="229" t="s">
        <v>28</v>
      </c>
      <c r="H261" s="56">
        <v>3</v>
      </c>
      <c r="I261" s="130">
        <v>1</v>
      </c>
      <c r="J261" s="130">
        <v>1</v>
      </c>
      <c r="K261" s="114">
        <v>1052.5999999999999</v>
      </c>
      <c r="L261" s="44"/>
      <c r="M261" s="43">
        <f t="shared" si="18"/>
        <v>0</v>
      </c>
      <c r="N261" s="43"/>
      <c r="O261" s="222">
        <v>0</v>
      </c>
      <c r="P261" s="113">
        <v>15</v>
      </c>
      <c r="Q261" s="114">
        <v>23990.9</v>
      </c>
      <c r="R261" s="44"/>
      <c r="S261" s="43">
        <f t="shared" si="19"/>
        <v>4050.2</v>
      </c>
      <c r="T261" s="114">
        <v>4050.2</v>
      </c>
      <c r="U261" s="222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2"/>
      <c r="B262" s="374" t="s">
        <v>189</v>
      </c>
      <c r="C262" s="374" t="s">
        <v>39</v>
      </c>
      <c r="D262" s="374" t="s">
        <v>427</v>
      </c>
      <c r="E262" s="374" t="s">
        <v>27</v>
      </c>
      <c r="F262" s="232" t="s">
        <v>428</v>
      </c>
      <c r="G262" s="23" t="s">
        <v>24</v>
      </c>
      <c r="H262" s="24">
        <v>16</v>
      </c>
      <c r="I262" s="62">
        <v>12</v>
      </c>
      <c r="J262" s="62">
        <v>16</v>
      </c>
      <c r="K262" s="30">
        <v>30275.46</v>
      </c>
      <c r="L262" s="205">
        <v>16</v>
      </c>
      <c r="M262" s="26">
        <f t="shared" si="18"/>
        <v>30275.46</v>
      </c>
      <c r="N262" s="30">
        <v>30275.46</v>
      </c>
      <c r="O262" s="241"/>
      <c r="P262" s="29">
        <v>2</v>
      </c>
      <c r="Q262" s="30">
        <v>1870.81</v>
      </c>
      <c r="R262" s="205">
        <v>2</v>
      </c>
      <c r="S262" s="26">
        <f t="shared" si="19"/>
        <v>1870.81</v>
      </c>
      <c r="T262" s="30">
        <v>1870.81</v>
      </c>
      <c r="U262" s="241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3"/>
      <c r="B263" s="375"/>
      <c r="C263" s="375"/>
      <c r="D263" s="375"/>
      <c r="E263" s="375"/>
      <c r="F263" s="220" t="s">
        <v>256</v>
      </c>
      <c r="G263" s="35" t="s">
        <v>28</v>
      </c>
      <c r="H263" s="66">
        <v>5</v>
      </c>
      <c r="I263" s="37">
        <v>1</v>
      </c>
      <c r="J263" s="37">
        <v>1</v>
      </c>
      <c r="K263" s="68">
        <v>1921</v>
      </c>
      <c r="L263" s="285">
        <v>1</v>
      </c>
      <c r="M263" s="39">
        <f t="shared" si="18"/>
        <v>1921</v>
      </c>
      <c r="N263" s="39">
        <f>1921</f>
        <v>1921</v>
      </c>
      <c r="O263" s="41"/>
      <c r="P263" s="69"/>
      <c r="Q263" s="39"/>
      <c r="R263" s="40"/>
      <c r="S263" s="39">
        <f t="shared" si="19"/>
        <v>0</v>
      </c>
      <c r="T263" s="39"/>
      <c r="U263" s="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82"/>
      <c r="B264" s="381" t="s">
        <v>190</v>
      </c>
      <c r="C264" s="381" t="s">
        <v>39</v>
      </c>
      <c r="D264" s="381" t="s">
        <v>191</v>
      </c>
      <c r="E264" s="381" t="s">
        <v>27</v>
      </c>
      <c r="F264" s="46"/>
      <c r="G264" s="47" t="s">
        <v>24</v>
      </c>
      <c r="H264" s="98"/>
      <c r="I264" s="49"/>
      <c r="J264" s="49"/>
      <c r="K264" s="50"/>
      <c r="L264" s="51"/>
      <c r="M264" s="50">
        <f t="shared" si="18"/>
        <v>0</v>
      </c>
      <c r="N264" s="50"/>
      <c r="O264" s="31"/>
      <c r="P264" s="123"/>
      <c r="Q264" s="50"/>
      <c r="R264" s="51"/>
      <c r="S264" s="50">
        <f t="shared" si="19"/>
        <v>0</v>
      </c>
      <c r="T264" s="50"/>
      <c r="U264" s="31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3"/>
      <c r="B265" s="375"/>
      <c r="C265" s="375"/>
      <c r="D265" s="375"/>
      <c r="E265" s="375"/>
      <c r="F265" s="220" t="s">
        <v>345</v>
      </c>
      <c r="G265" s="35" t="s">
        <v>28</v>
      </c>
      <c r="H265" s="112">
        <v>2</v>
      </c>
      <c r="I265" s="57"/>
      <c r="J265" s="57"/>
      <c r="K265" s="43"/>
      <c r="L265" s="44"/>
      <c r="M265" s="43">
        <f t="shared" si="18"/>
        <v>0</v>
      </c>
      <c r="N265" s="43"/>
      <c r="O265" s="45"/>
      <c r="P265" s="115">
        <v>4</v>
      </c>
      <c r="Q265" s="68">
        <v>5106.7</v>
      </c>
      <c r="R265" s="285">
        <v>5</v>
      </c>
      <c r="S265" s="39">
        <f t="shared" si="19"/>
        <v>6739.58</v>
      </c>
      <c r="T265" s="68">
        <f>3818+2921.58</f>
        <v>6739.58</v>
      </c>
      <c r="U265" s="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2"/>
      <c r="B266" s="374" t="s">
        <v>192</v>
      </c>
      <c r="C266" s="374" t="s">
        <v>22</v>
      </c>
      <c r="D266" s="374"/>
      <c r="E266" s="374" t="s">
        <v>193</v>
      </c>
      <c r="F266" s="204" t="s">
        <v>318</v>
      </c>
      <c r="G266" s="176" t="s">
        <v>24</v>
      </c>
      <c r="H266" s="61">
        <v>19</v>
      </c>
      <c r="I266" s="62">
        <v>16</v>
      </c>
      <c r="J266" s="62">
        <v>17</v>
      </c>
      <c r="K266" s="30">
        <v>18277.259999999998</v>
      </c>
      <c r="L266" s="205">
        <v>17</v>
      </c>
      <c r="M266" s="26">
        <f t="shared" si="18"/>
        <v>18277.259999999998</v>
      </c>
      <c r="N266" s="30">
        <v>18277.259999999998</v>
      </c>
      <c r="O266" s="100"/>
      <c r="P266" s="64">
        <v>20</v>
      </c>
      <c r="Q266" s="65">
        <v>52584.43</v>
      </c>
      <c r="R266" s="224">
        <v>20</v>
      </c>
      <c r="S266" s="50">
        <f t="shared" si="19"/>
        <v>52584.43</v>
      </c>
      <c r="T266" s="65">
        <v>52584.43</v>
      </c>
      <c r="U266" s="225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3"/>
      <c r="B267" s="375"/>
      <c r="C267" s="375"/>
      <c r="D267" s="375"/>
      <c r="E267" s="375"/>
      <c r="F267" s="220" t="s">
        <v>346</v>
      </c>
      <c r="G267" s="229" t="s">
        <v>28</v>
      </c>
      <c r="H267" s="133">
        <v>1</v>
      </c>
      <c r="I267" s="37">
        <v>1</v>
      </c>
      <c r="J267" s="37">
        <v>1</v>
      </c>
      <c r="K267" s="68">
        <v>1728.9</v>
      </c>
      <c r="L267" s="285">
        <v>1</v>
      </c>
      <c r="M267" s="39">
        <f t="shared" si="18"/>
        <v>1728.9</v>
      </c>
      <c r="N267" s="39">
        <f>1728.9</f>
        <v>1728.9</v>
      </c>
      <c r="O267" s="41"/>
      <c r="P267" s="42"/>
      <c r="Q267" s="43"/>
      <c r="R267" s="44"/>
      <c r="S267" s="43">
        <f t="shared" si="19"/>
        <v>0</v>
      </c>
      <c r="T267" s="43"/>
      <c r="U267" s="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2"/>
      <c r="B268" s="374" t="s">
        <v>194</v>
      </c>
      <c r="C268" s="377" t="s">
        <v>39</v>
      </c>
      <c r="D268" s="377" t="s">
        <v>319</v>
      </c>
      <c r="E268" s="374" t="s">
        <v>160</v>
      </c>
      <c r="F268" s="232" t="s">
        <v>320</v>
      </c>
      <c r="G268" s="23" t="s">
        <v>24</v>
      </c>
      <c r="H268" s="48">
        <v>6</v>
      </c>
      <c r="I268" s="203">
        <v>5</v>
      </c>
      <c r="J268" s="203">
        <v>5</v>
      </c>
      <c r="K268" s="65">
        <v>5617.57</v>
      </c>
      <c r="L268" s="316">
        <v>5</v>
      </c>
      <c r="M268" s="129">
        <f t="shared" si="18"/>
        <v>5617.57</v>
      </c>
      <c r="N268" s="65">
        <v>5617.57</v>
      </c>
      <c r="O268" s="225"/>
      <c r="P268" s="29">
        <v>3</v>
      </c>
      <c r="Q268" s="30">
        <v>6107.21</v>
      </c>
      <c r="R268" s="205">
        <v>3</v>
      </c>
      <c r="S268" s="26">
        <f t="shared" si="19"/>
        <v>6107.21</v>
      </c>
      <c r="T268" s="30">
        <v>6107.21</v>
      </c>
      <c r="U268" s="225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3"/>
      <c r="B269" s="375"/>
      <c r="C269" s="375"/>
      <c r="D269" s="375"/>
      <c r="E269" s="375"/>
      <c r="F269" s="220" t="s">
        <v>347</v>
      </c>
      <c r="G269" s="35" t="s">
        <v>28</v>
      </c>
      <c r="H269" s="117">
        <v>4</v>
      </c>
      <c r="I269" s="37"/>
      <c r="J269" s="37"/>
      <c r="K269" s="39"/>
      <c r="L269" s="44"/>
      <c r="M269" s="43">
        <f t="shared" si="18"/>
        <v>0</v>
      </c>
      <c r="N269" s="39"/>
      <c r="O269" s="41"/>
      <c r="P269" s="37">
        <v>8</v>
      </c>
      <c r="Q269" s="37">
        <v>21038.49</v>
      </c>
      <c r="R269" s="285">
        <v>8</v>
      </c>
      <c r="S269" s="39">
        <f t="shared" si="19"/>
        <v>16625.88</v>
      </c>
      <c r="T269" s="68">
        <f>576.3+4045.34+3273.6+633.93+602.1+2709.45+4454+331.16</f>
        <v>16625.88</v>
      </c>
      <c r="U269" s="2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82"/>
      <c r="B270" s="381" t="s">
        <v>195</v>
      </c>
      <c r="C270" s="377" t="s">
        <v>39</v>
      </c>
      <c r="D270" s="377" t="s">
        <v>231</v>
      </c>
      <c r="E270" s="381" t="s">
        <v>27</v>
      </c>
      <c r="F270" s="204" t="s">
        <v>232</v>
      </c>
      <c r="G270" s="47" t="s">
        <v>24</v>
      </c>
      <c r="H270" s="61">
        <v>3</v>
      </c>
      <c r="I270" s="25"/>
      <c r="J270" s="25"/>
      <c r="K270" s="26"/>
      <c r="L270" s="205"/>
      <c r="M270" s="26">
        <f t="shared" si="18"/>
        <v>0</v>
      </c>
      <c r="N270" s="26"/>
      <c r="O270" s="31"/>
      <c r="P270" s="64">
        <v>7</v>
      </c>
      <c r="Q270" s="65">
        <v>46859.35</v>
      </c>
      <c r="R270" s="224">
        <v>7</v>
      </c>
      <c r="S270" s="50">
        <f t="shared" si="19"/>
        <v>46859.35</v>
      </c>
      <c r="T270" s="65">
        <v>46859.35</v>
      </c>
      <c r="U270" s="225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3"/>
      <c r="B271" s="375"/>
      <c r="C271" s="375"/>
      <c r="D271" s="375"/>
      <c r="E271" s="375"/>
      <c r="F271" s="221" t="s">
        <v>260</v>
      </c>
      <c r="G271" s="55" t="s">
        <v>28</v>
      </c>
      <c r="H271" s="178">
        <v>7</v>
      </c>
      <c r="I271" s="130">
        <v>3</v>
      </c>
      <c r="J271" s="130">
        <v>3</v>
      </c>
      <c r="K271" s="114">
        <v>8620.94</v>
      </c>
      <c r="L271" s="270">
        <v>3</v>
      </c>
      <c r="M271" s="43">
        <f t="shared" si="18"/>
        <v>8620.94</v>
      </c>
      <c r="N271" s="43">
        <f>1152.6+845.24+6623.1</f>
        <v>8620.94</v>
      </c>
      <c r="O271" s="222"/>
      <c r="P271" s="130">
        <v>7</v>
      </c>
      <c r="Q271" s="130">
        <v>24706.45</v>
      </c>
      <c r="R271" s="270">
        <v>10</v>
      </c>
      <c r="S271" s="43">
        <f t="shared" si="19"/>
        <v>34770.1</v>
      </c>
      <c r="T271" s="114">
        <f>4994.6+12678.6+576.3+6915.6+6915.6+576.3+2113.1</f>
        <v>34770.1</v>
      </c>
      <c r="U271" s="222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2"/>
      <c r="B272" s="374" t="s">
        <v>196</v>
      </c>
      <c r="C272" s="381" t="s">
        <v>22</v>
      </c>
      <c r="D272" s="374"/>
      <c r="E272" s="381" t="s">
        <v>27</v>
      </c>
      <c r="F272" s="22"/>
      <c r="G272" s="23" t="s">
        <v>24</v>
      </c>
      <c r="H272" s="119"/>
      <c r="I272" s="25"/>
      <c r="J272" s="25"/>
      <c r="K272" s="26"/>
      <c r="L272" s="27"/>
      <c r="M272" s="26">
        <f t="shared" si="18"/>
        <v>0</v>
      </c>
      <c r="N272" s="26"/>
      <c r="O272" s="28"/>
      <c r="P272" s="120"/>
      <c r="Q272" s="26"/>
      <c r="R272" s="27"/>
      <c r="S272" s="26">
        <f t="shared" si="19"/>
        <v>0</v>
      </c>
      <c r="T272" s="26"/>
      <c r="U272" s="28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3"/>
      <c r="B273" s="375"/>
      <c r="C273" s="375"/>
      <c r="D273" s="375"/>
      <c r="E273" s="375"/>
      <c r="F273" s="220" t="s">
        <v>348</v>
      </c>
      <c r="G273" s="35" t="s">
        <v>28</v>
      </c>
      <c r="H273" s="66">
        <v>8</v>
      </c>
      <c r="I273" s="38"/>
      <c r="J273" s="38"/>
      <c r="K273" s="39"/>
      <c r="L273" s="40"/>
      <c r="M273" s="39">
        <f t="shared" si="18"/>
        <v>0</v>
      </c>
      <c r="N273" s="39"/>
      <c r="O273" s="41"/>
      <c r="P273" s="67">
        <v>4</v>
      </c>
      <c r="Q273" s="68">
        <v>11282.42</v>
      </c>
      <c r="R273" s="285">
        <v>4</v>
      </c>
      <c r="S273" s="39">
        <f t="shared" si="19"/>
        <v>11576</v>
      </c>
      <c r="T273" s="39">
        <f>2547.3+4226.2+2881.5+1921</f>
        <v>11576</v>
      </c>
      <c r="U273" s="41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82"/>
      <c r="B274" s="381" t="s">
        <v>197</v>
      </c>
      <c r="C274" s="381" t="s">
        <v>39</v>
      </c>
      <c r="D274" s="381" t="s">
        <v>381</v>
      </c>
      <c r="E274" s="381" t="s">
        <v>27</v>
      </c>
      <c r="F274" s="204" t="s">
        <v>382</v>
      </c>
      <c r="G274" s="47" t="s">
        <v>24</v>
      </c>
      <c r="H274" s="98"/>
      <c r="I274" s="49"/>
      <c r="J274" s="49"/>
      <c r="K274" s="50"/>
      <c r="L274" s="51"/>
      <c r="M274" s="50">
        <f t="shared" si="18"/>
        <v>0</v>
      </c>
      <c r="N274" s="50"/>
      <c r="O274" s="31"/>
      <c r="P274" s="108">
        <v>1</v>
      </c>
      <c r="Q274" s="65">
        <v>748.24</v>
      </c>
      <c r="R274" s="224">
        <v>1</v>
      </c>
      <c r="S274" s="50">
        <f t="shared" si="19"/>
        <v>748.24</v>
      </c>
      <c r="T274" s="65">
        <v>748.24</v>
      </c>
      <c r="U274" s="225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9"/>
      <c r="B275" s="380"/>
      <c r="C275" s="380"/>
      <c r="D275" s="380"/>
      <c r="E275" s="380"/>
      <c r="F275" s="221" t="s">
        <v>349</v>
      </c>
      <c r="G275" s="55" t="s">
        <v>28</v>
      </c>
      <c r="H275" s="153">
        <v>4</v>
      </c>
      <c r="I275" s="130">
        <v>2</v>
      </c>
      <c r="J275" s="130">
        <v>2</v>
      </c>
      <c r="K275" s="114">
        <v>3265.7</v>
      </c>
      <c r="L275" s="270">
        <v>2</v>
      </c>
      <c r="M275" s="43">
        <f t="shared" si="18"/>
        <v>2977.55</v>
      </c>
      <c r="N275" s="43">
        <f>1056.55+1921</f>
        <v>2977.55</v>
      </c>
      <c r="O275" s="41"/>
      <c r="P275" s="103"/>
      <c r="Q275" s="43"/>
      <c r="R275" s="270">
        <v>2</v>
      </c>
      <c r="S275" s="43">
        <f t="shared" si="19"/>
        <v>3765.16</v>
      </c>
      <c r="T275" s="114">
        <f>1440.75+2324.41</f>
        <v>3765.16</v>
      </c>
      <c r="U275" s="41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2"/>
      <c r="B276" s="374" t="s">
        <v>198</v>
      </c>
      <c r="C276" s="374" t="s">
        <v>39</v>
      </c>
      <c r="D276" s="374" t="s">
        <v>469</v>
      </c>
      <c r="E276" s="374" t="s">
        <v>112</v>
      </c>
      <c r="F276" s="204" t="s">
        <v>470</v>
      </c>
      <c r="G276" s="23" t="s">
        <v>24</v>
      </c>
      <c r="H276" s="48">
        <v>10</v>
      </c>
      <c r="I276" s="62">
        <v>9</v>
      </c>
      <c r="J276" s="62">
        <v>9</v>
      </c>
      <c r="K276" s="30">
        <v>9703.07</v>
      </c>
      <c r="L276" s="205">
        <v>7</v>
      </c>
      <c r="M276" s="26">
        <f t="shared" si="18"/>
        <v>4666.33</v>
      </c>
      <c r="N276" s="30">
        <v>4666.33</v>
      </c>
      <c r="O276" s="31"/>
      <c r="P276" s="53">
        <v>13</v>
      </c>
      <c r="Q276" s="30">
        <v>48930.55</v>
      </c>
      <c r="R276" s="205">
        <v>13</v>
      </c>
      <c r="S276" s="26">
        <f t="shared" si="19"/>
        <v>48930.55</v>
      </c>
      <c r="T276" s="30">
        <v>48930.55</v>
      </c>
      <c r="U276" s="225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3"/>
      <c r="B277" s="375"/>
      <c r="C277" s="375"/>
      <c r="D277" s="375"/>
      <c r="E277" s="375"/>
      <c r="F277" s="220" t="s">
        <v>350</v>
      </c>
      <c r="G277" s="35" t="s">
        <v>28</v>
      </c>
      <c r="H277" s="153">
        <v>3</v>
      </c>
      <c r="I277" s="37">
        <v>1</v>
      </c>
      <c r="J277" s="37">
        <v>1</v>
      </c>
      <c r="K277" s="68">
        <v>602.1</v>
      </c>
      <c r="L277" s="285">
        <v>1</v>
      </c>
      <c r="M277" s="39">
        <f t="shared" si="18"/>
        <v>602.1</v>
      </c>
      <c r="N277" s="39">
        <f>602.1</f>
        <v>602.1</v>
      </c>
      <c r="O277" s="41"/>
      <c r="P277" s="59"/>
      <c r="Q277" s="39"/>
      <c r="R277" s="40"/>
      <c r="S277" s="39">
        <f t="shared" si="19"/>
        <v>0</v>
      </c>
      <c r="T277" s="39"/>
      <c r="U277" s="41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82"/>
      <c r="B278" s="381" t="s">
        <v>199</v>
      </c>
      <c r="C278" s="381" t="s">
        <v>22</v>
      </c>
      <c r="D278" s="381"/>
      <c r="E278" s="381" t="s">
        <v>131</v>
      </c>
      <c r="F278" s="46"/>
      <c r="G278" s="23" t="s">
        <v>24</v>
      </c>
      <c r="H278" s="98"/>
      <c r="I278" s="49"/>
      <c r="J278" s="49"/>
      <c r="K278" s="50"/>
      <c r="L278" s="51"/>
      <c r="M278" s="50">
        <f t="shared" si="18"/>
        <v>0</v>
      </c>
      <c r="N278" s="50"/>
      <c r="O278" s="31"/>
      <c r="P278" s="123"/>
      <c r="Q278" s="50"/>
      <c r="R278" s="51"/>
      <c r="S278" s="50">
        <f t="shared" si="19"/>
        <v>0</v>
      </c>
      <c r="T278" s="50"/>
      <c r="U278" s="3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9"/>
      <c r="B279" s="380"/>
      <c r="C279" s="380"/>
      <c r="D279" s="380"/>
      <c r="E279" s="380"/>
      <c r="F279" s="126"/>
      <c r="G279" s="55" t="s">
        <v>25</v>
      </c>
      <c r="H279" s="118"/>
      <c r="I279" s="57"/>
      <c r="J279" s="57"/>
      <c r="K279" s="43"/>
      <c r="L279" s="44"/>
      <c r="M279" s="43">
        <f t="shared" si="18"/>
        <v>0</v>
      </c>
      <c r="N279" s="43"/>
      <c r="O279" s="41"/>
      <c r="P279" s="103"/>
      <c r="Q279" s="43"/>
      <c r="R279" s="44"/>
      <c r="S279" s="43">
        <f t="shared" si="19"/>
        <v>0</v>
      </c>
      <c r="T279" s="43"/>
      <c r="U279" s="4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2"/>
      <c r="B280" s="374" t="s">
        <v>200</v>
      </c>
      <c r="C280" s="374" t="s">
        <v>39</v>
      </c>
      <c r="D280" s="374" t="s">
        <v>456</v>
      </c>
      <c r="E280" s="374" t="s">
        <v>27</v>
      </c>
      <c r="F280" s="204" t="s">
        <v>457</v>
      </c>
      <c r="G280" s="23" t="s">
        <v>24</v>
      </c>
      <c r="H280" s="61">
        <v>4</v>
      </c>
      <c r="I280" s="62">
        <v>4</v>
      </c>
      <c r="J280" s="62">
        <v>5</v>
      </c>
      <c r="K280" s="30">
        <v>6859.34</v>
      </c>
      <c r="L280" s="205">
        <v>5</v>
      </c>
      <c r="M280" s="26">
        <f t="shared" si="18"/>
        <v>6859.34</v>
      </c>
      <c r="N280" s="30">
        <v>6859.34</v>
      </c>
      <c r="O280" s="31"/>
      <c r="P280" s="29">
        <v>6</v>
      </c>
      <c r="Q280" s="30">
        <v>21652.240000000002</v>
      </c>
      <c r="R280" s="205">
        <v>6</v>
      </c>
      <c r="S280" s="26">
        <f t="shared" si="19"/>
        <v>21652.240000000002</v>
      </c>
      <c r="T280" s="30">
        <v>21652.240000000002</v>
      </c>
      <c r="U280" s="225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3"/>
      <c r="B281" s="375"/>
      <c r="C281" s="375"/>
      <c r="D281" s="375"/>
      <c r="E281" s="375"/>
      <c r="F281" s="233" t="s">
        <v>466</v>
      </c>
      <c r="G281" s="227" t="s">
        <v>28</v>
      </c>
      <c r="H281" s="207">
        <v>4</v>
      </c>
      <c r="I281" s="208">
        <v>2</v>
      </c>
      <c r="J281" s="208">
        <v>2</v>
      </c>
      <c r="K281" s="209">
        <v>3364.6</v>
      </c>
      <c r="L281" s="290">
        <v>2</v>
      </c>
      <c r="M281" s="211">
        <f t="shared" si="18"/>
        <v>3364.6000000000004</v>
      </c>
      <c r="N281" s="211">
        <f>1056.55+2308.05</f>
        <v>3364.6000000000004</v>
      </c>
      <c r="O281" s="212"/>
      <c r="P281" s="284"/>
      <c r="Q281" s="211"/>
      <c r="R281" s="290">
        <v>1</v>
      </c>
      <c r="S281" s="211">
        <f t="shared" si="19"/>
        <v>1921</v>
      </c>
      <c r="T281" s="209">
        <v>1921</v>
      </c>
      <c r="U281" s="212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2"/>
      <c r="B282" s="374" t="s">
        <v>430</v>
      </c>
      <c r="C282" s="374" t="s">
        <v>39</v>
      </c>
      <c r="D282" s="374" t="s">
        <v>439</v>
      </c>
      <c r="E282" s="374" t="s">
        <v>27</v>
      </c>
      <c r="F282" s="204" t="s">
        <v>440</v>
      </c>
      <c r="G282" s="213" t="s">
        <v>24</v>
      </c>
      <c r="H282" s="61">
        <v>2</v>
      </c>
      <c r="I282" s="62"/>
      <c r="J282" s="62"/>
      <c r="K282" s="30"/>
      <c r="L282" s="27"/>
      <c r="M282" s="26">
        <f t="shared" si="18"/>
        <v>0</v>
      </c>
      <c r="N282" s="26"/>
      <c r="O282" s="241"/>
      <c r="P282" s="214"/>
      <c r="Q282" s="30"/>
      <c r="R282" s="205"/>
      <c r="S282" s="26">
        <f t="shared" si="19"/>
        <v>0</v>
      </c>
      <c r="T282" s="30"/>
      <c r="U282" s="28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3"/>
      <c r="B283" s="375"/>
      <c r="C283" s="375"/>
      <c r="D283" s="375"/>
      <c r="E283" s="375"/>
      <c r="F283" s="220"/>
      <c r="G283" s="215" t="s">
        <v>28</v>
      </c>
      <c r="H283" s="117"/>
      <c r="I283" s="37"/>
      <c r="J283" s="37"/>
      <c r="K283" s="68"/>
      <c r="L283" s="40"/>
      <c r="M283" s="39">
        <f t="shared" si="18"/>
        <v>0</v>
      </c>
      <c r="N283" s="39"/>
      <c r="O283" s="234"/>
      <c r="P283" s="217"/>
      <c r="Q283" s="68"/>
      <c r="R283" s="285"/>
      <c r="S283" s="39">
        <f t="shared" si="19"/>
        <v>0</v>
      </c>
      <c r="T283" s="68"/>
      <c r="U283" s="41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6"/>
      <c r="B284" s="377" t="s">
        <v>201</v>
      </c>
      <c r="C284" s="377" t="s">
        <v>39</v>
      </c>
      <c r="D284" s="377" t="s">
        <v>385</v>
      </c>
      <c r="E284" s="377" t="s">
        <v>386</v>
      </c>
      <c r="F284" s="232" t="s">
        <v>387</v>
      </c>
      <c r="G284" s="95" t="s">
        <v>24</v>
      </c>
      <c r="H284" s="265">
        <v>17</v>
      </c>
      <c r="I284" s="266">
        <v>12</v>
      </c>
      <c r="J284" s="266">
        <v>19</v>
      </c>
      <c r="K284" s="79">
        <v>27305.66</v>
      </c>
      <c r="L284" s="268">
        <v>19</v>
      </c>
      <c r="M284" s="81">
        <f t="shared" si="18"/>
        <v>27305.66</v>
      </c>
      <c r="N284" s="79">
        <v>27305.66</v>
      </c>
      <c r="O284" s="313"/>
      <c r="P284" s="267">
        <v>2</v>
      </c>
      <c r="Q284" s="79">
        <v>4356.83</v>
      </c>
      <c r="R284" s="268">
        <v>2</v>
      </c>
      <c r="S284" s="81">
        <f t="shared" si="19"/>
        <v>4356.83</v>
      </c>
      <c r="T284" s="79">
        <v>4356.83</v>
      </c>
      <c r="U284" s="8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3"/>
      <c r="B285" s="375"/>
      <c r="C285" s="375"/>
      <c r="D285" s="375"/>
      <c r="E285" s="375"/>
      <c r="F285" s="105"/>
      <c r="G285" s="35" t="s">
        <v>25</v>
      </c>
      <c r="H285" s="117">
        <v>1</v>
      </c>
      <c r="I285" s="38"/>
      <c r="J285" s="38"/>
      <c r="K285" s="39"/>
      <c r="L285" s="40"/>
      <c r="M285" s="39">
        <f t="shared" si="18"/>
        <v>0</v>
      </c>
      <c r="N285" s="39"/>
      <c r="O285" s="58"/>
      <c r="P285" s="115">
        <v>2</v>
      </c>
      <c r="Q285" s="68">
        <v>4418.3</v>
      </c>
      <c r="R285" s="285">
        <v>2</v>
      </c>
      <c r="S285" s="68">
        <v>4418.3</v>
      </c>
      <c r="T285" s="68">
        <v>4418.3</v>
      </c>
      <c r="U285" s="4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82"/>
      <c r="B286" s="381" t="s">
        <v>202</v>
      </c>
      <c r="C286" s="381" t="s">
        <v>39</v>
      </c>
      <c r="D286" s="377" t="s">
        <v>441</v>
      </c>
      <c r="E286" s="381" t="s">
        <v>27</v>
      </c>
      <c r="F286" s="204" t="s">
        <v>442</v>
      </c>
      <c r="G286" s="47" t="s">
        <v>24</v>
      </c>
      <c r="H286" s="48">
        <v>2</v>
      </c>
      <c r="I286" s="203">
        <v>2</v>
      </c>
      <c r="J286" s="203">
        <v>2</v>
      </c>
      <c r="K286" s="65">
        <v>2382.04</v>
      </c>
      <c r="L286" s="224">
        <v>2</v>
      </c>
      <c r="M286" s="50">
        <f t="shared" si="18"/>
        <v>2382.04</v>
      </c>
      <c r="N286" s="65">
        <v>2382.04</v>
      </c>
      <c r="O286" s="31"/>
      <c r="P286" s="108">
        <v>2</v>
      </c>
      <c r="Q286" s="65">
        <v>4082.51</v>
      </c>
      <c r="R286" s="224">
        <v>2</v>
      </c>
      <c r="S286" s="50">
        <f t="shared" ref="S286:S290" si="20">T286+U286</f>
        <v>4082.51</v>
      </c>
      <c r="T286" s="65">
        <v>4082.51</v>
      </c>
      <c r="U286" s="225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3"/>
      <c r="B287" s="375"/>
      <c r="C287" s="375"/>
      <c r="D287" s="375"/>
      <c r="E287" s="375"/>
      <c r="F287" s="221" t="s">
        <v>262</v>
      </c>
      <c r="G287" s="55" t="s">
        <v>28</v>
      </c>
      <c r="H287" s="112">
        <v>3</v>
      </c>
      <c r="I287" s="130">
        <v>1</v>
      </c>
      <c r="J287" s="130">
        <v>1</v>
      </c>
      <c r="K287" s="114">
        <v>1479.17</v>
      </c>
      <c r="L287" s="316">
        <v>1</v>
      </c>
      <c r="M287" s="129">
        <f t="shared" si="18"/>
        <v>1479.17</v>
      </c>
      <c r="N287" s="43">
        <f>1479.17</f>
        <v>1479.17</v>
      </c>
      <c r="O287" s="45"/>
      <c r="P287" s="113">
        <v>4</v>
      </c>
      <c r="Q287" s="114">
        <v>17905.400000000001</v>
      </c>
      <c r="R287" s="316">
        <v>5</v>
      </c>
      <c r="S287" s="129">
        <f t="shared" si="20"/>
        <v>21555.3</v>
      </c>
      <c r="T287" s="114">
        <f>3649.9+1344.7+7107.7+4034.1+5418.9</f>
        <v>21555.3</v>
      </c>
      <c r="U287" s="4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2"/>
      <c r="B288" s="374" t="s">
        <v>203</v>
      </c>
      <c r="C288" s="377" t="s">
        <v>46</v>
      </c>
      <c r="D288" s="377" t="s">
        <v>459</v>
      </c>
      <c r="E288" s="374" t="s">
        <v>27</v>
      </c>
      <c r="F288" s="204" t="s">
        <v>475</v>
      </c>
      <c r="G288" s="23" t="s">
        <v>24</v>
      </c>
      <c r="H288" s="61">
        <v>2</v>
      </c>
      <c r="I288" s="25"/>
      <c r="J288" s="25"/>
      <c r="K288" s="26"/>
      <c r="L288" s="27"/>
      <c r="M288" s="26">
        <f t="shared" si="18"/>
        <v>0</v>
      </c>
      <c r="N288" s="26"/>
      <c r="O288" s="28"/>
      <c r="P288" s="120"/>
      <c r="Q288" s="26"/>
      <c r="R288" s="27"/>
      <c r="S288" s="26">
        <f t="shared" si="20"/>
        <v>0</v>
      </c>
      <c r="T288" s="26"/>
      <c r="U288" s="28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3"/>
      <c r="B289" s="375"/>
      <c r="C289" s="375"/>
      <c r="D289" s="375"/>
      <c r="E289" s="375"/>
      <c r="F289" s="34"/>
      <c r="G289" s="35" t="s">
        <v>28</v>
      </c>
      <c r="H289" s="117"/>
      <c r="I289" s="38"/>
      <c r="J289" s="38"/>
      <c r="K289" s="39"/>
      <c r="L289" s="40"/>
      <c r="M289" s="39">
        <f t="shared" si="18"/>
        <v>0</v>
      </c>
      <c r="N289" s="39"/>
      <c r="O289" s="41"/>
      <c r="P289" s="69"/>
      <c r="Q289" s="39"/>
      <c r="R289" s="40"/>
      <c r="S289" s="39">
        <f t="shared" si="20"/>
        <v>0</v>
      </c>
      <c r="T289" s="39"/>
      <c r="U289" s="41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82"/>
      <c r="B290" s="381" t="s">
        <v>204</v>
      </c>
      <c r="C290" s="377" t="s">
        <v>22</v>
      </c>
      <c r="D290" s="377"/>
      <c r="E290" s="381" t="s">
        <v>23</v>
      </c>
      <c r="F290" s="204" t="s">
        <v>431</v>
      </c>
      <c r="G290" s="47" t="s">
        <v>24</v>
      </c>
      <c r="H290" s="48">
        <v>11</v>
      </c>
      <c r="I290" s="203">
        <v>7</v>
      </c>
      <c r="J290" s="203">
        <v>8</v>
      </c>
      <c r="K290" s="65">
        <v>10146.15</v>
      </c>
      <c r="L290" s="224">
        <v>6</v>
      </c>
      <c r="M290" s="50">
        <f t="shared" si="18"/>
        <v>8254.93</v>
      </c>
      <c r="N290" s="65">
        <v>8254.93</v>
      </c>
      <c r="O290" s="225"/>
      <c r="P290" s="108">
        <v>4</v>
      </c>
      <c r="Q290" s="65">
        <v>3363.11</v>
      </c>
      <c r="R290" s="224">
        <v>4</v>
      </c>
      <c r="S290" s="50">
        <f t="shared" si="20"/>
        <v>3363.11</v>
      </c>
      <c r="T290" s="65">
        <v>3363.11</v>
      </c>
      <c r="U290" s="22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3"/>
      <c r="B291" s="375"/>
      <c r="C291" s="375"/>
      <c r="D291" s="375"/>
      <c r="E291" s="375"/>
      <c r="F291" s="34"/>
      <c r="G291" s="35" t="s">
        <v>25</v>
      </c>
      <c r="H291" s="111"/>
      <c r="I291" s="38"/>
      <c r="J291" s="38"/>
      <c r="K291" s="39"/>
      <c r="L291" s="40"/>
      <c r="M291" s="39">
        <f t="shared" si="18"/>
        <v>0</v>
      </c>
      <c r="N291" s="39"/>
      <c r="O291" s="41"/>
      <c r="P291" s="115">
        <v>1</v>
      </c>
      <c r="Q291" s="68">
        <v>2305.1999999999998</v>
      </c>
      <c r="R291" s="285">
        <v>1</v>
      </c>
      <c r="S291" s="68">
        <v>2305.1999999999998</v>
      </c>
      <c r="T291" s="68">
        <v>2305.1999999999998</v>
      </c>
      <c r="U291" s="41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179"/>
      <c r="B292" s="180" t="s">
        <v>205</v>
      </c>
      <c r="C292" s="180"/>
      <c r="D292" s="180"/>
      <c r="E292" s="180"/>
      <c r="F292" s="180"/>
      <c r="G292" s="181"/>
      <c r="H292" s="182">
        <f t="shared" ref="H292:U292" si="21">SUM(H9:H291)</f>
        <v>1567</v>
      </c>
      <c r="I292" s="183">
        <f t="shared" si="21"/>
        <v>956</v>
      </c>
      <c r="J292" s="183">
        <f t="shared" si="21"/>
        <v>1167</v>
      </c>
      <c r="K292" s="184">
        <f t="shared" si="21"/>
        <v>2089034.66</v>
      </c>
      <c r="L292" s="185">
        <f t="shared" si="21"/>
        <v>1090</v>
      </c>
      <c r="M292" s="184">
        <f t="shared" si="21"/>
        <v>1986177.06</v>
      </c>
      <c r="N292" s="184">
        <f t="shared" si="21"/>
        <v>1986177.06</v>
      </c>
      <c r="O292" s="186">
        <f t="shared" si="21"/>
        <v>0</v>
      </c>
      <c r="P292" s="187">
        <f t="shared" si="21"/>
        <v>1262</v>
      </c>
      <c r="Q292" s="188">
        <f t="shared" si="21"/>
        <v>4303081.3400000017</v>
      </c>
      <c r="R292" s="185">
        <f t="shared" si="21"/>
        <v>1239</v>
      </c>
      <c r="S292" s="188">
        <f t="shared" si="21"/>
        <v>4269916.839999998</v>
      </c>
      <c r="T292" s="188">
        <f t="shared" si="21"/>
        <v>4269013.6899999985</v>
      </c>
      <c r="U292" s="189">
        <f t="shared" si="21"/>
        <v>0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4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 t="s">
        <v>206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27.75" customHeight="1">
      <c r="A296" s="4"/>
      <c r="B296" s="4"/>
      <c r="C296" s="4"/>
      <c r="D296" s="4"/>
      <c r="E296" s="4"/>
      <c r="F296" s="394"/>
      <c r="G296" s="395" t="s">
        <v>5</v>
      </c>
      <c r="H296" s="396"/>
      <c r="I296" s="396"/>
      <c r="J296" s="396"/>
      <c r="K296" s="396"/>
      <c r="L296" s="396"/>
      <c r="M296" s="396"/>
      <c r="N296" s="397"/>
      <c r="O296" s="395" t="s">
        <v>6</v>
      </c>
      <c r="P296" s="396"/>
      <c r="Q296" s="396"/>
      <c r="R296" s="396"/>
      <c r="S296" s="396"/>
      <c r="T296" s="397"/>
      <c r="U296" s="393" t="s">
        <v>207</v>
      </c>
      <c r="V296" s="393" t="s">
        <v>208</v>
      </c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386"/>
      <c r="G297" s="190" t="s">
        <v>13</v>
      </c>
      <c r="H297" s="190" t="s">
        <v>14</v>
      </c>
      <c r="I297" s="190" t="s">
        <v>15</v>
      </c>
      <c r="J297" s="190" t="s">
        <v>16</v>
      </c>
      <c r="K297" s="191" t="s">
        <v>17</v>
      </c>
      <c r="L297" s="190" t="s">
        <v>18</v>
      </c>
      <c r="M297" s="190" t="s">
        <v>19</v>
      </c>
      <c r="N297" s="190" t="s">
        <v>20</v>
      </c>
      <c r="O297" s="190" t="s">
        <v>15</v>
      </c>
      <c r="P297" s="190" t="s">
        <v>16</v>
      </c>
      <c r="Q297" s="191" t="s">
        <v>17</v>
      </c>
      <c r="R297" s="190" t="s">
        <v>18</v>
      </c>
      <c r="S297" s="190" t="s">
        <v>19</v>
      </c>
      <c r="T297" s="190" t="s">
        <v>20</v>
      </c>
      <c r="U297" s="392"/>
      <c r="V297" s="392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192" t="s">
        <v>24</v>
      </c>
      <c r="G298" s="193">
        <f t="shared" ref="G298:I298" si="22">SUMIF($G$9:$G$291,$F$298,H9:H291)</f>
        <v>1145</v>
      </c>
      <c r="H298" s="193">
        <f t="shared" si="22"/>
        <v>798</v>
      </c>
      <c r="I298" s="193">
        <f t="shared" si="22"/>
        <v>1008</v>
      </c>
      <c r="J298" s="194">
        <f t="shared" ref="J298:J300" si="23">SUMIF($G$9:$G$291,F298,$K$9:$K$291)</f>
        <v>1795458.4199999997</v>
      </c>
      <c r="K298" s="195">
        <f t="shared" ref="K298:K300" si="24">SUMIF($G$9:$G$291,F298,$L$9:$L$291)</f>
        <v>934</v>
      </c>
      <c r="L298" s="194">
        <f t="shared" ref="L298:L300" si="25">SUMIF($G$9:$G$291,F298,$M$9:$M$291)</f>
        <v>1695333.6299999994</v>
      </c>
      <c r="M298" s="194">
        <f t="shared" ref="M298:O298" si="26">SUMIF($G$9:$G$291,$F$298,N9:N291)</f>
        <v>1695333.6299999994</v>
      </c>
      <c r="N298" s="194">
        <f t="shared" si="26"/>
        <v>0</v>
      </c>
      <c r="O298" s="193">
        <f t="shared" si="26"/>
        <v>1018</v>
      </c>
      <c r="P298" s="194">
        <f t="shared" ref="P298:P300" si="27">SUMIF($G$9:$G$291,F298,$Q$9:$Q$291)</f>
        <v>3553685.8100000005</v>
      </c>
      <c r="Q298" s="195">
        <f t="shared" ref="Q298:Q300" si="28">SUMIF($G$9:$G$291,F298,$R$9:$R$291)</f>
        <v>985</v>
      </c>
      <c r="R298" s="194">
        <f t="shared" ref="R298:R300" si="29">SUMIF($G$9:$G$291,F298,$S$9:$S$291)</f>
        <v>3483695.4399999995</v>
      </c>
      <c r="S298" s="194">
        <f t="shared" ref="S298:T298" si="30">SUMIF($G$9:$G$291,$F$298,T9:T291)</f>
        <v>3483695.4399999995</v>
      </c>
      <c r="T298" s="194">
        <f t="shared" si="30"/>
        <v>0</v>
      </c>
      <c r="U298" s="194">
        <f t="shared" ref="U298:U300" si="31">S298+M298</f>
        <v>5179029.0699999984</v>
      </c>
      <c r="V298" s="196">
        <f t="shared" ref="V298:V300" si="32">J298-M298+P298-S298</f>
        <v>170115.16000000108</v>
      </c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192" t="s">
        <v>28</v>
      </c>
      <c r="G299" s="236">
        <f t="shared" ref="G299:I299" si="33">SUMIF($G$9:$G$291,$F$299,H9:H291)</f>
        <v>353</v>
      </c>
      <c r="H299" s="193">
        <f t="shared" si="33"/>
        <v>121</v>
      </c>
      <c r="I299" s="193">
        <f t="shared" si="33"/>
        <v>122</v>
      </c>
      <c r="J299" s="194">
        <f t="shared" si="23"/>
        <v>225633.79000000007</v>
      </c>
      <c r="K299" s="195">
        <f t="shared" si="24"/>
        <v>121</v>
      </c>
      <c r="L299" s="194">
        <f t="shared" si="25"/>
        <v>227818.13</v>
      </c>
      <c r="M299" s="194">
        <f t="shared" ref="M299:O299" si="34">SUMIF($G$9:$G$291,$F$299,N9:N291)</f>
        <v>227818.13</v>
      </c>
      <c r="N299" s="194">
        <f t="shared" si="34"/>
        <v>0</v>
      </c>
      <c r="O299" s="193">
        <f t="shared" si="34"/>
        <v>185</v>
      </c>
      <c r="P299" s="194">
        <f t="shared" si="27"/>
        <v>542787.44000000006</v>
      </c>
      <c r="Q299" s="195">
        <f t="shared" si="28"/>
        <v>197</v>
      </c>
      <c r="R299" s="194">
        <f t="shared" si="29"/>
        <v>580717.19000000018</v>
      </c>
      <c r="S299" s="194">
        <f t="shared" ref="S299:T299" si="35">SUMIF($G$9:$G$291,$F$299,T9:T291)</f>
        <v>580717.19000000018</v>
      </c>
      <c r="T299" s="194">
        <f t="shared" si="35"/>
        <v>0</v>
      </c>
      <c r="U299" s="194">
        <f t="shared" si="31"/>
        <v>808535.32000000018</v>
      </c>
      <c r="V299" s="196">
        <f t="shared" si="32"/>
        <v>-40114.090000000084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192" t="s">
        <v>25</v>
      </c>
      <c r="G300" s="193">
        <f t="shared" ref="G300:I300" si="36">SUMIF($G$9:$G$291,$F$300,H9:H291)</f>
        <v>69</v>
      </c>
      <c r="H300" s="193">
        <f t="shared" si="36"/>
        <v>37</v>
      </c>
      <c r="I300" s="193">
        <f t="shared" si="36"/>
        <v>37</v>
      </c>
      <c r="J300" s="194">
        <f t="shared" si="23"/>
        <v>67942.45</v>
      </c>
      <c r="K300" s="195">
        <f t="shared" si="24"/>
        <v>35</v>
      </c>
      <c r="L300" s="194">
        <f t="shared" si="25"/>
        <v>63025.299999999996</v>
      </c>
      <c r="M300" s="194">
        <f t="shared" ref="M300:O300" si="37">SUMIF($G$9:$G$291,$F$300,N9:N291)</f>
        <v>63025.299999999996</v>
      </c>
      <c r="N300" s="194">
        <f t="shared" si="37"/>
        <v>0</v>
      </c>
      <c r="O300" s="193">
        <f t="shared" si="37"/>
        <v>59</v>
      </c>
      <c r="P300" s="194">
        <f t="shared" si="27"/>
        <v>206608.09</v>
      </c>
      <c r="Q300" s="195">
        <f t="shared" si="28"/>
        <v>57</v>
      </c>
      <c r="R300" s="194">
        <f t="shared" si="29"/>
        <v>205504.21</v>
      </c>
      <c r="S300" s="194">
        <f t="shared" ref="S300:T300" si="38">SUMIF($G$9:$G$291,$F$300,T9:T291)</f>
        <v>204601.06</v>
      </c>
      <c r="T300" s="194">
        <f t="shared" si="38"/>
        <v>0</v>
      </c>
      <c r="U300" s="194">
        <f t="shared" si="31"/>
        <v>267626.36</v>
      </c>
      <c r="V300" s="196">
        <f t="shared" si="32"/>
        <v>6924.179999999993</v>
      </c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197">
        <f t="shared" ref="G301:V301" si="39">G300+G299+G298</f>
        <v>1567</v>
      </c>
      <c r="H301" s="197">
        <f t="shared" si="39"/>
        <v>956</v>
      </c>
      <c r="I301" s="197">
        <f t="shared" si="39"/>
        <v>1167</v>
      </c>
      <c r="J301" s="198">
        <f t="shared" si="39"/>
        <v>2089034.6599999997</v>
      </c>
      <c r="K301" s="199">
        <f t="shared" si="39"/>
        <v>1090</v>
      </c>
      <c r="L301" s="198">
        <f t="shared" si="39"/>
        <v>1986177.0599999994</v>
      </c>
      <c r="M301" s="198">
        <f t="shared" si="39"/>
        <v>1986177.0599999994</v>
      </c>
      <c r="N301" s="198">
        <f t="shared" si="39"/>
        <v>0</v>
      </c>
      <c r="O301" s="197">
        <f t="shared" si="39"/>
        <v>1262</v>
      </c>
      <c r="P301" s="198">
        <f t="shared" si="39"/>
        <v>4303081.3400000008</v>
      </c>
      <c r="Q301" s="200">
        <f t="shared" si="39"/>
        <v>1239</v>
      </c>
      <c r="R301" s="198">
        <f t="shared" si="39"/>
        <v>4269916.84</v>
      </c>
      <c r="S301" s="198">
        <f t="shared" si="39"/>
        <v>4269013.6899999995</v>
      </c>
      <c r="T301" s="198">
        <f t="shared" si="39"/>
        <v>0</v>
      </c>
      <c r="U301" s="198">
        <f t="shared" si="39"/>
        <v>6255190.7499999981</v>
      </c>
      <c r="V301" s="198">
        <f t="shared" si="39"/>
        <v>136925.25000000099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K302" s="201"/>
      <c r="L302" s="201"/>
      <c r="R302" s="2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L454" s="2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</sheetData>
  <mergeCells count="705">
    <mergeCell ref="A203:A205"/>
    <mergeCell ref="A206:A207"/>
    <mergeCell ref="B206:B207"/>
    <mergeCell ref="C206:C207"/>
    <mergeCell ref="A208:A209"/>
    <mergeCell ref="B208:B209"/>
    <mergeCell ref="C208:C209"/>
    <mergeCell ref="D224:D225"/>
    <mergeCell ref="E224:E225"/>
    <mergeCell ref="B224:B225"/>
    <mergeCell ref="C224:C225"/>
    <mergeCell ref="B203:B205"/>
    <mergeCell ref="C203:C205"/>
    <mergeCell ref="D206:D207"/>
    <mergeCell ref="D208:D209"/>
    <mergeCell ref="D199:D200"/>
    <mergeCell ref="E199:E200"/>
    <mergeCell ref="D201:D202"/>
    <mergeCell ref="E201:E202"/>
    <mergeCell ref="D203:D205"/>
    <mergeCell ref="E203:E205"/>
    <mergeCell ref="E206:E207"/>
    <mergeCell ref="E208:E209"/>
    <mergeCell ref="A197:A198"/>
    <mergeCell ref="B197:B198"/>
    <mergeCell ref="C197:C198"/>
    <mergeCell ref="D197:D198"/>
    <mergeCell ref="E197:E198"/>
    <mergeCell ref="A199:A200"/>
    <mergeCell ref="B199:B200"/>
    <mergeCell ref="C199:C200"/>
    <mergeCell ref="A201:A202"/>
    <mergeCell ref="B201:B202"/>
    <mergeCell ref="C201:C202"/>
    <mergeCell ref="C195:C196"/>
    <mergeCell ref="D195:D196"/>
    <mergeCell ref="A193:A194"/>
    <mergeCell ref="B193:B194"/>
    <mergeCell ref="C193:C194"/>
    <mergeCell ref="D193:D194"/>
    <mergeCell ref="E193:E194"/>
    <mergeCell ref="B195:B196"/>
    <mergeCell ref="E195:E196"/>
    <mergeCell ref="A195:A196"/>
    <mergeCell ref="D179:D180"/>
    <mergeCell ref="E179:E180"/>
    <mergeCell ref="A181:A182"/>
    <mergeCell ref="B189:B190"/>
    <mergeCell ref="C189:C190"/>
    <mergeCell ref="A191:A192"/>
    <mergeCell ref="B191:B192"/>
    <mergeCell ref="C191:C192"/>
    <mergeCell ref="D191:D192"/>
    <mergeCell ref="E191:E192"/>
    <mergeCell ref="A175:A176"/>
    <mergeCell ref="B175:B176"/>
    <mergeCell ref="C175:C176"/>
    <mergeCell ref="B177:B178"/>
    <mergeCell ref="C177:C178"/>
    <mergeCell ref="A177:A178"/>
    <mergeCell ref="A179:A180"/>
    <mergeCell ref="B179:B180"/>
    <mergeCell ref="C179:C180"/>
    <mergeCell ref="A169:A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89:D190"/>
    <mergeCell ref="E189:E190"/>
    <mergeCell ref="A185:A186"/>
    <mergeCell ref="A187:A188"/>
    <mergeCell ref="B187:B188"/>
    <mergeCell ref="C187:C188"/>
    <mergeCell ref="D187:D188"/>
    <mergeCell ref="E187:E188"/>
    <mergeCell ref="A189:A190"/>
    <mergeCell ref="D185:D186"/>
    <mergeCell ref="E185:E186"/>
    <mergeCell ref="B181:B182"/>
    <mergeCell ref="C181:C182"/>
    <mergeCell ref="A183:A184"/>
    <mergeCell ref="B183:B184"/>
    <mergeCell ref="C183:C184"/>
    <mergeCell ref="B185:B186"/>
    <mergeCell ref="C185:C186"/>
    <mergeCell ref="A165:A166"/>
    <mergeCell ref="B165:B166"/>
    <mergeCell ref="C165:C166"/>
    <mergeCell ref="D165:D166"/>
    <mergeCell ref="E165:E166"/>
    <mergeCell ref="D181:D182"/>
    <mergeCell ref="E181:E182"/>
    <mergeCell ref="D183:D184"/>
    <mergeCell ref="E183:E184"/>
    <mergeCell ref="C169:C170"/>
    <mergeCell ref="D169:D170"/>
    <mergeCell ref="A167:A168"/>
    <mergeCell ref="B167:B168"/>
    <mergeCell ref="C167:C168"/>
    <mergeCell ref="D167:D168"/>
    <mergeCell ref="E167:E168"/>
    <mergeCell ref="B169:B170"/>
    <mergeCell ref="E169:E170"/>
    <mergeCell ref="D173:D174"/>
    <mergeCell ref="E173:E174"/>
    <mergeCell ref="D175:D176"/>
    <mergeCell ref="E175:E176"/>
    <mergeCell ref="D177:D178"/>
    <mergeCell ref="E177:E178"/>
    <mergeCell ref="A153:A154"/>
    <mergeCell ref="B153:B154"/>
    <mergeCell ref="C153:C154"/>
    <mergeCell ref="D153:D154"/>
    <mergeCell ref="E153:E154"/>
    <mergeCell ref="B147:B148"/>
    <mergeCell ref="C147:C148"/>
    <mergeCell ref="A149:A150"/>
    <mergeCell ref="B149:B150"/>
    <mergeCell ref="C149:C150"/>
    <mergeCell ref="B151:B152"/>
    <mergeCell ref="C151:C152"/>
    <mergeCell ref="D147:D148"/>
    <mergeCell ref="E147:E148"/>
    <mergeCell ref="D149:D150"/>
    <mergeCell ref="E149:E150"/>
    <mergeCell ref="D151:D152"/>
    <mergeCell ref="E151:E152"/>
    <mergeCell ref="A142:A143"/>
    <mergeCell ref="A144:A146"/>
    <mergeCell ref="B144:B146"/>
    <mergeCell ref="C144:C146"/>
    <mergeCell ref="D144:D146"/>
    <mergeCell ref="E144:E146"/>
    <mergeCell ref="A147:A148"/>
    <mergeCell ref="A151:A152"/>
    <mergeCell ref="C142:C143"/>
    <mergeCell ref="D142:D143"/>
    <mergeCell ref="A140:A141"/>
    <mergeCell ref="B140:B141"/>
    <mergeCell ref="C140:C141"/>
    <mergeCell ref="D140:D141"/>
    <mergeCell ref="E140:E141"/>
    <mergeCell ref="B142:B143"/>
    <mergeCell ref="E142:E143"/>
    <mergeCell ref="D163:D164"/>
    <mergeCell ref="E163:E164"/>
    <mergeCell ref="A158:A159"/>
    <mergeCell ref="A160:A162"/>
    <mergeCell ref="B160:B162"/>
    <mergeCell ref="C160:C162"/>
    <mergeCell ref="D160:D162"/>
    <mergeCell ref="E160:E162"/>
    <mergeCell ref="A163:A164"/>
    <mergeCell ref="B163:B164"/>
    <mergeCell ref="C163:C164"/>
    <mergeCell ref="D270:D271"/>
    <mergeCell ref="E270:E271"/>
    <mergeCell ref="A272:A273"/>
    <mergeCell ref="B280:B281"/>
    <mergeCell ref="C280:C281"/>
    <mergeCell ref="A282:A283"/>
    <mergeCell ref="B282:B283"/>
    <mergeCell ref="C282:C283"/>
    <mergeCell ref="D282:D283"/>
    <mergeCell ref="E282:E283"/>
    <mergeCell ref="A288:A289"/>
    <mergeCell ref="B288:B289"/>
    <mergeCell ref="C288:C289"/>
    <mergeCell ref="D288:D289"/>
    <mergeCell ref="E288:E289"/>
    <mergeCell ref="A290:A291"/>
    <mergeCell ref="C260:C261"/>
    <mergeCell ref="D260:D261"/>
    <mergeCell ref="A258:A259"/>
    <mergeCell ref="B258:B259"/>
    <mergeCell ref="C258:C259"/>
    <mergeCell ref="D258:D259"/>
    <mergeCell ref="E258:E259"/>
    <mergeCell ref="B260:B261"/>
    <mergeCell ref="E260:E261"/>
    <mergeCell ref="D264:D265"/>
    <mergeCell ref="E264:E265"/>
    <mergeCell ref="D266:D267"/>
    <mergeCell ref="E266:E267"/>
    <mergeCell ref="D268:D269"/>
    <mergeCell ref="E268:E269"/>
    <mergeCell ref="A260:A261"/>
    <mergeCell ref="A262:A263"/>
    <mergeCell ref="B262:B263"/>
    <mergeCell ref="B290:B291"/>
    <mergeCell ref="C290:C291"/>
    <mergeCell ref="D290:D291"/>
    <mergeCell ref="E290:E291"/>
    <mergeCell ref="F296:F297"/>
    <mergeCell ref="G296:N296"/>
    <mergeCell ref="O296:T296"/>
    <mergeCell ref="U296:U297"/>
    <mergeCell ref="V296:V297"/>
    <mergeCell ref="C286:C287"/>
    <mergeCell ref="D286:D287"/>
    <mergeCell ref="A284:A285"/>
    <mergeCell ref="B284:B285"/>
    <mergeCell ref="C284:C285"/>
    <mergeCell ref="D284:D285"/>
    <mergeCell ref="E284:E285"/>
    <mergeCell ref="B286:B287"/>
    <mergeCell ref="E286:E287"/>
    <mergeCell ref="A286:A287"/>
    <mergeCell ref="D280:D281"/>
    <mergeCell ref="E280:E281"/>
    <mergeCell ref="A276:A277"/>
    <mergeCell ref="A278:A279"/>
    <mergeCell ref="B278:B279"/>
    <mergeCell ref="C278:C279"/>
    <mergeCell ref="D278:D279"/>
    <mergeCell ref="E278:E279"/>
    <mergeCell ref="A280:A281"/>
    <mergeCell ref="D276:D277"/>
    <mergeCell ref="E276:E277"/>
    <mergeCell ref="B272:B273"/>
    <mergeCell ref="C272:C273"/>
    <mergeCell ref="A274:A275"/>
    <mergeCell ref="B274:B275"/>
    <mergeCell ref="C274:C275"/>
    <mergeCell ref="B276:B277"/>
    <mergeCell ref="C276:C277"/>
    <mergeCell ref="A256:A257"/>
    <mergeCell ref="B256:B257"/>
    <mergeCell ref="C256:C257"/>
    <mergeCell ref="D256:D257"/>
    <mergeCell ref="E256:E257"/>
    <mergeCell ref="D272:D273"/>
    <mergeCell ref="E272:E273"/>
    <mergeCell ref="D274:D275"/>
    <mergeCell ref="E274:E275"/>
    <mergeCell ref="C262:C263"/>
    <mergeCell ref="D262:D263"/>
    <mergeCell ref="E262:E263"/>
    <mergeCell ref="A264:A265"/>
    <mergeCell ref="B264:B265"/>
    <mergeCell ref="C264:C265"/>
    <mergeCell ref="A266:A267"/>
    <mergeCell ref="B266:B267"/>
    <mergeCell ref="C266:C267"/>
    <mergeCell ref="B268:B269"/>
    <mergeCell ref="C268:C269"/>
    <mergeCell ref="A268:A269"/>
    <mergeCell ref="A270:A271"/>
    <mergeCell ref="B270:B271"/>
    <mergeCell ref="C270:C271"/>
    <mergeCell ref="D242:D243"/>
    <mergeCell ref="E242:E243"/>
    <mergeCell ref="D244:D245"/>
    <mergeCell ref="E244:E245"/>
    <mergeCell ref="D246:D247"/>
    <mergeCell ref="E246:E247"/>
    <mergeCell ref="A238:A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B244:B245"/>
    <mergeCell ref="C244:C245"/>
    <mergeCell ref="A246:A247"/>
    <mergeCell ref="B246:B247"/>
    <mergeCell ref="C246:C247"/>
    <mergeCell ref="C238:C239"/>
    <mergeCell ref="D238:D239"/>
    <mergeCell ref="A236:A237"/>
    <mergeCell ref="B236:B237"/>
    <mergeCell ref="C236:C237"/>
    <mergeCell ref="D236:D237"/>
    <mergeCell ref="E236:E237"/>
    <mergeCell ref="B238:B239"/>
    <mergeCell ref="E238:E239"/>
    <mergeCell ref="A248:A249"/>
    <mergeCell ref="B248:B249"/>
    <mergeCell ref="C248:C249"/>
    <mergeCell ref="D248:D249"/>
    <mergeCell ref="E248:E249"/>
    <mergeCell ref="B250:B251"/>
    <mergeCell ref="E250:E251"/>
    <mergeCell ref="D254:D255"/>
    <mergeCell ref="E254:E255"/>
    <mergeCell ref="A250:A251"/>
    <mergeCell ref="A252:A253"/>
    <mergeCell ref="B252:B253"/>
    <mergeCell ref="C252:C253"/>
    <mergeCell ref="D252:D253"/>
    <mergeCell ref="E252:E253"/>
    <mergeCell ref="A254:A255"/>
    <mergeCell ref="C250:C251"/>
    <mergeCell ref="D250:D251"/>
    <mergeCell ref="B254:B255"/>
    <mergeCell ref="C254:C255"/>
    <mergeCell ref="A222:A223"/>
    <mergeCell ref="B222:B223"/>
    <mergeCell ref="C222:C223"/>
    <mergeCell ref="D222:D223"/>
    <mergeCell ref="E222:E223"/>
    <mergeCell ref="A224:A225"/>
    <mergeCell ref="B232:B233"/>
    <mergeCell ref="C232:C233"/>
    <mergeCell ref="A234:A235"/>
    <mergeCell ref="B234:B235"/>
    <mergeCell ref="C234:C235"/>
    <mergeCell ref="D234:D235"/>
    <mergeCell ref="E234:E235"/>
    <mergeCell ref="D226:D227"/>
    <mergeCell ref="E226:E227"/>
    <mergeCell ref="D228:D229"/>
    <mergeCell ref="E228:E229"/>
    <mergeCell ref="A226:A227"/>
    <mergeCell ref="B226:B227"/>
    <mergeCell ref="C226:C227"/>
    <mergeCell ref="B228:B229"/>
    <mergeCell ref="C228:C229"/>
    <mergeCell ref="D216:D217"/>
    <mergeCell ref="E216:E217"/>
    <mergeCell ref="D218:D219"/>
    <mergeCell ref="E218:E219"/>
    <mergeCell ref="D220:D221"/>
    <mergeCell ref="E220:E221"/>
    <mergeCell ref="A212:A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A218:A219"/>
    <mergeCell ref="B218:B219"/>
    <mergeCell ref="C218:C219"/>
    <mergeCell ref="B220:B221"/>
    <mergeCell ref="C220:C221"/>
    <mergeCell ref="A220:A221"/>
    <mergeCell ref="C212:C213"/>
    <mergeCell ref="D212:D213"/>
    <mergeCell ref="A210:A211"/>
    <mergeCell ref="B210:B211"/>
    <mergeCell ref="C210:C211"/>
    <mergeCell ref="D210:D211"/>
    <mergeCell ref="E210:E211"/>
    <mergeCell ref="B212:B213"/>
    <mergeCell ref="E212:E213"/>
    <mergeCell ref="D232:D233"/>
    <mergeCell ref="E232:E233"/>
    <mergeCell ref="A228:A229"/>
    <mergeCell ref="A230:A231"/>
    <mergeCell ref="B230:B231"/>
    <mergeCell ref="C230:C231"/>
    <mergeCell ref="D230:D231"/>
    <mergeCell ref="E230:E231"/>
    <mergeCell ref="A232:A233"/>
    <mergeCell ref="C158:C159"/>
    <mergeCell ref="D158:D159"/>
    <mergeCell ref="A155:A157"/>
    <mergeCell ref="B155:B157"/>
    <mergeCell ref="C155:C157"/>
    <mergeCell ref="D155:D157"/>
    <mergeCell ref="E155:E157"/>
    <mergeCell ref="B158:B159"/>
    <mergeCell ref="E158:E159"/>
    <mergeCell ref="A126:A127"/>
    <mergeCell ref="B126:B127"/>
    <mergeCell ref="C126:C127"/>
    <mergeCell ref="D126:D127"/>
    <mergeCell ref="E126:E127"/>
    <mergeCell ref="A128:A129"/>
    <mergeCell ref="B136:B137"/>
    <mergeCell ref="C136:C137"/>
    <mergeCell ref="A138:A139"/>
    <mergeCell ref="B138:B139"/>
    <mergeCell ref="C138:C139"/>
    <mergeCell ref="D138:D139"/>
    <mergeCell ref="E138:E139"/>
    <mergeCell ref="D119:D121"/>
    <mergeCell ref="E119:E121"/>
    <mergeCell ref="D122:D123"/>
    <mergeCell ref="E122:E123"/>
    <mergeCell ref="D124:D125"/>
    <mergeCell ref="E124:E125"/>
    <mergeCell ref="A115:A116"/>
    <mergeCell ref="A117:A118"/>
    <mergeCell ref="B117:B118"/>
    <mergeCell ref="C117:C118"/>
    <mergeCell ref="D117:D118"/>
    <mergeCell ref="E117:E118"/>
    <mergeCell ref="A119:A121"/>
    <mergeCell ref="B119:B121"/>
    <mergeCell ref="C119:C121"/>
    <mergeCell ref="A122:A123"/>
    <mergeCell ref="B122:B123"/>
    <mergeCell ref="C122:C123"/>
    <mergeCell ref="B124:B125"/>
    <mergeCell ref="C124:C125"/>
    <mergeCell ref="A124:A125"/>
    <mergeCell ref="C115:C116"/>
    <mergeCell ref="D115:D116"/>
    <mergeCell ref="A113:A114"/>
    <mergeCell ref="B113:B114"/>
    <mergeCell ref="C113:C114"/>
    <mergeCell ref="D113:D114"/>
    <mergeCell ref="E113:E114"/>
    <mergeCell ref="B115:B116"/>
    <mergeCell ref="E115:E116"/>
    <mergeCell ref="D136:D137"/>
    <mergeCell ref="E136:E137"/>
    <mergeCell ref="A132:A133"/>
    <mergeCell ref="A134:A135"/>
    <mergeCell ref="B134:B135"/>
    <mergeCell ref="C134:C135"/>
    <mergeCell ref="D134:D135"/>
    <mergeCell ref="E134:E135"/>
    <mergeCell ref="A136:A137"/>
    <mergeCell ref="D128:D129"/>
    <mergeCell ref="E128:E129"/>
    <mergeCell ref="D130:D131"/>
    <mergeCell ref="E130:E131"/>
    <mergeCell ref="D132:D133"/>
    <mergeCell ref="E132:E133"/>
    <mergeCell ref="B128:B129"/>
    <mergeCell ref="C128:C129"/>
    <mergeCell ref="A130:A131"/>
    <mergeCell ref="B130:B131"/>
    <mergeCell ref="C130:C131"/>
    <mergeCell ref="B132:B133"/>
    <mergeCell ref="C132:C133"/>
    <mergeCell ref="A99:A100"/>
    <mergeCell ref="B99:B100"/>
    <mergeCell ref="C99:C100"/>
    <mergeCell ref="D99:D100"/>
    <mergeCell ref="E99:E100"/>
    <mergeCell ref="A101:A102"/>
    <mergeCell ref="B109:B110"/>
    <mergeCell ref="C109:C110"/>
    <mergeCell ref="A111:A112"/>
    <mergeCell ref="B111:B112"/>
    <mergeCell ref="C111:C112"/>
    <mergeCell ref="D111:D112"/>
    <mergeCell ref="E111:E112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09:D110"/>
    <mergeCell ref="E109:E110"/>
    <mergeCell ref="A105:A106"/>
    <mergeCell ref="A107:A108"/>
    <mergeCell ref="B107:B108"/>
    <mergeCell ref="C107:C108"/>
    <mergeCell ref="D107:D108"/>
    <mergeCell ref="E107:E108"/>
    <mergeCell ref="A109:A110"/>
    <mergeCell ref="D101:D102"/>
    <mergeCell ref="E101:E102"/>
    <mergeCell ref="D103:D104"/>
    <mergeCell ref="E103:E104"/>
    <mergeCell ref="D105:D106"/>
    <mergeCell ref="E105:E106"/>
    <mergeCell ref="B101:B102"/>
    <mergeCell ref="C101:C102"/>
    <mergeCell ref="A103:A104"/>
    <mergeCell ref="B103:B104"/>
    <mergeCell ref="C103:C104"/>
    <mergeCell ref="B105:B106"/>
    <mergeCell ref="C105:C106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1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14</v>
      </c>
      <c r="Q9" s="30">
        <v>37105.93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16</v>
      </c>
      <c r="K13" s="79">
        <v>44674.13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23</v>
      </c>
      <c r="I15" s="62">
        <v>23</v>
      </c>
      <c r="J15" s="62">
        <v>32</v>
      </c>
      <c r="K15" s="30">
        <v>80663.44</v>
      </c>
      <c r="L15" s="205">
        <v>29</v>
      </c>
      <c r="M15" s="26">
        <f t="shared" si="0"/>
        <v>76638.399999999994</v>
      </c>
      <c r="N15" s="30">
        <v>76638.399999999994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5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7</v>
      </c>
      <c r="Q18" s="209">
        <v>24148.51</v>
      </c>
      <c r="R18" s="290">
        <v>8</v>
      </c>
      <c r="S18" s="211">
        <f t="shared" si="1"/>
        <v>25990.969999999998</v>
      </c>
      <c r="T18" s="209">
        <f>7027.7+4418.3+7721.17+6823.8</f>
        <v>25990.969999999998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13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7</v>
      </c>
      <c r="I20" s="37">
        <v>1</v>
      </c>
      <c r="J20" s="37">
        <v>1</v>
      </c>
      <c r="K20" s="68">
        <v>1404.9</v>
      </c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10</v>
      </c>
      <c r="I21" s="266">
        <v>9</v>
      </c>
      <c r="J21" s="266">
        <v>12</v>
      </c>
      <c r="K21" s="79">
        <v>19687.11</v>
      </c>
      <c r="L21" s="268">
        <v>11</v>
      </c>
      <c r="M21" s="81">
        <f t="shared" si="0"/>
        <v>18693.64</v>
      </c>
      <c r="N21" s="79">
        <v>18693.64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16</v>
      </c>
      <c r="I23" s="203">
        <v>14</v>
      </c>
      <c r="J23" s="203">
        <v>24</v>
      </c>
      <c r="K23" s="65">
        <v>35816.92</v>
      </c>
      <c r="L23" s="224">
        <v>21</v>
      </c>
      <c r="M23" s="50">
        <f t="shared" si="0"/>
        <v>29082.57</v>
      </c>
      <c r="N23" s="65">
        <v>29082.57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13</v>
      </c>
      <c r="I25" s="62">
        <v>9</v>
      </c>
      <c r="J25" s="62">
        <v>9</v>
      </c>
      <c r="K25" s="62">
        <v>7020.53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8</v>
      </c>
      <c r="Q25" s="30">
        <v>13822.44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12</v>
      </c>
      <c r="J27" s="203">
        <v>20</v>
      </c>
      <c r="K27" s="65">
        <v>38247.379999999997</v>
      </c>
      <c r="L27" s="224">
        <v>19</v>
      </c>
      <c r="M27" s="50">
        <f t="shared" si="0"/>
        <v>36183.18</v>
      </c>
      <c r="N27" s="65">
        <v>36183.18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8</v>
      </c>
      <c r="Q28" s="68">
        <v>25627.9</v>
      </c>
      <c r="R28" s="285">
        <v>8</v>
      </c>
      <c r="S28" s="39">
        <f t="shared" si="1"/>
        <v>26090.400000000001</v>
      </c>
      <c r="T28" s="68">
        <f>4302+3533.6+960.5+5240.8+4226.2+5820.3+2007</f>
        <v>26090.400000000001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11</v>
      </c>
      <c r="I33" s="203">
        <v>6</v>
      </c>
      <c r="J33" s="203">
        <v>7</v>
      </c>
      <c r="K33" s="65">
        <v>15270.19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8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78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9</v>
      </c>
      <c r="J37" s="203">
        <v>9</v>
      </c>
      <c r="K37" s="65">
        <v>8715.08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3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16</v>
      </c>
      <c r="I45" s="266">
        <v>15</v>
      </c>
      <c r="J45" s="266">
        <v>17</v>
      </c>
      <c r="K45" s="79">
        <v>27836.47</v>
      </c>
      <c r="L45" s="268">
        <v>15</v>
      </c>
      <c r="M45" s="81">
        <f t="shared" si="2"/>
        <v>22284.3</v>
      </c>
      <c r="N45" s="79">
        <v>22284.3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22</v>
      </c>
      <c r="I47" s="62">
        <v>8</v>
      </c>
      <c r="J47" s="62">
        <v>11</v>
      </c>
      <c r="K47" s="30">
        <v>14635.51</v>
      </c>
      <c r="L47" s="205">
        <v>10</v>
      </c>
      <c r="M47" s="26">
        <f t="shared" si="2"/>
        <v>11785.71</v>
      </c>
      <c r="N47" s="30">
        <v>11785.71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2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8</v>
      </c>
      <c r="I50" s="266">
        <v>4</v>
      </c>
      <c r="J50" s="266">
        <v>4</v>
      </c>
      <c r="K50" s="79">
        <v>5771.33</v>
      </c>
      <c r="L50" s="268">
        <v>1</v>
      </c>
      <c r="M50" s="81">
        <f t="shared" si="2"/>
        <v>1324.62</v>
      </c>
      <c r="N50" s="79">
        <v>1324.62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358</v>
      </c>
      <c r="C52" s="377"/>
      <c r="D52" s="377"/>
      <c r="E52" s="377" t="s">
        <v>478</v>
      </c>
      <c r="F52" s="76"/>
      <c r="G52" s="73" t="s">
        <v>24</v>
      </c>
      <c r="H52" s="74"/>
      <c r="I52" s="96"/>
      <c r="J52" s="96"/>
      <c r="K52" s="81"/>
      <c r="L52" s="80"/>
      <c r="M52" s="81">
        <f t="shared" si="2"/>
        <v>0</v>
      </c>
      <c r="N52" s="81"/>
      <c r="O52" s="82"/>
      <c r="P52" s="303"/>
      <c r="Q52" s="81"/>
      <c r="R52" s="80"/>
      <c r="S52" s="81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34"/>
      <c r="G53" s="215" t="s">
        <v>28</v>
      </c>
      <c r="H53" s="117">
        <v>1</v>
      </c>
      <c r="I53" s="37">
        <v>1</v>
      </c>
      <c r="J53" s="37">
        <v>1</v>
      </c>
      <c r="K53" s="68">
        <v>576.29999999999995</v>
      </c>
      <c r="L53" s="40"/>
      <c r="M53" s="39">
        <f t="shared" si="2"/>
        <v>0</v>
      </c>
      <c r="N53" s="39"/>
      <c r="O53" s="41"/>
      <c r="P53" s="276"/>
      <c r="Q53" s="39"/>
      <c r="R53" s="40"/>
      <c r="S53" s="39">
        <f t="shared" si="3"/>
        <v>0</v>
      </c>
      <c r="T53" s="39"/>
      <c r="U53" s="4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2"/>
      <c r="B54" s="374" t="s">
        <v>60</v>
      </c>
      <c r="C54" s="374" t="s">
        <v>39</v>
      </c>
      <c r="D54" s="374" t="s">
        <v>61</v>
      </c>
      <c r="E54" s="383" t="s">
        <v>27</v>
      </c>
      <c r="F54" s="204" t="s">
        <v>463</v>
      </c>
      <c r="G54" s="176" t="s">
        <v>24</v>
      </c>
      <c r="H54" s="265">
        <v>2</v>
      </c>
      <c r="I54" s="96"/>
      <c r="J54" s="96"/>
      <c r="K54" s="81"/>
      <c r="L54" s="80"/>
      <c r="M54" s="81">
        <f t="shared" si="2"/>
        <v>0</v>
      </c>
      <c r="N54" s="81"/>
      <c r="O54" s="97"/>
      <c r="P54" s="277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401"/>
      <c r="F55" s="34"/>
      <c r="G55" s="229" t="s">
        <v>28</v>
      </c>
      <c r="H55" s="112">
        <v>5</v>
      </c>
      <c r="I55" s="130">
        <v>2</v>
      </c>
      <c r="J55" s="130">
        <v>2</v>
      </c>
      <c r="K55" s="114">
        <v>3411.9</v>
      </c>
      <c r="L55" s="270">
        <v>2</v>
      </c>
      <c r="M55" s="43">
        <f t="shared" si="2"/>
        <v>3411.8999999999996</v>
      </c>
      <c r="N55" s="43">
        <f>1605.6+1806.3</f>
        <v>3411.8999999999996</v>
      </c>
      <c r="O55" s="58"/>
      <c r="P55" s="59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62</v>
      </c>
      <c r="C56" s="374" t="s">
        <v>39</v>
      </c>
      <c r="D56" s="374" t="s">
        <v>63</v>
      </c>
      <c r="E56" s="374" t="s">
        <v>27</v>
      </c>
      <c r="F56" s="232" t="s">
        <v>359</v>
      </c>
      <c r="G56" s="23" t="s">
        <v>24</v>
      </c>
      <c r="H56" s="24">
        <v>6</v>
      </c>
      <c r="I56" s="62">
        <v>2</v>
      </c>
      <c r="J56" s="62">
        <v>2</v>
      </c>
      <c r="K56" s="30">
        <v>1754.47</v>
      </c>
      <c r="L56" s="205">
        <v>2</v>
      </c>
      <c r="M56" s="26">
        <f t="shared" si="2"/>
        <v>1754.47</v>
      </c>
      <c r="N56" s="30">
        <v>1754.47</v>
      </c>
      <c r="O56" s="31"/>
      <c r="P56" s="108">
        <v>7</v>
      </c>
      <c r="Q56" s="65">
        <v>15242.58</v>
      </c>
      <c r="R56" s="224">
        <v>7</v>
      </c>
      <c r="S56" s="50">
        <f t="shared" si="3"/>
        <v>15242.58</v>
      </c>
      <c r="T56" s="65">
        <v>15242.58</v>
      </c>
      <c r="U56" s="3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375"/>
      <c r="F57" s="34"/>
      <c r="G57" s="35" t="s">
        <v>28</v>
      </c>
      <c r="H57" s="66">
        <v>5</v>
      </c>
      <c r="I57" s="37">
        <v>1</v>
      </c>
      <c r="J57" s="37">
        <v>1</v>
      </c>
      <c r="K57" s="68">
        <v>2007</v>
      </c>
      <c r="L57" s="285">
        <v>1</v>
      </c>
      <c r="M57" s="39">
        <f t="shared" si="2"/>
        <v>2007</v>
      </c>
      <c r="N57" s="39">
        <f>2007</f>
        <v>2007</v>
      </c>
      <c r="O57" s="41"/>
      <c r="P57" s="115">
        <v>8</v>
      </c>
      <c r="Q57" s="68">
        <v>16057.33</v>
      </c>
      <c r="R57" s="285">
        <v>12</v>
      </c>
      <c r="S57" s="39">
        <f t="shared" si="3"/>
        <v>26971.13</v>
      </c>
      <c r="T57" s="68">
        <f>2209.2+576.3+13639.1+1921+1921+3438.83+3265.7</f>
        <v>26971.13</v>
      </c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66</v>
      </c>
      <c r="C58" s="374" t="s">
        <v>22</v>
      </c>
      <c r="D58" s="374"/>
      <c r="E58" s="374" t="s">
        <v>67</v>
      </c>
      <c r="F58" s="223" t="s">
        <v>360</v>
      </c>
      <c r="G58" s="176" t="s">
        <v>24</v>
      </c>
      <c r="H58" s="278">
        <v>4</v>
      </c>
      <c r="I58" s="203">
        <v>4</v>
      </c>
      <c r="J58" s="203">
        <v>6</v>
      </c>
      <c r="K58" s="65">
        <v>9306.16</v>
      </c>
      <c r="L58" s="224">
        <v>6</v>
      </c>
      <c r="M58" s="50">
        <f t="shared" si="2"/>
        <v>9306.16</v>
      </c>
      <c r="N58" s="65">
        <v>9306.16</v>
      </c>
      <c r="O58" s="31"/>
      <c r="P58" s="53">
        <v>4</v>
      </c>
      <c r="Q58" s="30">
        <v>12223.84</v>
      </c>
      <c r="R58" s="205">
        <v>4</v>
      </c>
      <c r="S58" s="26">
        <f t="shared" si="3"/>
        <v>12223.84</v>
      </c>
      <c r="T58" s="30">
        <v>12223.84</v>
      </c>
      <c r="U58" s="243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105"/>
      <c r="G59" s="229" t="s">
        <v>28</v>
      </c>
      <c r="H59" s="230"/>
      <c r="I59" s="57"/>
      <c r="J59" s="57"/>
      <c r="K59" s="43"/>
      <c r="L59" s="44"/>
      <c r="M59" s="43">
        <f t="shared" si="2"/>
        <v>0</v>
      </c>
      <c r="N59" s="43"/>
      <c r="O59" s="41"/>
      <c r="P59" s="59"/>
      <c r="Q59" s="39"/>
      <c r="R59" s="40"/>
      <c r="S59" s="39">
        <f t="shared" si="3"/>
        <v>0</v>
      </c>
      <c r="T59" s="39"/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6"/>
      <c r="B60" s="377" t="s">
        <v>68</v>
      </c>
      <c r="C60" s="377" t="s">
        <v>39</v>
      </c>
      <c r="D60" s="377" t="s">
        <v>69</v>
      </c>
      <c r="E60" s="377" t="s">
        <v>65</v>
      </c>
      <c r="F60" s="223" t="s">
        <v>263</v>
      </c>
      <c r="G60" s="95" t="s">
        <v>24</v>
      </c>
      <c r="H60" s="61">
        <v>15</v>
      </c>
      <c r="I60" s="62">
        <v>13</v>
      </c>
      <c r="J60" s="62">
        <v>14</v>
      </c>
      <c r="K60" s="30">
        <v>26653.77</v>
      </c>
      <c r="L60" s="205">
        <v>13</v>
      </c>
      <c r="M60" s="26">
        <f t="shared" si="2"/>
        <v>23872.07</v>
      </c>
      <c r="N60" s="30">
        <v>23872.07</v>
      </c>
      <c r="O60" s="225"/>
      <c r="P60" s="53">
        <v>6</v>
      </c>
      <c r="Q60" s="30">
        <v>45189.01</v>
      </c>
      <c r="R60" s="205">
        <v>6</v>
      </c>
      <c r="S60" s="26">
        <f t="shared" si="3"/>
        <v>45189.01</v>
      </c>
      <c r="T60" s="30">
        <v>45189.01</v>
      </c>
      <c r="U60" s="22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305" t="s">
        <v>222</v>
      </c>
      <c r="G61" s="35" t="s">
        <v>28</v>
      </c>
      <c r="H61" s="117">
        <v>5</v>
      </c>
      <c r="I61" s="37">
        <v>3</v>
      </c>
      <c r="J61" s="37">
        <v>3</v>
      </c>
      <c r="K61" s="68">
        <v>3099.46</v>
      </c>
      <c r="L61" s="285">
        <v>3</v>
      </c>
      <c r="M61" s="39">
        <f t="shared" si="2"/>
        <v>3099.4</v>
      </c>
      <c r="N61" s="39">
        <f>1921+576.3+602.1</f>
        <v>3099.4</v>
      </c>
      <c r="O61" s="41"/>
      <c r="P61" s="115">
        <v>1</v>
      </c>
      <c r="Q61" s="68">
        <v>576.29999999999995</v>
      </c>
      <c r="R61" s="285">
        <v>1</v>
      </c>
      <c r="S61" s="39">
        <f t="shared" si="3"/>
        <v>144.08000000000001</v>
      </c>
      <c r="T61" s="39">
        <f>144.08</f>
        <v>144.08000000000001</v>
      </c>
      <c r="U61" s="45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2"/>
      <c r="B62" s="374" t="s">
        <v>70</v>
      </c>
      <c r="C62" s="374" t="s">
        <v>39</v>
      </c>
      <c r="D62" s="374" t="s">
        <v>284</v>
      </c>
      <c r="E62" s="374" t="s">
        <v>55</v>
      </c>
      <c r="F62" s="204" t="s">
        <v>285</v>
      </c>
      <c r="G62" s="176" t="s">
        <v>24</v>
      </c>
      <c r="H62" s="48">
        <v>27</v>
      </c>
      <c r="I62" s="203">
        <v>17</v>
      </c>
      <c r="J62" s="203">
        <v>25</v>
      </c>
      <c r="K62" s="65">
        <v>52150.75</v>
      </c>
      <c r="L62" s="224">
        <v>25</v>
      </c>
      <c r="M62" s="50">
        <f t="shared" si="2"/>
        <v>52150.75</v>
      </c>
      <c r="N62" s="65">
        <v>52150.75</v>
      </c>
      <c r="O62" s="225"/>
      <c r="P62" s="53">
        <v>34</v>
      </c>
      <c r="Q62" s="30">
        <v>83293.759999999995</v>
      </c>
      <c r="R62" s="205">
        <v>34</v>
      </c>
      <c r="S62" s="26">
        <f t="shared" si="3"/>
        <v>83293.759999999995</v>
      </c>
      <c r="T62" s="30">
        <v>83293.759999999995</v>
      </c>
      <c r="U62" s="243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105"/>
      <c r="G63" s="229" t="s">
        <v>25</v>
      </c>
      <c r="H63" s="272"/>
      <c r="I63" s="261"/>
      <c r="J63" s="261"/>
      <c r="K63" s="211"/>
      <c r="L63" s="210"/>
      <c r="M63" s="211">
        <f t="shared" si="2"/>
        <v>0</v>
      </c>
      <c r="N63" s="211"/>
      <c r="O63" s="212"/>
      <c r="P63" s="273"/>
      <c r="Q63" s="211"/>
      <c r="R63" s="210"/>
      <c r="S63" s="211">
        <f t="shared" si="3"/>
        <v>0</v>
      </c>
      <c r="T63" s="211"/>
      <c r="U63" s="212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361</v>
      </c>
      <c r="C64" s="374" t="s">
        <v>39</v>
      </c>
      <c r="D64" s="374" t="s">
        <v>393</v>
      </c>
      <c r="E64" s="377" t="s">
        <v>27</v>
      </c>
      <c r="F64" s="204" t="s">
        <v>394</v>
      </c>
      <c r="G64" s="213" t="s">
        <v>24</v>
      </c>
      <c r="H64" s="24">
        <v>13</v>
      </c>
      <c r="I64" s="62">
        <v>10</v>
      </c>
      <c r="J64" s="62">
        <v>11</v>
      </c>
      <c r="K64" s="30">
        <v>13349.42</v>
      </c>
      <c r="L64" s="205">
        <v>10</v>
      </c>
      <c r="M64" s="26">
        <f t="shared" si="2"/>
        <v>12787.46</v>
      </c>
      <c r="N64" s="30">
        <v>12787.46</v>
      </c>
      <c r="O64" s="28"/>
      <c r="P64" s="214"/>
      <c r="Q64" s="30"/>
      <c r="R64" s="27"/>
      <c r="S64" s="26">
        <f t="shared" si="3"/>
        <v>0</v>
      </c>
      <c r="T64" s="26"/>
      <c r="U64" s="2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80"/>
      <c r="F65" s="247"/>
      <c r="G65" s="279" t="s">
        <v>28</v>
      </c>
      <c r="H65" s="207">
        <v>6</v>
      </c>
      <c r="I65" s="208"/>
      <c r="J65" s="208"/>
      <c r="K65" s="209"/>
      <c r="L65" s="210"/>
      <c r="M65" s="211">
        <f t="shared" si="2"/>
        <v>0</v>
      </c>
      <c r="N65" s="211"/>
      <c r="O65" s="212"/>
      <c r="P65" s="280"/>
      <c r="Q65" s="209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362</v>
      </c>
      <c r="C66" s="374" t="s">
        <v>39</v>
      </c>
      <c r="D66" s="374" t="s">
        <v>395</v>
      </c>
      <c r="E66" s="374" t="s">
        <v>27</v>
      </c>
      <c r="F66" s="204" t="s">
        <v>396</v>
      </c>
      <c r="G66" s="176" t="s">
        <v>24</v>
      </c>
      <c r="H66" s="248">
        <v>8</v>
      </c>
      <c r="I66" s="62">
        <v>4</v>
      </c>
      <c r="J66" s="62">
        <v>5</v>
      </c>
      <c r="K66" s="30">
        <v>9142.82</v>
      </c>
      <c r="L66" s="205">
        <v>4</v>
      </c>
      <c r="M66" s="26">
        <f t="shared" si="2"/>
        <v>8451.36</v>
      </c>
      <c r="N66" s="30">
        <v>8451.36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75"/>
      <c r="F67" s="34"/>
      <c r="G67" s="229" t="s">
        <v>28</v>
      </c>
      <c r="H67" s="258">
        <v>7</v>
      </c>
      <c r="I67" s="37">
        <v>1</v>
      </c>
      <c r="J67" s="37">
        <v>1</v>
      </c>
      <c r="K67" s="68">
        <v>2207.6999999999998</v>
      </c>
      <c r="L67" s="285">
        <v>1</v>
      </c>
      <c r="M67" s="39">
        <f t="shared" si="2"/>
        <v>2207.6999999999998</v>
      </c>
      <c r="N67" s="39">
        <f>2207.7</f>
        <v>2207.6999999999998</v>
      </c>
      <c r="O67" s="41"/>
      <c r="P67" s="217"/>
      <c r="Q67" s="68"/>
      <c r="R67" s="40"/>
      <c r="S67" s="39">
        <f t="shared" si="3"/>
        <v>0</v>
      </c>
      <c r="T67" s="39"/>
      <c r="U67" s="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6"/>
      <c r="B68" s="377" t="s">
        <v>72</v>
      </c>
      <c r="C68" s="377" t="s">
        <v>39</v>
      </c>
      <c r="D68" s="377" t="s">
        <v>363</v>
      </c>
      <c r="E68" s="377" t="s">
        <v>27</v>
      </c>
      <c r="F68" s="232" t="s">
        <v>364</v>
      </c>
      <c r="G68" s="95" t="s">
        <v>24</v>
      </c>
      <c r="H68" s="281">
        <v>8</v>
      </c>
      <c r="I68" s="266">
        <v>4</v>
      </c>
      <c r="J68" s="266">
        <v>4</v>
      </c>
      <c r="K68" s="79">
        <v>11251.64</v>
      </c>
      <c r="L68" s="268">
        <v>4</v>
      </c>
      <c r="M68" s="81">
        <f t="shared" si="2"/>
        <v>11251.64</v>
      </c>
      <c r="N68" s="79">
        <v>11251.64</v>
      </c>
      <c r="O68" s="219"/>
      <c r="P68" s="267">
        <v>3</v>
      </c>
      <c r="Q68" s="79">
        <v>4835.93</v>
      </c>
      <c r="R68" s="268">
        <v>3</v>
      </c>
      <c r="S68" s="81">
        <f t="shared" si="3"/>
        <v>4835.93</v>
      </c>
      <c r="T68" s="79">
        <v>4835.93</v>
      </c>
      <c r="U68" s="269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9"/>
      <c r="B69" s="380"/>
      <c r="C69" s="380"/>
      <c r="D69" s="380"/>
      <c r="E69" s="380"/>
      <c r="F69" s="233" t="s">
        <v>223</v>
      </c>
      <c r="G69" s="227" t="s">
        <v>28</v>
      </c>
      <c r="H69" s="112">
        <v>7</v>
      </c>
      <c r="I69" s="130">
        <v>5</v>
      </c>
      <c r="J69" s="130">
        <v>5</v>
      </c>
      <c r="K69" s="114">
        <v>7705.03</v>
      </c>
      <c r="L69" s="316">
        <v>4</v>
      </c>
      <c r="M69" s="129">
        <f t="shared" si="2"/>
        <v>6601.18</v>
      </c>
      <c r="N69" s="43">
        <f>1344.7+1738.48+2113.1+1404.9</f>
        <v>6601.18</v>
      </c>
      <c r="O69" s="45"/>
      <c r="P69" s="113">
        <v>1</v>
      </c>
      <c r="Q69" s="114">
        <v>5380.2</v>
      </c>
      <c r="R69" s="128"/>
      <c r="S69" s="129">
        <f t="shared" si="3"/>
        <v>0</v>
      </c>
      <c r="T69" s="43"/>
      <c r="U69" s="4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2"/>
      <c r="B70" s="374" t="s">
        <v>73</v>
      </c>
      <c r="C70" s="374" t="s">
        <v>22</v>
      </c>
      <c r="D70" s="374"/>
      <c r="E70" s="374" t="s">
        <v>27</v>
      </c>
      <c r="F70" s="204" t="s">
        <v>209</v>
      </c>
      <c r="G70" s="176" t="s">
        <v>24</v>
      </c>
      <c r="H70" s="61">
        <v>5</v>
      </c>
      <c r="I70" s="62">
        <v>4</v>
      </c>
      <c r="J70" s="62">
        <v>4</v>
      </c>
      <c r="K70" s="30">
        <v>5904.82</v>
      </c>
      <c r="L70" s="205">
        <v>4</v>
      </c>
      <c r="M70" s="26">
        <f t="shared" si="2"/>
        <v>5904.82</v>
      </c>
      <c r="N70" s="30">
        <v>5904.82</v>
      </c>
      <c r="O70" s="28"/>
      <c r="P70" s="29">
        <v>9</v>
      </c>
      <c r="Q70" s="30">
        <v>16995.990000000002</v>
      </c>
      <c r="R70" s="205">
        <v>9</v>
      </c>
      <c r="S70" s="26">
        <f t="shared" si="3"/>
        <v>16995.990000000002</v>
      </c>
      <c r="T70" s="30">
        <v>16995.990000000002</v>
      </c>
      <c r="U70" s="2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3"/>
      <c r="B71" s="375"/>
      <c r="C71" s="375"/>
      <c r="D71" s="375"/>
      <c r="E71" s="375"/>
      <c r="F71" s="105"/>
      <c r="G71" s="229" t="s">
        <v>28</v>
      </c>
      <c r="H71" s="106"/>
      <c r="I71" s="38"/>
      <c r="J71" s="38"/>
      <c r="K71" s="39"/>
      <c r="L71" s="40"/>
      <c r="M71" s="39">
        <f t="shared" si="2"/>
        <v>0</v>
      </c>
      <c r="N71" s="39"/>
      <c r="O71" s="41"/>
      <c r="P71" s="69"/>
      <c r="Q71" s="39"/>
      <c r="R71" s="40"/>
      <c r="S71" s="39">
        <f t="shared" si="3"/>
        <v>0</v>
      </c>
      <c r="T71" s="39"/>
      <c r="U71" s="4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74</v>
      </c>
      <c r="C72" s="374" t="s">
        <v>39</v>
      </c>
      <c r="D72" s="374" t="s">
        <v>264</v>
      </c>
      <c r="E72" s="374" t="s">
        <v>27</v>
      </c>
      <c r="F72" s="204" t="s">
        <v>265</v>
      </c>
      <c r="G72" s="176" t="s">
        <v>24</v>
      </c>
      <c r="H72" s="48">
        <v>6</v>
      </c>
      <c r="I72" s="203">
        <v>2</v>
      </c>
      <c r="J72" s="203">
        <v>2</v>
      </c>
      <c r="K72" s="65">
        <v>2391.54</v>
      </c>
      <c r="L72" s="51"/>
      <c r="M72" s="50">
        <f t="shared" si="2"/>
        <v>0</v>
      </c>
      <c r="N72" s="50"/>
      <c r="O72" s="31"/>
      <c r="P72" s="108">
        <v>19</v>
      </c>
      <c r="Q72" s="65">
        <v>88949.07</v>
      </c>
      <c r="R72" s="224">
        <v>15</v>
      </c>
      <c r="S72" s="50">
        <f t="shared" si="3"/>
        <v>73353.95</v>
      </c>
      <c r="T72" s="65">
        <v>73353.95</v>
      </c>
      <c r="U72" s="225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220" t="s">
        <v>286</v>
      </c>
      <c r="G73" s="229" t="s">
        <v>28</v>
      </c>
      <c r="H73" s="56">
        <v>5</v>
      </c>
      <c r="I73" s="130">
        <v>1</v>
      </c>
      <c r="J73" s="130">
        <v>1</v>
      </c>
      <c r="K73" s="114">
        <v>1056.5999999999999</v>
      </c>
      <c r="L73" s="270">
        <v>1</v>
      </c>
      <c r="M73" s="43">
        <f t="shared" si="2"/>
        <v>1152.5999999999999</v>
      </c>
      <c r="N73" s="43">
        <f>1152.6</f>
        <v>1152.5999999999999</v>
      </c>
      <c r="O73" s="41"/>
      <c r="P73" s="113">
        <v>1</v>
      </c>
      <c r="Q73" s="114">
        <v>2881.5</v>
      </c>
      <c r="R73" s="270">
        <v>1</v>
      </c>
      <c r="S73" s="43">
        <f t="shared" si="3"/>
        <v>2881.5</v>
      </c>
      <c r="T73" s="114">
        <v>2881.5</v>
      </c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76</v>
      </c>
      <c r="C74" s="374" t="s">
        <v>39</v>
      </c>
      <c r="D74" s="374" t="s">
        <v>397</v>
      </c>
      <c r="E74" s="374" t="s">
        <v>77</v>
      </c>
      <c r="F74" s="232" t="s">
        <v>398</v>
      </c>
      <c r="G74" s="23" t="s">
        <v>24</v>
      </c>
      <c r="H74" s="61">
        <v>12</v>
      </c>
      <c r="I74" s="62">
        <v>9</v>
      </c>
      <c r="J74" s="62">
        <v>12</v>
      </c>
      <c r="K74" s="30">
        <v>34420.35</v>
      </c>
      <c r="L74" s="205">
        <v>12</v>
      </c>
      <c r="M74" s="26">
        <f t="shared" si="2"/>
        <v>34420.35</v>
      </c>
      <c r="N74" s="30">
        <v>34420.35</v>
      </c>
      <c r="O74" s="225"/>
      <c r="P74" s="29">
        <v>6</v>
      </c>
      <c r="Q74" s="30">
        <v>10539.19</v>
      </c>
      <c r="R74" s="205">
        <v>5</v>
      </c>
      <c r="S74" s="26">
        <f t="shared" si="3"/>
        <v>10539.19</v>
      </c>
      <c r="T74" s="30">
        <v>10539.19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287</v>
      </c>
      <c r="G75" s="35" t="s">
        <v>28</v>
      </c>
      <c r="H75" s="117">
        <v>6</v>
      </c>
      <c r="I75" s="38"/>
      <c r="J75" s="38"/>
      <c r="K75" s="39"/>
      <c r="L75" s="40"/>
      <c r="M75" s="39">
        <f t="shared" si="2"/>
        <v>0</v>
      </c>
      <c r="N75" s="39"/>
      <c r="O75" s="41"/>
      <c r="P75" s="69"/>
      <c r="Q75" s="39"/>
      <c r="R75" s="40"/>
      <c r="S75" s="39">
        <f t="shared" si="3"/>
        <v>0</v>
      </c>
      <c r="T75" s="39"/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82"/>
      <c r="B76" s="381" t="s">
        <v>78</v>
      </c>
      <c r="C76" s="381" t="s">
        <v>22</v>
      </c>
      <c r="D76" s="381"/>
      <c r="E76" s="374" t="s">
        <v>77</v>
      </c>
      <c r="F76" s="204" t="s">
        <v>408</v>
      </c>
      <c r="G76" s="47" t="s">
        <v>24</v>
      </c>
      <c r="H76" s="48">
        <v>2</v>
      </c>
      <c r="I76" s="203">
        <v>2</v>
      </c>
      <c r="J76" s="203">
        <v>3</v>
      </c>
      <c r="K76" s="65">
        <v>633.92999999999995</v>
      </c>
      <c r="L76" s="224">
        <v>1</v>
      </c>
      <c r="M76" s="50">
        <f t="shared" si="2"/>
        <v>633.92999999999995</v>
      </c>
      <c r="N76" s="65">
        <v>633.92999999999995</v>
      </c>
      <c r="O76" s="225"/>
      <c r="P76" s="123"/>
      <c r="Q76" s="50"/>
      <c r="R76" s="51"/>
      <c r="S76" s="50">
        <f t="shared" si="3"/>
        <v>0</v>
      </c>
      <c r="T76" s="50"/>
      <c r="U76" s="3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126"/>
      <c r="G77" s="55" t="s">
        <v>28</v>
      </c>
      <c r="H77" s="131"/>
      <c r="I77" s="57"/>
      <c r="J77" s="57"/>
      <c r="K77" s="43"/>
      <c r="L77" s="44"/>
      <c r="M77" s="43">
        <f t="shared" si="2"/>
        <v>0</v>
      </c>
      <c r="N77" s="43"/>
      <c r="O77" s="41"/>
      <c r="P77" s="103"/>
      <c r="Q77" s="43"/>
      <c r="R77" s="44"/>
      <c r="S77" s="43">
        <f t="shared" si="3"/>
        <v>0</v>
      </c>
      <c r="T77" s="43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2"/>
      <c r="B78" s="374" t="s">
        <v>79</v>
      </c>
      <c r="C78" s="374" t="s">
        <v>22</v>
      </c>
      <c r="D78" s="374"/>
      <c r="E78" s="374" t="s">
        <v>50</v>
      </c>
      <c r="F78" s="204" t="s">
        <v>444</v>
      </c>
      <c r="G78" s="23" t="s">
        <v>24</v>
      </c>
      <c r="H78" s="61">
        <v>10</v>
      </c>
      <c r="I78" s="62">
        <v>7</v>
      </c>
      <c r="J78" s="62">
        <v>11</v>
      </c>
      <c r="K78" s="30">
        <v>20059.55</v>
      </c>
      <c r="L78" s="205">
        <v>9</v>
      </c>
      <c r="M78" s="26">
        <f t="shared" si="2"/>
        <v>14971.8</v>
      </c>
      <c r="N78" s="30">
        <v>14971.8</v>
      </c>
      <c r="O78" s="31"/>
      <c r="P78" s="53">
        <v>3</v>
      </c>
      <c r="Q78" s="30">
        <v>6335.58</v>
      </c>
      <c r="R78" s="205">
        <v>3</v>
      </c>
      <c r="S78" s="26">
        <f t="shared" si="3"/>
        <v>6335.58</v>
      </c>
      <c r="T78" s="30">
        <v>6335.58</v>
      </c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34"/>
      <c r="G79" s="35" t="s">
        <v>25</v>
      </c>
      <c r="H79" s="117">
        <v>4</v>
      </c>
      <c r="I79" s="37">
        <v>2</v>
      </c>
      <c r="J79" s="37">
        <v>2</v>
      </c>
      <c r="K79" s="68">
        <v>1479.45</v>
      </c>
      <c r="L79" s="285">
        <v>2</v>
      </c>
      <c r="M79" s="68">
        <v>1479.45</v>
      </c>
      <c r="N79" s="68">
        <v>1479.45</v>
      </c>
      <c r="O79" s="41"/>
      <c r="P79" s="115">
        <v>1</v>
      </c>
      <c r="Q79" s="68">
        <v>6823.8</v>
      </c>
      <c r="R79" s="285">
        <v>1</v>
      </c>
      <c r="S79" s="68">
        <v>6823.8</v>
      </c>
      <c r="T79" s="68">
        <v>6823.8</v>
      </c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82"/>
      <c r="B80" s="381" t="s">
        <v>80</v>
      </c>
      <c r="C80" s="381" t="s">
        <v>22</v>
      </c>
      <c r="D80" s="381"/>
      <c r="E80" s="381" t="s">
        <v>67</v>
      </c>
      <c r="F80" s="223" t="s">
        <v>399</v>
      </c>
      <c r="G80" s="47" t="s">
        <v>24</v>
      </c>
      <c r="H80" s="48">
        <v>12</v>
      </c>
      <c r="I80" s="203">
        <v>8</v>
      </c>
      <c r="J80" s="203">
        <v>13</v>
      </c>
      <c r="K80" s="158">
        <v>33469.370000000003</v>
      </c>
      <c r="L80" s="224">
        <v>9</v>
      </c>
      <c r="M80" s="50">
        <f t="shared" ref="M80:M96" si="4">N80+O80</f>
        <v>12064.84</v>
      </c>
      <c r="N80" s="65">
        <v>12064.84</v>
      </c>
      <c r="O80" s="225"/>
      <c r="P80" s="108">
        <v>11</v>
      </c>
      <c r="Q80" s="65">
        <v>42819.33</v>
      </c>
      <c r="R80" s="224">
        <v>10</v>
      </c>
      <c r="S80" s="50">
        <f t="shared" ref="S80:S96" si="5">T80+U80</f>
        <v>40632.5</v>
      </c>
      <c r="T80" s="65">
        <v>40632.5</v>
      </c>
      <c r="U80" s="225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9"/>
      <c r="B81" s="380"/>
      <c r="C81" s="380"/>
      <c r="D81" s="380"/>
      <c r="E81" s="380"/>
      <c r="F81" s="226"/>
      <c r="G81" s="227" t="s">
        <v>28</v>
      </c>
      <c r="H81" s="118"/>
      <c r="I81" s="57"/>
      <c r="J81" s="57"/>
      <c r="L81" s="44"/>
      <c r="M81" s="43">
        <f t="shared" si="4"/>
        <v>0</v>
      </c>
      <c r="N81" s="43"/>
      <c r="O81" s="41"/>
      <c r="P81" s="103"/>
      <c r="Q81" s="43"/>
      <c r="R81" s="44"/>
      <c r="S81" s="43">
        <f t="shared" si="5"/>
        <v>0</v>
      </c>
      <c r="T81" s="43"/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2"/>
      <c r="B82" s="374" t="s">
        <v>81</v>
      </c>
      <c r="C82" s="374" t="s">
        <v>39</v>
      </c>
      <c r="D82" s="374" t="s">
        <v>224</v>
      </c>
      <c r="E82" s="374" t="s">
        <v>65</v>
      </c>
      <c r="F82" s="204" t="s">
        <v>225</v>
      </c>
      <c r="G82" s="176" t="s">
        <v>24</v>
      </c>
      <c r="H82" s="248">
        <v>42</v>
      </c>
      <c r="I82" s="62">
        <v>32</v>
      </c>
      <c r="J82" s="62">
        <v>48</v>
      </c>
      <c r="K82" s="30">
        <v>91477.55</v>
      </c>
      <c r="L82" s="205">
        <v>48</v>
      </c>
      <c r="M82" s="26">
        <f t="shared" si="4"/>
        <v>91477.55</v>
      </c>
      <c r="N82" s="30">
        <v>91477.55</v>
      </c>
      <c r="O82" s="225"/>
      <c r="P82" s="29">
        <v>24</v>
      </c>
      <c r="Q82" s="30">
        <v>80699.88</v>
      </c>
      <c r="R82" s="205">
        <v>24</v>
      </c>
      <c r="S82" s="26">
        <f t="shared" si="5"/>
        <v>80699.88</v>
      </c>
      <c r="T82" s="30">
        <v>80699.88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3"/>
      <c r="B83" s="375"/>
      <c r="C83" s="375"/>
      <c r="D83" s="375"/>
      <c r="E83" s="375"/>
      <c r="F83" s="34"/>
      <c r="G83" s="282" t="s">
        <v>28</v>
      </c>
      <c r="H83" s="283"/>
      <c r="I83" s="261"/>
      <c r="J83" s="261"/>
      <c r="K83" s="211"/>
      <c r="L83" s="210"/>
      <c r="M83" s="211">
        <f t="shared" si="4"/>
        <v>0</v>
      </c>
      <c r="N83" s="211"/>
      <c r="O83" s="212"/>
      <c r="P83" s="284"/>
      <c r="Q83" s="211"/>
      <c r="R83" s="210"/>
      <c r="S83" s="211">
        <f t="shared" si="5"/>
        <v>0</v>
      </c>
      <c r="T83" s="211"/>
      <c r="U83" s="212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365</v>
      </c>
      <c r="C84" s="374" t="s">
        <v>39</v>
      </c>
      <c r="D84" s="378" t="s">
        <v>409</v>
      </c>
      <c r="E84" s="374" t="s">
        <v>65</v>
      </c>
      <c r="F84" s="232" t="s">
        <v>410</v>
      </c>
      <c r="G84" s="213" t="s">
        <v>24</v>
      </c>
      <c r="H84" s="24">
        <v>6</v>
      </c>
      <c r="I84" s="62">
        <v>5</v>
      </c>
      <c r="J84" s="62">
        <v>5</v>
      </c>
      <c r="K84" s="30">
        <v>10994.95</v>
      </c>
      <c r="L84" s="205">
        <v>4</v>
      </c>
      <c r="M84" s="26">
        <f t="shared" si="4"/>
        <v>7783.75</v>
      </c>
      <c r="N84" s="30">
        <v>7783.75</v>
      </c>
      <c r="O84" s="28"/>
      <c r="P84" s="214"/>
      <c r="Q84" s="30"/>
      <c r="R84" s="27"/>
      <c r="S84" s="26">
        <f t="shared" si="5"/>
        <v>0</v>
      </c>
      <c r="T84" s="26"/>
      <c r="U84" s="2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247"/>
      <c r="G85" s="279" t="s">
        <v>28</v>
      </c>
      <c r="H85" s="207">
        <v>5</v>
      </c>
      <c r="I85" s="208">
        <v>1</v>
      </c>
      <c r="J85" s="208">
        <v>1</v>
      </c>
      <c r="K85" s="209">
        <v>2305.1999999999998</v>
      </c>
      <c r="L85" s="290">
        <v>1</v>
      </c>
      <c r="M85" s="211">
        <f t="shared" si="4"/>
        <v>2305.1999999999998</v>
      </c>
      <c r="N85" s="211">
        <f>2305.2</f>
        <v>2305.1999999999998</v>
      </c>
      <c r="O85" s="212"/>
      <c r="P85" s="280"/>
      <c r="Q85" s="209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400</v>
      </c>
      <c r="C86" s="374" t="s">
        <v>22</v>
      </c>
      <c r="D86" s="378"/>
      <c r="E86" s="374" t="s">
        <v>401</v>
      </c>
      <c r="F86" s="204" t="s">
        <v>402</v>
      </c>
      <c r="G86" s="213" t="s">
        <v>24</v>
      </c>
      <c r="H86" s="24"/>
      <c r="I86" s="62"/>
      <c r="J86" s="62"/>
      <c r="K86" s="30"/>
      <c r="L86" s="27"/>
      <c r="M86" s="26">
        <f t="shared" si="4"/>
        <v>0</v>
      </c>
      <c r="N86" s="26"/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34"/>
      <c r="G87" s="215" t="s">
        <v>28</v>
      </c>
      <c r="H87" s="66"/>
      <c r="I87" s="37"/>
      <c r="J87" s="37"/>
      <c r="K87" s="68"/>
      <c r="L87" s="40"/>
      <c r="M87" s="39">
        <f t="shared" si="4"/>
        <v>0</v>
      </c>
      <c r="N87" s="39"/>
      <c r="O87" s="41"/>
      <c r="P87" s="217"/>
      <c r="Q87" s="68"/>
      <c r="R87" s="40"/>
      <c r="S87" s="39">
        <f t="shared" si="5"/>
        <v>0</v>
      </c>
      <c r="T87" s="39"/>
      <c r="U87" s="4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6"/>
      <c r="B88" s="377" t="s">
        <v>82</v>
      </c>
      <c r="C88" s="377" t="s">
        <v>22</v>
      </c>
      <c r="D88" s="400"/>
      <c r="E88" s="377" t="s">
        <v>83</v>
      </c>
      <c r="F88" s="223" t="s">
        <v>404</v>
      </c>
      <c r="G88" s="95" t="s">
        <v>24</v>
      </c>
      <c r="H88" s="281">
        <v>13</v>
      </c>
      <c r="I88" s="266">
        <v>10</v>
      </c>
      <c r="J88" s="266">
        <v>18</v>
      </c>
      <c r="K88" s="79">
        <v>30900.22</v>
      </c>
      <c r="L88" s="268">
        <v>13</v>
      </c>
      <c r="M88" s="81">
        <f t="shared" si="4"/>
        <v>22197.56</v>
      </c>
      <c r="N88" s="79">
        <v>22197.56</v>
      </c>
      <c r="O88" s="269"/>
      <c r="P88" s="267">
        <v>13</v>
      </c>
      <c r="Q88" s="79">
        <v>30265.69</v>
      </c>
      <c r="R88" s="268">
        <v>9</v>
      </c>
      <c r="S88" s="81">
        <f t="shared" si="5"/>
        <v>22011.75</v>
      </c>
      <c r="T88" s="79">
        <v>22011.75</v>
      </c>
      <c r="U88" s="269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54"/>
      <c r="G89" s="55" t="s">
        <v>25</v>
      </c>
      <c r="H89" s="121">
        <v>3</v>
      </c>
      <c r="I89" s="130">
        <v>1</v>
      </c>
      <c r="J89" s="130">
        <v>1</v>
      </c>
      <c r="K89" s="114">
        <v>1344.7</v>
      </c>
      <c r="L89" s="270">
        <v>1</v>
      </c>
      <c r="M89" s="43">
        <f t="shared" si="4"/>
        <v>1344.7</v>
      </c>
      <c r="N89" s="114">
        <v>1344.7</v>
      </c>
      <c r="O89" s="234"/>
      <c r="P89" s="103"/>
      <c r="Q89" s="43"/>
      <c r="R89" s="44"/>
      <c r="S89" s="43">
        <f t="shared" si="5"/>
        <v>0</v>
      </c>
      <c r="T89" s="43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2"/>
      <c r="B90" s="374" t="s">
        <v>84</v>
      </c>
      <c r="C90" s="374"/>
      <c r="D90" s="378"/>
      <c r="E90" s="374"/>
      <c r="F90" s="60"/>
      <c r="G90" s="23" t="s">
        <v>24</v>
      </c>
      <c r="H90" s="119"/>
      <c r="I90" s="25"/>
      <c r="J90" s="25"/>
      <c r="K90" s="26"/>
      <c r="L90" s="27"/>
      <c r="M90" s="26">
        <f t="shared" si="4"/>
        <v>0</v>
      </c>
      <c r="N90" s="26"/>
      <c r="O90" s="31"/>
      <c r="P90" s="120"/>
      <c r="Q90" s="26"/>
      <c r="R90" s="27"/>
      <c r="S90" s="26">
        <f t="shared" si="5"/>
        <v>0</v>
      </c>
      <c r="T90" s="26"/>
      <c r="U90" s="3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132"/>
      <c r="G91" s="35" t="s">
        <v>28</v>
      </c>
      <c r="H91" s="36"/>
      <c r="I91" s="38"/>
      <c r="J91" s="38"/>
      <c r="K91" s="39"/>
      <c r="L91" s="40"/>
      <c r="M91" s="39">
        <f t="shared" si="4"/>
        <v>0</v>
      </c>
      <c r="N91" s="39"/>
      <c r="O91" s="41"/>
      <c r="P91" s="69"/>
      <c r="Q91" s="39"/>
      <c r="R91" s="40"/>
      <c r="S91" s="39">
        <f t="shared" si="5"/>
        <v>0</v>
      </c>
      <c r="T91" s="39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82"/>
      <c r="B92" s="381" t="s">
        <v>85</v>
      </c>
      <c r="C92" s="381" t="s">
        <v>22</v>
      </c>
      <c r="D92" s="385"/>
      <c r="E92" s="381" t="s">
        <v>27</v>
      </c>
      <c r="F92" s="127"/>
      <c r="G92" s="47" t="s">
        <v>24</v>
      </c>
      <c r="H92" s="98"/>
      <c r="I92" s="49"/>
      <c r="J92" s="49"/>
      <c r="K92" s="50"/>
      <c r="L92" s="51"/>
      <c r="M92" s="50">
        <f t="shared" si="4"/>
        <v>0</v>
      </c>
      <c r="N92" s="50"/>
      <c r="O92" s="31"/>
      <c r="P92" s="108">
        <v>1</v>
      </c>
      <c r="Q92" s="65">
        <v>405.02</v>
      </c>
      <c r="R92" s="51"/>
      <c r="S92" s="50">
        <f t="shared" si="5"/>
        <v>0</v>
      </c>
      <c r="T92" s="50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9"/>
      <c r="B93" s="380"/>
      <c r="C93" s="380"/>
      <c r="D93" s="380"/>
      <c r="E93" s="380"/>
      <c r="F93" s="226"/>
      <c r="G93" s="227" t="s">
        <v>28</v>
      </c>
      <c r="H93" s="116"/>
      <c r="I93" s="57"/>
      <c r="J93" s="57"/>
      <c r="K93" s="43"/>
      <c r="L93" s="44"/>
      <c r="M93" s="43">
        <f t="shared" si="4"/>
        <v>0</v>
      </c>
      <c r="N93" s="43"/>
      <c r="O93" s="41"/>
      <c r="P93" s="103"/>
      <c r="Q93" s="43"/>
      <c r="R93" s="44"/>
      <c r="S93" s="43">
        <f t="shared" si="5"/>
        <v>0</v>
      </c>
      <c r="T93" s="43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2"/>
      <c r="B94" s="374" t="s">
        <v>86</v>
      </c>
      <c r="C94" s="374" t="s">
        <v>39</v>
      </c>
      <c r="D94" s="374" t="s">
        <v>266</v>
      </c>
      <c r="E94" s="374" t="s">
        <v>23</v>
      </c>
      <c r="F94" s="204" t="s">
        <v>267</v>
      </c>
      <c r="G94" s="176" t="s">
        <v>24</v>
      </c>
      <c r="H94" s="151">
        <v>2</v>
      </c>
      <c r="I94" s="25"/>
      <c r="J94" s="25"/>
      <c r="K94" s="26"/>
      <c r="L94" s="27"/>
      <c r="M94" s="26">
        <f t="shared" si="4"/>
        <v>0</v>
      </c>
      <c r="N94" s="26"/>
      <c r="O94" s="31"/>
      <c r="P94" s="53">
        <v>8</v>
      </c>
      <c r="Q94" s="30">
        <v>23413.73</v>
      </c>
      <c r="R94" s="205">
        <v>8</v>
      </c>
      <c r="S94" s="26">
        <f t="shared" si="5"/>
        <v>23413.73</v>
      </c>
      <c r="T94" s="30">
        <v>23413.73</v>
      </c>
      <c r="U94" s="225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3"/>
      <c r="B95" s="375"/>
      <c r="C95" s="375"/>
      <c r="D95" s="375"/>
      <c r="E95" s="375"/>
      <c r="F95" s="105"/>
      <c r="G95" s="229" t="s">
        <v>25</v>
      </c>
      <c r="H95" s="118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87</v>
      </c>
      <c r="C96" s="374" t="s">
        <v>39</v>
      </c>
      <c r="D96" s="374" t="s">
        <v>88</v>
      </c>
      <c r="E96" s="374" t="s">
        <v>89</v>
      </c>
      <c r="F96" s="232" t="s">
        <v>268</v>
      </c>
      <c r="G96" s="23" t="s">
        <v>24</v>
      </c>
      <c r="H96" s="61">
        <v>16</v>
      </c>
      <c r="I96" s="62">
        <v>13</v>
      </c>
      <c r="J96" s="62">
        <v>19</v>
      </c>
      <c r="K96" s="30">
        <v>32261.599999999999</v>
      </c>
      <c r="L96" s="205">
        <v>17</v>
      </c>
      <c r="M96" s="26">
        <f t="shared" si="4"/>
        <v>29987.31</v>
      </c>
      <c r="N96" s="30">
        <v>29987.31</v>
      </c>
      <c r="O96" s="31"/>
      <c r="P96" s="53">
        <v>11</v>
      </c>
      <c r="Q96" s="30">
        <v>39192.99</v>
      </c>
      <c r="R96" s="205">
        <v>10</v>
      </c>
      <c r="S96" s="26">
        <f t="shared" si="5"/>
        <v>37366.67</v>
      </c>
      <c r="T96" s="30">
        <v>37366.67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220" t="s">
        <v>290</v>
      </c>
      <c r="G97" s="35" t="s">
        <v>25</v>
      </c>
      <c r="H97" s="117">
        <v>8</v>
      </c>
      <c r="I97" s="37">
        <v>5</v>
      </c>
      <c r="J97" s="37">
        <v>5</v>
      </c>
      <c r="K97" s="68">
        <v>8538.9599999999991</v>
      </c>
      <c r="L97" s="285">
        <v>5</v>
      </c>
      <c r="M97" s="68">
        <v>8538.9599999999991</v>
      </c>
      <c r="N97" s="68">
        <v>8538.9599999999991</v>
      </c>
      <c r="O97" s="234"/>
      <c r="P97" s="115">
        <v>7</v>
      </c>
      <c r="Q97" s="68">
        <v>26943.26</v>
      </c>
      <c r="R97" s="285">
        <v>6</v>
      </c>
      <c r="S97" s="68">
        <v>19517.36</v>
      </c>
      <c r="T97" s="68">
        <v>19517.36</v>
      </c>
      <c r="U97" s="23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90</v>
      </c>
      <c r="C98" s="374" t="s">
        <v>39</v>
      </c>
      <c r="D98" s="374" t="s">
        <v>91</v>
      </c>
      <c r="E98" s="374" t="s">
        <v>27</v>
      </c>
      <c r="F98" s="204" t="s">
        <v>291</v>
      </c>
      <c r="G98" s="176" t="s">
        <v>24</v>
      </c>
      <c r="H98" s="48">
        <v>7</v>
      </c>
      <c r="I98" s="203">
        <v>2</v>
      </c>
      <c r="J98" s="203">
        <v>2</v>
      </c>
      <c r="K98" s="65">
        <v>2539.56</v>
      </c>
      <c r="L98" s="224">
        <v>2</v>
      </c>
      <c r="M98" s="50">
        <f>N98+O98</f>
        <v>2539.56</v>
      </c>
      <c r="N98" s="65">
        <v>2539.56</v>
      </c>
      <c r="O98" s="31"/>
      <c r="P98" s="108">
        <v>8</v>
      </c>
      <c r="Q98" s="65">
        <v>93924.24</v>
      </c>
      <c r="R98" s="224">
        <v>8</v>
      </c>
      <c r="S98" s="50">
        <f t="shared" ref="S98:S104" si="6">T98+U98</f>
        <v>93924.24</v>
      </c>
      <c r="T98" s="65">
        <v>93924.24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229</v>
      </c>
      <c r="G99" s="229" t="s">
        <v>28</v>
      </c>
      <c r="H99" s="133">
        <v>5</v>
      </c>
      <c r="I99" s="130">
        <v>1</v>
      </c>
      <c r="J99" s="130">
        <v>1</v>
      </c>
      <c r="K99" s="114">
        <v>1344.7</v>
      </c>
      <c r="L99" s="270">
        <v>1</v>
      </c>
      <c r="M99" s="114">
        <v>1344.7</v>
      </c>
      <c r="N99" s="114">
        <v>1344.7</v>
      </c>
      <c r="O99" s="41"/>
      <c r="P99" s="113">
        <v>1</v>
      </c>
      <c r="Q99" s="114">
        <v>1404.9</v>
      </c>
      <c r="R99" s="270">
        <v>1</v>
      </c>
      <c r="S99" s="43">
        <f t="shared" si="6"/>
        <v>1404.9</v>
      </c>
      <c r="T99" s="43">
        <f>1404.9</f>
        <v>1404.9</v>
      </c>
      <c r="U99" s="4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92</v>
      </c>
      <c r="C100" s="374" t="s">
        <v>22</v>
      </c>
      <c r="D100" s="374"/>
      <c r="E100" s="374" t="s">
        <v>27</v>
      </c>
      <c r="F100" s="232" t="s">
        <v>269</v>
      </c>
      <c r="G100" s="23" t="s">
        <v>24</v>
      </c>
      <c r="H100" s="151">
        <v>4</v>
      </c>
      <c r="I100" s="62">
        <v>3</v>
      </c>
      <c r="J100" s="62">
        <v>3</v>
      </c>
      <c r="K100" s="30">
        <v>7389.22</v>
      </c>
      <c r="L100" s="205">
        <v>3</v>
      </c>
      <c r="M100" s="26">
        <f t="shared" ref="M100:M104" si="7">N100+O100</f>
        <v>7389.22</v>
      </c>
      <c r="N100" s="30">
        <v>7389.22</v>
      </c>
      <c r="O100" s="31"/>
      <c r="P100" s="53">
        <v>8</v>
      </c>
      <c r="Q100" s="30">
        <v>39013.760000000002</v>
      </c>
      <c r="R100" s="205">
        <v>8</v>
      </c>
      <c r="S100" s="26">
        <f t="shared" si="6"/>
        <v>39013.760000000002</v>
      </c>
      <c r="T100" s="30">
        <v>39013.760000000002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9"/>
      <c r="B101" s="380"/>
      <c r="C101" s="380"/>
      <c r="D101" s="380"/>
      <c r="E101" s="380"/>
      <c r="F101" s="233" t="s">
        <v>230</v>
      </c>
      <c r="G101" s="227" t="s">
        <v>28</v>
      </c>
      <c r="H101" s="133">
        <v>2</v>
      </c>
      <c r="I101" s="130">
        <v>2</v>
      </c>
      <c r="J101" s="130">
        <v>2</v>
      </c>
      <c r="K101" s="114">
        <v>1756.5</v>
      </c>
      <c r="L101" s="270">
        <v>2</v>
      </c>
      <c r="M101" s="43">
        <f t="shared" si="7"/>
        <v>1780.5</v>
      </c>
      <c r="N101" s="43">
        <f>576.3+1204.2</f>
        <v>1780.5</v>
      </c>
      <c r="O101" s="41"/>
      <c r="P101" s="103"/>
      <c r="Q101" s="43"/>
      <c r="R101" s="270">
        <v>1</v>
      </c>
      <c r="S101" s="43">
        <f t="shared" si="6"/>
        <v>2408.4</v>
      </c>
      <c r="T101" s="43">
        <f>2408.4</f>
        <v>2408.4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93</v>
      </c>
      <c r="C102" s="374" t="s">
        <v>22</v>
      </c>
      <c r="D102" s="374"/>
      <c r="E102" s="374" t="s">
        <v>27</v>
      </c>
      <c r="F102" s="204" t="s">
        <v>412</v>
      </c>
      <c r="G102" s="176" t="s">
        <v>24</v>
      </c>
      <c r="H102" s="151">
        <v>3</v>
      </c>
      <c r="I102" s="62">
        <v>3</v>
      </c>
      <c r="J102" s="62">
        <v>4</v>
      </c>
      <c r="K102" s="30">
        <v>7949.83</v>
      </c>
      <c r="L102" s="205">
        <v>3</v>
      </c>
      <c r="M102" s="26">
        <f t="shared" si="7"/>
        <v>4738.63</v>
      </c>
      <c r="N102" s="30">
        <v>4738.63</v>
      </c>
      <c r="O102" s="225"/>
      <c r="P102" s="53">
        <v>3</v>
      </c>
      <c r="Q102" s="30">
        <v>15479.57</v>
      </c>
      <c r="R102" s="205">
        <v>3</v>
      </c>
      <c r="S102" s="26">
        <f t="shared" si="6"/>
        <v>15479.57</v>
      </c>
      <c r="T102" s="30">
        <v>15479.57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3"/>
      <c r="B103" s="375"/>
      <c r="C103" s="375"/>
      <c r="D103" s="375"/>
      <c r="E103" s="375"/>
      <c r="F103" s="105"/>
      <c r="G103" s="229" t="s">
        <v>28</v>
      </c>
      <c r="H103" s="116"/>
      <c r="I103" s="57"/>
      <c r="J103" s="57"/>
      <c r="K103" s="43"/>
      <c r="L103" s="44"/>
      <c r="M103" s="43">
        <f t="shared" si="7"/>
        <v>0</v>
      </c>
      <c r="N103" s="43"/>
      <c r="O103" s="41"/>
      <c r="P103" s="103"/>
      <c r="Q103" s="43"/>
      <c r="R103" s="44"/>
      <c r="S103" s="43">
        <f t="shared" si="6"/>
        <v>0</v>
      </c>
      <c r="T103" s="43"/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94</v>
      </c>
      <c r="C104" s="374" t="s">
        <v>39</v>
      </c>
      <c r="D104" s="374" t="s">
        <v>95</v>
      </c>
      <c r="E104" s="374" t="s">
        <v>96</v>
      </c>
      <c r="F104" s="204" t="s">
        <v>292</v>
      </c>
      <c r="G104" s="176" t="s">
        <v>24</v>
      </c>
      <c r="H104" s="48">
        <v>8</v>
      </c>
      <c r="I104" s="62">
        <v>5</v>
      </c>
      <c r="J104" s="62">
        <v>6</v>
      </c>
      <c r="K104" s="30">
        <v>16261.19</v>
      </c>
      <c r="L104" s="205">
        <v>5</v>
      </c>
      <c r="M104" s="26">
        <f t="shared" si="7"/>
        <v>15598.88</v>
      </c>
      <c r="N104" s="30">
        <v>15598.88</v>
      </c>
      <c r="O104" s="31"/>
      <c r="P104" s="53">
        <v>27</v>
      </c>
      <c r="Q104" s="30">
        <v>92568.19</v>
      </c>
      <c r="R104" s="205">
        <v>23</v>
      </c>
      <c r="S104" s="26">
        <f t="shared" si="6"/>
        <v>58950.239999999998</v>
      </c>
      <c r="T104" s="30">
        <v>58950.239999999998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220" t="s">
        <v>293</v>
      </c>
      <c r="G105" s="307" t="s">
        <v>25</v>
      </c>
      <c r="H105" s="112">
        <v>8</v>
      </c>
      <c r="I105" s="130">
        <v>8</v>
      </c>
      <c r="J105" s="130">
        <v>8</v>
      </c>
      <c r="K105" s="114">
        <v>10899.4</v>
      </c>
      <c r="L105" s="270">
        <v>8</v>
      </c>
      <c r="M105" s="114">
        <v>10899.4</v>
      </c>
      <c r="N105" s="114">
        <v>10899.4</v>
      </c>
      <c r="O105" s="234"/>
      <c r="P105" s="113">
        <v>10</v>
      </c>
      <c r="Q105" s="114">
        <v>23220.94</v>
      </c>
      <c r="R105" s="270">
        <v>9</v>
      </c>
      <c r="S105" s="114">
        <v>22167.34</v>
      </c>
      <c r="T105" s="114">
        <v>22167.34</v>
      </c>
      <c r="U105" s="23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97</v>
      </c>
      <c r="C106" s="374" t="s">
        <v>22</v>
      </c>
      <c r="D106" s="374"/>
      <c r="E106" s="374" t="s">
        <v>27</v>
      </c>
      <c r="F106" s="232" t="s">
        <v>406</v>
      </c>
      <c r="G106" s="176" t="s">
        <v>24</v>
      </c>
      <c r="H106" s="248">
        <v>7</v>
      </c>
      <c r="I106" s="62">
        <v>6</v>
      </c>
      <c r="J106" s="62">
        <v>6</v>
      </c>
      <c r="K106" s="30">
        <v>4786.25</v>
      </c>
      <c r="L106" s="205">
        <v>6</v>
      </c>
      <c r="M106" s="26">
        <f t="shared" ref="M106:M121" si="8">N106+O106</f>
        <v>4786.25</v>
      </c>
      <c r="N106" s="30">
        <v>4786.25</v>
      </c>
      <c r="O106" s="225"/>
      <c r="P106" s="53">
        <v>7</v>
      </c>
      <c r="Q106" s="30">
        <v>12035.94</v>
      </c>
      <c r="R106" s="205">
        <v>7</v>
      </c>
      <c r="S106" s="26">
        <f t="shared" ref="S106:S137" si="9">T106+U106</f>
        <v>12035.94</v>
      </c>
      <c r="T106" s="30">
        <v>12035.94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294</v>
      </c>
      <c r="G107" s="229" t="s">
        <v>28</v>
      </c>
      <c r="H107" s="251">
        <v>6</v>
      </c>
      <c r="I107" s="208">
        <v>4</v>
      </c>
      <c r="J107" s="208">
        <v>4</v>
      </c>
      <c r="K107" s="209">
        <v>5955.1</v>
      </c>
      <c r="L107" s="290">
        <v>4</v>
      </c>
      <c r="M107" s="211">
        <f t="shared" si="8"/>
        <v>5955.0999999999995</v>
      </c>
      <c r="N107" s="209">
        <f>1344.7+3265.7+1344.7</f>
        <v>5955.0999999999995</v>
      </c>
      <c r="O107" s="212"/>
      <c r="P107" s="103"/>
      <c r="Q107" s="43"/>
      <c r="R107" s="270">
        <v>1</v>
      </c>
      <c r="S107" s="43">
        <f t="shared" si="9"/>
        <v>2209.15</v>
      </c>
      <c r="T107" s="114">
        <v>2209.15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6"/>
      <c r="B108" s="377" t="s">
        <v>98</v>
      </c>
      <c r="C108" s="377" t="s">
        <v>39</v>
      </c>
      <c r="D108" s="377" t="s">
        <v>270</v>
      </c>
      <c r="E108" s="377" t="s">
        <v>99</v>
      </c>
      <c r="F108" s="232" t="s">
        <v>271</v>
      </c>
      <c r="G108" s="73" t="s">
        <v>24</v>
      </c>
      <c r="H108" s="24">
        <v>14</v>
      </c>
      <c r="I108" s="62">
        <v>9</v>
      </c>
      <c r="J108" s="62">
        <v>13</v>
      </c>
      <c r="K108" s="30">
        <v>25877.3</v>
      </c>
      <c r="L108" s="205">
        <v>11</v>
      </c>
      <c r="M108" s="26">
        <f t="shared" si="8"/>
        <v>21963.53</v>
      </c>
      <c r="N108" s="30">
        <v>21963.53</v>
      </c>
      <c r="O108" s="241"/>
      <c r="P108" s="214">
        <v>13</v>
      </c>
      <c r="Q108" s="30">
        <v>57575.81</v>
      </c>
      <c r="R108" s="205">
        <v>13</v>
      </c>
      <c r="S108" s="26">
        <f t="shared" si="9"/>
        <v>57575.81</v>
      </c>
      <c r="T108" s="30">
        <v>57575.81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295</v>
      </c>
      <c r="G109" s="215" t="s">
        <v>28</v>
      </c>
      <c r="H109" s="66">
        <v>8</v>
      </c>
      <c r="I109" s="286">
        <v>5</v>
      </c>
      <c r="J109" s="286">
        <v>5</v>
      </c>
      <c r="K109" s="287">
        <v>11331</v>
      </c>
      <c r="L109" s="315">
        <v>5</v>
      </c>
      <c r="M109" s="39">
        <f t="shared" si="8"/>
        <v>11331</v>
      </c>
      <c r="N109" s="39">
        <f>1921+3073.6+1921+3010.5+1404.9</f>
        <v>11331</v>
      </c>
      <c r="O109" s="41"/>
      <c r="P109" s="217">
        <v>3</v>
      </c>
      <c r="Q109" s="37">
        <v>7587.95</v>
      </c>
      <c r="R109" s="285">
        <v>3</v>
      </c>
      <c r="S109" s="39">
        <f t="shared" si="9"/>
        <v>8740.5499999999993</v>
      </c>
      <c r="T109" s="68">
        <f>1056.55+3457.8+4226.2</f>
        <v>8740.5499999999993</v>
      </c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82"/>
      <c r="B110" s="381" t="s">
        <v>100</v>
      </c>
      <c r="C110" s="374" t="s">
        <v>39</v>
      </c>
      <c r="D110" s="381" t="s">
        <v>296</v>
      </c>
      <c r="E110" s="381" t="s">
        <v>27</v>
      </c>
      <c r="F110" s="223" t="s">
        <v>297</v>
      </c>
      <c r="G110" s="47" t="s">
        <v>24</v>
      </c>
      <c r="H110" s="218"/>
      <c r="I110" s="96"/>
      <c r="J110" s="96"/>
      <c r="K110" s="81"/>
      <c r="L110" s="80"/>
      <c r="M110" s="81">
        <f t="shared" si="8"/>
        <v>0</v>
      </c>
      <c r="N110" s="81"/>
      <c r="O110" s="219"/>
      <c r="P110" s="108">
        <v>4</v>
      </c>
      <c r="Q110" s="65">
        <v>17684.7</v>
      </c>
      <c r="R110" s="224">
        <v>4</v>
      </c>
      <c r="S110" s="50">
        <f t="shared" si="9"/>
        <v>17684.7</v>
      </c>
      <c r="T110" s="65">
        <v>17684.7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298</v>
      </c>
      <c r="G111" s="35" t="s">
        <v>28</v>
      </c>
      <c r="H111" s="133">
        <v>5</v>
      </c>
      <c r="I111" s="37">
        <v>1</v>
      </c>
      <c r="J111" s="37">
        <v>1</v>
      </c>
      <c r="K111" s="68">
        <v>864.45</v>
      </c>
      <c r="L111" s="285">
        <v>1</v>
      </c>
      <c r="M111" s="39">
        <f t="shared" si="8"/>
        <v>864.15</v>
      </c>
      <c r="N111" s="39">
        <f>864.15</f>
        <v>864.15</v>
      </c>
      <c r="O111" s="41"/>
      <c r="P111" s="115">
        <v>1</v>
      </c>
      <c r="Q111" s="68">
        <v>1152.5999999999999</v>
      </c>
      <c r="R111" s="40"/>
      <c r="S111" s="39">
        <f t="shared" si="9"/>
        <v>0</v>
      </c>
      <c r="T111" s="39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102</v>
      </c>
      <c r="C112" s="381" t="s">
        <v>22</v>
      </c>
      <c r="D112" s="381"/>
      <c r="E112" s="381" t="s">
        <v>67</v>
      </c>
      <c r="F112" s="223" t="s">
        <v>272</v>
      </c>
      <c r="G112" s="23" t="s">
        <v>24</v>
      </c>
      <c r="H112" s="48">
        <v>10</v>
      </c>
      <c r="I112" s="203">
        <v>5</v>
      </c>
      <c r="J112" s="203">
        <v>6</v>
      </c>
      <c r="K112" s="65">
        <v>10235.59</v>
      </c>
      <c r="L112" s="224">
        <v>6</v>
      </c>
      <c r="M112" s="50">
        <f t="shared" si="8"/>
        <v>10235.59</v>
      </c>
      <c r="N112" s="65">
        <v>10235.59</v>
      </c>
      <c r="O112" s="225"/>
      <c r="P112" s="108">
        <v>9</v>
      </c>
      <c r="Q112" s="65">
        <v>19656.830000000002</v>
      </c>
      <c r="R112" s="224">
        <v>9</v>
      </c>
      <c r="S112" s="50">
        <f t="shared" si="9"/>
        <v>19656.830000000002</v>
      </c>
      <c r="T112" s="65">
        <v>19656.830000000002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9"/>
      <c r="B113" s="380"/>
      <c r="C113" s="380"/>
      <c r="D113" s="380"/>
      <c r="E113" s="380"/>
      <c r="F113" s="220" t="s">
        <v>299</v>
      </c>
      <c r="G113" s="55" t="s">
        <v>28</v>
      </c>
      <c r="H113" s="153">
        <v>8</v>
      </c>
      <c r="I113" s="130">
        <v>4</v>
      </c>
      <c r="J113" s="130">
        <v>4</v>
      </c>
      <c r="K113" s="114">
        <v>3785.4</v>
      </c>
      <c r="L113" s="316">
        <v>6</v>
      </c>
      <c r="M113" s="50">
        <f t="shared" si="8"/>
        <v>5770.3</v>
      </c>
      <c r="N113" s="43">
        <f>1290.6+1152.6+1290.6+694.3+602.1+740.1</f>
        <v>5770.3</v>
      </c>
      <c r="O113" s="41"/>
      <c r="P113" s="113">
        <v>3</v>
      </c>
      <c r="Q113" s="114">
        <v>14347.1</v>
      </c>
      <c r="R113" s="270">
        <v>4</v>
      </c>
      <c r="S113" s="43">
        <f t="shared" si="9"/>
        <v>19149.900000000001</v>
      </c>
      <c r="T113" s="114">
        <f>4358.2+3649.9+4802.5+6339.3</f>
        <v>19149.900000000001</v>
      </c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103</v>
      </c>
      <c r="C114" s="374" t="s">
        <v>22</v>
      </c>
      <c r="D114" s="374"/>
      <c r="E114" s="374" t="s">
        <v>67</v>
      </c>
      <c r="F114" s="232" t="s">
        <v>407</v>
      </c>
      <c r="G114" s="23" t="s">
        <v>24</v>
      </c>
      <c r="H114" s="48">
        <v>7</v>
      </c>
      <c r="I114" s="62">
        <v>4</v>
      </c>
      <c r="J114" s="62">
        <v>5</v>
      </c>
      <c r="K114" s="30">
        <v>8528</v>
      </c>
      <c r="L114" s="205">
        <v>5</v>
      </c>
      <c r="M114" s="26">
        <f t="shared" si="8"/>
        <v>8528</v>
      </c>
      <c r="N114" s="30">
        <v>8528</v>
      </c>
      <c r="O114" s="225"/>
      <c r="P114" s="53">
        <v>6</v>
      </c>
      <c r="Q114" s="30">
        <v>12782.06</v>
      </c>
      <c r="R114" s="205">
        <v>6</v>
      </c>
      <c r="S114" s="26">
        <f t="shared" si="9"/>
        <v>12782.06</v>
      </c>
      <c r="T114" s="30">
        <v>12782.06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220" t="s">
        <v>300</v>
      </c>
      <c r="G115" s="35" t="s">
        <v>28</v>
      </c>
      <c r="H115" s="133">
        <v>6</v>
      </c>
      <c r="I115" s="37">
        <v>6</v>
      </c>
      <c r="J115" s="37">
        <v>7</v>
      </c>
      <c r="K115" s="68">
        <v>17745.900000000001</v>
      </c>
      <c r="L115" s="285">
        <v>5</v>
      </c>
      <c r="M115" s="39">
        <f t="shared" si="8"/>
        <v>11516.9</v>
      </c>
      <c r="N115" s="39">
        <f>1580.8+3353.7+4415.4+1404.9+762.1</f>
        <v>11516.9</v>
      </c>
      <c r="O115" s="41"/>
      <c r="P115" s="115">
        <v>2</v>
      </c>
      <c r="Q115" s="68">
        <v>3490.8</v>
      </c>
      <c r="R115" s="285">
        <v>3</v>
      </c>
      <c r="S115" s="39">
        <f t="shared" si="9"/>
        <v>8836.6</v>
      </c>
      <c r="T115" s="39">
        <f>5378.8+1344.7+2113.1</f>
        <v>8836.6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104</v>
      </c>
      <c r="C116" s="374" t="s">
        <v>39</v>
      </c>
      <c r="D116" s="374" t="s">
        <v>301</v>
      </c>
      <c r="E116" s="374" t="s">
        <v>27</v>
      </c>
      <c r="F116" s="204" t="s">
        <v>302</v>
      </c>
      <c r="G116" s="176" t="s">
        <v>24</v>
      </c>
      <c r="H116" s="48">
        <v>24</v>
      </c>
      <c r="I116" s="203">
        <v>18</v>
      </c>
      <c r="J116" s="203">
        <v>21</v>
      </c>
      <c r="K116" s="65">
        <v>47812.95</v>
      </c>
      <c r="L116" s="224">
        <v>18</v>
      </c>
      <c r="M116" s="50">
        <f t="shared" si="8"/>
        <v>44154.26</v>
      </c>
      <c r="N116" s="65">
        <v>44154.26</v>
      </c>
      <c r="O116" s="225"/>
      <c r="P116" s="108">
        <v>21</v>
      </c>
      <c r="Q116" s="65">
        <v>79001.61</v>
      </c>
      <c r="R116" s="224">
        <v>18</v>
      </c>
      <c r="S116" s="50">
        <f t="shared" si="9"/>
        <v>59690.23</v>
      </c>
      <c r="T116" s="65">
        <v>59690.23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229" t="s">
        <v>28</v>
      </c>
      <c r="H117" s="116"/>
      <c r="I117" s="57"/>
      <c r="J117" s="57"/>
      <c r="K117" s="43"/>
      <c r="L117" s="44"/>
      <c r="M117" s="43">
        <f t="shared" si="8"/>
        <v>0</v>
      </c>
      <c r="N117" s="43"/>
      <c r="O117" s="41"/>
      <c r="P117" s="103"/>
      <c r="Q117" s="43"/>
      <c r="R117" s="44"/>
      <c r="S117" s="43">
        <f t="shared" si="9"/>
        <v>0</v>
      </c>
      <c r="T117" s="43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106</v>
      </c>
      <c r="C118" s="377" t="s">
        <v>39</v>
      </c>
      <c r="D118" s="374" t="s">
        <v>107</v>
      </c>
      <c r="E118" s="374" t="s">
        <v>27</v>
      </c>
      <c r="F118" s="232" t="s">
        <v>366</v>
      </c>
      <c r="G118" s="23" t="s">
        <v>24</v>
      </c>
      <c r="H118" s="48">
        <v>10</v>
      </c>
      <c r="I118" s="62">
        <v>9</v>
      </c>
      <c r="J118" s="62">
        <v>9</v>
      </c>
      <c r="K118" s="30">
        <v>7593.07</v>
      </c>
      <c r="L118" s="205">
        <v>9</v>
      </c>
      <c r="M118" s="26">
        <f t="shared" si="8"/>
        <v>7593.07</v>
      </c>
      <c r="N118" s="30">
        <v>7593.07</v>
      </c>
      <c r="O118" s="31"/>
      <c r="P118" s="53">
        <v>11</v>
      </c>
      <c r="Q118" s="30">
        <v>73773.25</v>
      </c>
      <c r="R118" s="205">
        <v>11</v>
      </c>
      <c r="S118" s="26">
        <f t="shared" si="9"/>
        <v>73773.25</v>
      </c>
      <c r="T118" s="30">
        <v>73773.25</v>
      </c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233" t="s">
        <v>233</v>
      </c>
      <c r="G119" s="227" t="s">
        <v>28</v>
      </c>
      <c r="H119" s="153">
        <v>6</v>
      </c>
      <c r="I119" s="57"/>
      <c r="J119" s="57"/>
      <c r="K119" s="43"/>
      <c r="L119" s="270">
        <v>1</v>
      </c>
      <c r="M119" s="43">
        <f t="shared" si="8"/>
        <v>576.29999999999995</v>
      </c>
      <c r="N119" s="43">
        <f>576.3</f>
        <v>576.29999999999995</v>
      </c>
      <c r="O119" s="41"/>
      <c r="P119" s="113">
        <v>2</v>
      </c>
      <c r="Q119" s="114">
        <v>2881.5</v>
      </c>
      <c r="R119" s="270">
        <v>2</v>
      </c>
      <c r="S119" s="43">
        <f t="shared" si="9"/>
        <v>2881.5</v>
      </c>
      <c r="T119" s="57">
        <f>576.3+2305.2</f>
        <v>2881.5</v>
      </c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108</v>
      </c>
      <c r="C120" s="374" t="s">
        <v>46</v>
      </c>
      <c r="D120" s="374" t="s">
        <v>109</v>
      </c>
      <c r="E120" s="374" t="s">
        <v>27</v>
      </c>
      <c r="F120" s="204" t="s">
        <v>273</v>
      </c>
      <c r="G120" s="176" t="s">
        <v>24</v>
      </c>
      <c r="H120" s="151">
        <v>14</v>
      </c>
      <c r="I120" s="62">
        <v>12</v>
      </c>
      <c r="J120" s="62">
        <v>12</v>
      </c>
      <c r="K120" s="30">
        <v>11401.39</v>
      </c>
      <c r="L120" s="205">
        <v>9</v>
      </c>
      <c r="M120" s="26">
        <f t="shared" si="8"/>
        <v>8773.83</v>
      </c>
      <c r="N120" s="30">
        <v>8773.83</v>
      </c>
      <c r="O120" s="31"/>
      <c r="P120" s="53">
        <v>8</v>
      </c>
      <c r="Q120" s="30">
        <v>32433.51</v>
      </c>
      <c r="R120" s="205">
        <v>8</v>
      </c>
      <c r="S120" s="26">
        <f t="shared" si="9"/>
        <v>32433.51</v>
      </c>
      <c r="T120" s="30">
        <v>32433.51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87"/>
      <c r="B121" s="386"/>
      <c r="C121" s="386"/>
      <c r="D121" s="386"/>
      <c r="E121" s="386"/>
      <c r="F121" s="235" t="s">
        <v>234</v>
      </c>
      <c r="G121" s="252" t="s">
        <v>28</v>
      </c>
      <c r="H121" s="48">
        <v>6</v>
      </c>
      <c r="I121" s="246">
        <v>3</v>
      </c>
      <c r="J121" s="246">
        <v>3</v>
      </c>
      <c r="K121" s="158">
        <v>3159.6</v>
      </c>
      <c r="L121" s="317">
        <v>2</v>
      </c>
      <c r="M121" s="142">
        <f t="shared" si="8"/>
        <v>2583.3000000000002</v>
      </c>
      <c r="N121" s="142">
        <f>576.3+2007</f>
        <v>2583.3000000000002</v>
      </c>
      <c r="O121" s="45"/>
      <c r="P121" s="157">
        <v>7</v>
      </c>
      <c r="Q121" s="158">
        <v>15445.86</v>
      </c>
      <c r="R121" s="317">
        <v>5</v>
      </c>
      <c r="S121" s="142">
        <f t="shared" si="9"/>
        <v>13044.61</v>
      </c>
      <c r="T121" s="142">
        <f>288.15+576.3+5648.76+3649.9+2881.5</f>
        <v>13044.61</v>
      </c>
      <c r="U121" s="45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3"/>
      <c r="B122" s="375"/>
      <c r="C122" s="375"/>
      <c r="D122" s="375"/>
      <c r="E122" s="375"/>
      <c r="F122" s="145"/>
      <c r="G122" s="253" t="s">
        <v>25</v>
      </c>
      <c r="H122" s="306">
        <v>1</v>
      </c>
      <c r="I122" s="37">
        <v>1</v>
      </c>
      <c r="J122" s="37">
        <v>1</v>
      </c>
      <c r="K122" s="68">
        <v>2881.5</v>
      </c>
      <c r="L122" s="285">
        <v>1</v>
      </c>
      <c r="M122" s="68">
        <v>2881.5</v>
      </c>
      <c r="N122" s="68">
        <v>2881.5</v>
      </c>
      <c r="O122" s="41"/>
      <c r="P122" s="59"/>
      <c r="Q122" s="39"/>
      <c r="R122" s="40"/>
      <c r="S122" s="39">
        <f t="shared" si="9"/>
        <v>0</v>
      </c>
      <c r="T122" s="39"/>
      <c r="U122" s="4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6"/>
      <c r="B123" s="377" t="s">
        <v>110</v>
      </c>
      <c r="C123" s="377" t="s">
        <v>22</v>
      </c>
      <c r="D123" s="377"/>
      <c r="E123" s="377" t="s">
        <v>67</v>
      </c>
      <c r="F123" s="232" t="s">
        <v>274</v>
      </c>
      <c r="G123" s="23" t="s">
        <v>24</v>
      </c>
      <c r="H123" s="48">
        <v>3</v>
      </c>
      <c r="I123" s="203">
        <v>2</v>
      </c>
      <c r="J123" s="203">
        <v>3</v>
      </c>
      <c r="K123" s="65">
        <v>5015.66</v>
      </c>
      <c r="L123" s="224">
        <v>3</v>
      </c>
      <c r="M123" s="50">
        <f t="shared" ref="M123:M137" si="10">N123+O123</f>
        <v>5015.66</v>
      </c>
      <c r="N123" s="65">
        <v>5015.66</v>
      </c>
      <c r="O123" s="31"/>
      <c r="P123" s="108">
        <v>7</v>
      </c>
      <c r="Q123" s="65">
        <v>34054.94</v>
      </c>
      <c r="R123" s="224">
        <v>7</v>
      </c>
      <c r="S123" s="50">
        <f t="shared" si="9"/>
        <v>34054.94</v>
      </c>
      <c r="T123" s="65">
        <v>34054.94</v>
      </c>
      <c r="U123" s="22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9"/>
      <c r="B124" s="380"/>
      <c r="C124" s="380"/>
      <c r="D124" s="380"/>
      <c r="E124" s="380"/>
      <c r="F124" s="34"/>
      <c r="G124" s="55" t="s">
        <v>28</v>
      </c>
      <c r="H124" s="116"/>
      <c r="I124" s="57"/>
      <c r="J124" s="57"/>
      <c r="K124" s="43"/>
      <c r="L124" s="44"/>
      <c r="M124" s="43">
        <f t="shared" si="10"/>
        <v>0</v>
      </c>
      <c r="N124" s="43"/>
      <c r="O124" s="41"/>
      <c r="P124" s="103"/>
      <c r="Q124" s="43"/>
      <c r="R124" s="44"/>
      <c r="S124" s="43">
        <f t="shared" si="9"/>
        <v>0</v>
      </c>
      <c r="T124" s="43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2"/>
      <c r="B125" s="374" t="s">
        <v>111</v>
      </c>
      <c r="C125" s="374" t="s">
        <v>39</v>
      </c>
      <c r="D125" s="374" t="s">
        <v>435</v>
      </c>
      <c r="E125" s="374" t="s">
        <v>112</v>
      </c>
      <c r="F125" s="232" t="s">
        <v>436</v>
      </c>
      <c r="G125" s="23" t="s">
        <v>24</v>
      </c>
      <c r="H125" s="48">
        <v>11</v>
      </c>
      <c r="I125" s="62">
        <v>8</v>
      </c>
      <c r="J125" s="62">
        <v>10</v>
      </c>
      <c r="K125" s="30">
        <v>27914.080000000002</v>
      </c>
      <c r="L125" s="205">
        <v>10</v>
      </c>
      <c r="M125" s="26">
        <f t="shared" si="10"/>
        <v>27914.080000000002</v>
      </c>
      <c r="N125" s="30">
        <v>27914.080000000002</v>
      </c>
      <c r="O125" s="31"/>
      <c r="P125" s="53">
        <v>4</v>
      </c>
      <c r="Q125" s="30">
        <v>3732.5</v>
      </c>
      <c r="R125" s="205">
        <v>4</v>
      </c>
      <c r="S125" s="26">
        <f t="shared" si="9"/>
        <v>3732.5</v>
      </c>
      <c r="T125" s="30">
        <v>3732.5</v>
      </c>
      <c r="U125" s="3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233" t="s">
        <v>235</v>
      </c>
      <c r="G126" s="227" t="s">
        <v>28</v>
      </c>
      <c r="H126" s="133">
        <v>1</v>
      </c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113</v>
      </c>
      <c r="C127" s="374" t="s">
        <v>39</v>
      </c>
      <c r="D127" s="374" t="s">
        <v>114</v>
      </c>
      <c r="E127" s="374" t="s">
        <v>27</v>
      </c>
      <c r="F127" s="204" t="s">
        <v>305</v>
      </c>
      <c r="G127" s="176" t="s">
        <v>24</v>
      </c>
      <c r="H127" s="48">
        <v>18</v>
      </c>
      <c r="I127" s="62">
        <v>16</v>
      </c>
      <c r="J127" s="62">
        <v>22</v>
      </c>
      <c r="K127" s="30">
        <v>45233.25</v>
      </c>
      <c r="L127" s="205">
        <v>18</v>
      </c>
      <c r="M127" s="26">
        <f t="shared" si="10"/>
        <v>38332.99</v>
      </c>
      <c r="N127" s="30">
        <v>38332.99</v>
      </c>
      <c r="O127" s="225"/>
      <c r="P127" s="53">
        <v>10</v>
      </c>
      <c r="Q127" s="30">
        <v>25611.57</v>
      </c>
      <c r="R127" s="205">
        <v>10</v>
      </c>
      <c r="S127" s="26">
        <f t="shared" si="9"/>
        <v>25611.57</v>
      </c>
      <c r="T127" s="30">
        <v>25611.57</v>
      </c>
      <c r="U127" s="22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3"/>
      <c r="B128" s="375"/>
      <c r="C128" s="375"/>
      <c r="D128" s="375"/>
      <c r="E128" s="375"/>
      <c r="F128" s="220" t="s">
        <v>306</v>
      </c>
      <c r="G128" s="229" t="s">
        <v>28</v>
      </c>
      <c r="H128" s="56">
        <v>4</v>
      </c>
      <c r="I128" s="130">
        <v>3</v>
      </c>
      <c r="J128" s="130">
        <v>3</v>
      </c>
      <c r="K128" s="114">
        <v>4816.8</v>
      </c>
      <c r="L128" s="270">
        <v>3</v>
      </c>
      <c r="M128" s="43">
        <f t="shared" si="10"/>
        <v>4905.7000000000007</v>
      </c>
      <c r="N128" s="43">
        <f>1152.6+1344.7+2408.4</f>
        <v>4905.7000000000007</v>
      </c>
      <c r="O128" s="45"/>
      <c r="P128" s="113">
        <v>2</v>
      </c>
      <c r="Q128" s="114">
        <v>5186.7</v>
      </c>
      <c r="R128" s="270">
        <v>2</v>
      </c>
      <c r="S128" s="43">
        <f t="shared" si="9"/>
        <v>5186.7</v>
      </c>
      <c r="T128" s="43">
        <f>5186.7</f>
        <v>5186.7</v>
      </c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115</v>
      </c>
      <c r="C129" s="374" t="s">
        <v>22</v>
      </c>
      <c r="D129" s="374"/>
      <c r="E129" s="374" t="s">
        <v>27</v>
      </c>
      <c r="F129" s="22"/>
      <c r="G129" s="23" t="s">
        <v>24</v>
      </c>
      <c r="H129" s="104"/>
      <c r="I129" s="25"/>
      <c r="J129" s="25"/>
      <c r="K129" s="26"/>
      <c r="L129" s="148"/>
      <c r="M129" s="149">
        <f t="shared" si="10"/>
        <v>0</v>
      </c>
      <c r="N129" s="26"/>
      <c r="O129" s="100"/>
      <c r="P129" s="120"/>
      <c r="Q129" s="26"/>
      <c r="R129" s="27"/>
      <c r="S129" s="26">
        <f t="shared" si="9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34"/>
      <c r="G130" s="35" t="s">
        <v>28</v>
      </c>
      <c r="H130" s="106"/>
      <c r="I130" s="38"/>
      <c r="J130" s="38"/>
      <c r="K130" s="39"/>
      <c r="L130" s="40"/>
      <c r="M130" s="39">
        <f t="shared" si="10"/>
        <v>0</v>
      </c>
      <c r="N130" s="39"/>
      <c r="O130" s="41"/>
      <c r="P130" s="69"/>
      <c r="Q130" s="39"/>
      <c r="R130" s="40"/>
      <c r="S130" s="39">
        <f t="shared" si="9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116</v>
      </c>
      <c r="C131" s="381" t="s">
        <v>22</v>
      </c>
      <c r="D131" s="381"/>
      <c r="E131" s="381" t="s">
        <v>27</v>
      </c>
      <c r="F131" s="223" t="s">
        <v>307</v>
      </c>
      <c r="G131" s="47" t="s">
        <v>24</v>
      </c>
      <c r="H131" s="61">
        <v>8</v>
      </c>
      <c r="I131" s="62">
        <v>6</v>
      </c>
      <c r="J131" s="62">
        <v>8</v>
      </c>
      <c r="K131" s="30">
        <v>12647.96</v>
      </c>
      <c r="L131" s="205">
        <v>8</v>
      </c>
      <c r="M131" s="26">
        <f t="shared" si="10"/>
        <v>12647.96</v>
      </c>
      <c r="N131" s="30">
        <v>12647.96</v>
      </c>
      <c r="O131" s="243"/>
      <c r="P131" s="64">
        <v>4</v>
      </c>
      <c r="Q131" s="65">
        <v>10597.93</v>
      </c>
      <c r="R131" s="224">
        <v>4</v>
      </c>
      <c r="S131" s="50">
        <f t="shared" si="9"/>
        <v>10597.93</v>
      </c>
      <c r="T131" s="65">
        <v>10597.93</v>
      </c>
      <c r="U131" s="22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33">
        <v>4</v>
      </c>
      <c r="I132" s="38"/>
      <c r="J132" s="38"/>
      <c r="K132" s="39"/>
      <c r="L132" s="40"/>
      <c r="M132" s="39">
        <f t="shared" si="10"/>
        <v>0</v>
      </c>
      <c r="N132" s="39"/>
      <c r="O132" s="41"/>
      <c r="P132" s="67">
        <v>1</v>
      </c>
      <c r="Q132" s="68">
        <v>2305.1999999999998</v>
      </c>
      <c r="R132" s="285">
        <v>1</v>
      </c>
      <c r="S132" s="39">
        <f t="shared" si="9"/>
        <v>2305.1999999999998</v>
      </c>
      <c r="T132" s="39">
        <f>2305.2</f>
        <v>2305.1999999999998</v>
      </c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117</v>
      </c>
      <c r="C133" s="381" t="s">
        <v>22</v>
      </c>
      <c r="D133" s="381"/>
      <c r="E133" s="381" t="s">
        <v>67</v>
      </c>
      <c r="F133" s="223" t="s">
        <v>308</v>
      </c>
      <c r="G133" s="23" t="s">
        <v>24</v>
      </c>
      <c r="H133" s="48">
        <v>19</v>
      </c>
      <c r="I133" s="203">
        <v>12</v>
      </c>
      <c r="J133" s="203">
        <v>18</v>
      </c>
      <c r="K133" s="65">
        <v>44935.58</v>
      </c>
      <c r="L133" s="224">
        <v>18</v>
      </c>
      <c r="M133" s="50">
        <f t="shared" si="10"/>
        <v>44935.58</v>
      </c>
      <c r="N133" s="65">
        <v>44935.58</v>
      </c>
      <c r="O133" s="225"/>
      <c r="P133" s="108">
        <v>31</v>
      </c>
      <c r="Q133" s="65">
        <v>116106.08</v>
      </c>
      <c r="R133" s="224">
        <v>29</v>
      </c>
      <c r="S133" s="50">
        <f t="shared" si="9"/>
        <v>112352.1</v>
      </c>
      <c r="T133" s="65">
        <v>112352.1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226"/>
      <c r="G134" s="227" t="s">
        <v>28</v>
      </c>
      <c r="H134" s="116"/>
      <c r="I134" s="57"/>
      <c r="J134" s="57"/>
      <c r="K134" s="43"/>
      <c r="L134" s="44"/>
      <c r="M134" s="43">
        <f t="shared" si="10"/>
        <v>0</v>
      </c>
      <c r="N134" s="43"/>
      <c r="O134" s="41"/>
      <c r="P134" s="103"/>
      <c r="Q134" s="43"/>
      <c r="R134" s="44"/>
      <c r="S134" s="43">
        <f t="shared" si="9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118</v>
      </c>
      <c r="C135" s="374" t="s">
        <v>39</v>
      </c>
      <c r="D135" s="374" t="s">
        <v>309</v>
      </c>
      <c r="E135" s="374" t="s">
        <v>27</v>
      </c>
      <c r="F135" s="204" t="s">
        <v>310</v>
      </c>
      <c r="G135" s="176" t="s">
        <v>24</v>
      </c>
      <c r="H135" s="151">
        <v>15</v>
      </c>
      <c r="I135" s="62">
        <v>8</v>
      </c>
      <c r="J135" s="62">
        <v>11</v>
      </c>
      <c r="K135" s="30">
        <v>20338.259999999998</v>
      </c>
      <c r="L135" s="205">
        <v>10</v>
      </c>
      <c r="M135" s="26">
        <f t="shared" si="10"/>
        <v>20338.259999999998</v>
      </c>
      <c r="N135" s="30">
        <v>20338.259999999998</v>
      </c>
      <c r="O135" s="31"/>
      <c r="P135" s="53">
        <v>13</v>
      </c>
      <c r="Q135" s="30">
        <v>52477.24</v>
      </c>
      <c r="R135" s="205">
        <v>13</v>
      </c>
      <c r="S135" s="26">
        <f t="shared" si="9"/>
        <v>52477.24</v>
      </c>
      <c r="T135" s="30">
        <v>52477.24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152"/>
      <c r="G136" s="229" t="s">
        <v>28</v>
      </c>
      <c r="H136" s="116"/>
      <c r="I136" s="38"/>
      <c r="J136" s="38"/>
      <c r="K136" s="39"/>
      <c r="L136" s="40"/>
      <c r="M136" s="39">
        <f t="shared" si="10"/>
        <v>0</v>
      </c>
      <c r="N136" s="39"/>
      <c r="O136" s="41"/>
      <c r="P136" s="59"/>
      <c r="Q136" s="39"/>
      <c r="R136" s="40"/>
      <c r="S136" s="39">
        <f t="shared" si="9"/>
        <v>0</v>
      </c>
      <c r="T136" s="39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119</v>
      </c>
      <c r="C137" s="374" t="s">
        <v>39</v>
      </c>
      <c r="D137" s="374" t="s">
        <v>311</v>
      </c>
      <c r="E137" s="374" t="s">
        <v>121</v>
      </c>
      <c r="F137" s="232" t="s">
        <v>312</v>
      </c>
      <c r="G137" s="23" t="s">
        <v>24</v>
      </c>
      <c r="H137" s="151">
        <v>27</v>
      </c>
      <c r="I137" s="62">
        <v>17</v>
      </c>
      <c r="J137" s="62">
        <v>18</v>
      </c>
      <c r="K137" s="30">
        <v>26219.35</v>
      </c>
      <c r="L137" s="205">
        <v>16</v>
      </c>
      <c r="M137" s="26">
        <f t="shared" si="10"/>
        <v>23772.44</v>
      </c>
      <c r="N137" s="30">
        <v>23772.44</v>
      </c>
      <c r="O137" s="31"/>
      <c r="P137" s="53">
        <v>27</v>
      </c>
      <c r="Q137" s="30">
        <v>47822.16</v>
      </c>
      <c r="R137" s="205">
        <v>27</v>
      </c>
      <c r="S137" s="26">
        <f t="shared" si="9"/>
        <v>47822.16</v>
      </c>
      <c r="T137" s="30">
        <v>47822.16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80"/>
      <c r="C138" s="380"/>
      <c r="D138" s="380"/>
      <c r="E138" s="380"/>
      <c r="G138" s="227" t="s">
        <v>25</v>
      </c>
      <c r="H138" s="260">
        <v>6</v>
      </c>
      <c r="I138" s="208">
        <v>3</v>
      </c>
      <c r="J138" s="208">
        <v>3</v>
      </c>
      <c r="K138" s="209">
        <v>3668.91</v>
      </c>
      <c r="L138" s="290">
        <v>3</v>
      </c>
      <c r="M138" s="209">
        <v>3668.91</v>
      </c>
      <c r="N138" s="209">
        <v>3668.91</v>
      </c>
      <c r="O138" s="263"/>
      <c r="P138" s="262">
        <v>4</v>
      </c>
      <c r="Q138" s="209">
        <v>16712.7</v>
      </c>
      <c r="R138" s="290">
        <v>4</v>
      </c>
      <c r="S138" s="209">
        <v>16712.7</v>
      </c>
      <c r="T138" s="209">
        <v>16712.7</v>
      </c>
      <c r="U138" s="212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464</v>
      </c>
      <c r="C139" s="374" t="s">
        <v>22</v>
      </c>
      <c r="D139" s="374"/>
      <c r="E139" s="374" t="s">
        <v>391</v>
      </c>
      <c r="F139" s="204" t="s">
        <v>465</v>
      </c>
      <c r="G139" s="176" t="s">
        <v>24</v>
      </c>
      <c r="H139" s="61"/>
      <c r="I139" s="62"/>
      <c r="J139" s="62"/>
      <c r="K139" s="30"/>
      <c r="L139" s="27"/>
      <c r="M139" s="26">
        <f t="shared" ref="M139:M154" si="11">N139+O139</f>
        <v>0</v>
      </c>
      <c r="N139" s="26"/>
      <c r="O139" s="28"/>
      <c r="P139" s="214"/>
      <c r="Q139" s="30"/>
      <c r="R139" s="205"/>
      <c r="S139" s="26">
        <f t="shared" ref="S139:S154" si="12">T139+U139</f>
        <v>0</v>
      </c>
      <c r="T139" s="30"/>
      <c r="U139" s="2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6"/>
      <c r="C140" s="375"/>
      <c r="D140" s="386"/>
      <c r="E140" s="386"/>
      <c r="F140" s="152"/>
      <c r="G140" s="229" t="s">
        <v>28</v>
      </c>
      <c r="H140" s="344"/>
      <c r="I140" s="231"/>
      <c r="J140" s="231"/>
      <c r="K140" s="91"/>
      <c r="L140" s="92"/>
      <c r="M140" s="81">
        <f t="shared" si="11"/>
        <v>0</v>
      </c>
      <c r="N140" s="93"/>
      <c r="O140" s="94"/>
      <c r="P140" s="90"/>
      <c r="Q140" s="91"/>
      <c r="R140" s="330"/>
      <c r="S140" s="81">
        <f t="shared" si="12"/>
        <v>0</v>
      </c>
      <c r="T140" s="91"/>
      <c r="U140" s="3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367</v>
      </c>
      <c r="C141" s="374"/>
      <c r="D141" s="374"/>
      <c r="E141" s="374"/>
      <c r="F141" s="204"/>
      <c r="G141" s="213" t="s">
        <v>24</v>
      </c>
      <c r="H141" s="61"/>
      <c r="I141" s="62"/>
      <c r="J141" s="62"/>
      <c r="K141" s="30"/>
      <c r="L141" s="27"/>
      <c r="M141" s="26">
        <f t="shared" si="11"/>
        <v>0</v>
      </c>
      <c r="N141" s="26"/>
      <c r="O141" s="28"/>
      <c r="P141" s="214"/>
      <c r="Q141" s="30"/>
      <c r="R141" s="205"/>
      <c r="S141" s="26">
        <f t="shared" si="12"/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75"/>
      <c r="C142" s="375"/>
      <c r="D142" s="375"/>
      <c r="E142" s="375"/>
      <c r="F142" s="220"/>
      <c r="G142" s="215" t="s">
        <v>28</v>
      </c>
      <c r="H142" s="117">
        <v>6</v>
      </c>
      <c r="I142" s="37"/>
      <c r="J142" s="37"/>
      <c r="K142" s="68"/>
      <c r="L142" s="40"/>
      <c r="M142" s="39">
        <f t="shared" si="11"/>
        <v>0</v>
      </c>
      <c r="N142" s="39"/>
      <c r="O142" s="41"/>
      <c r="P142" s="217"/>
      <c r="Q142" s="68"/>
      <c r="R142" s="285"/>
      <c r="S142" s="39">
        <f t="shared" si="12"/>
        <v>0</v>
      </c>
      <c r="T142" s="68"/>
      <c r="U142" s="23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6"/>
      <c r="B143" s="377" t="s">
        <v>122</v>
      </c>
      <c r="C143" s="377" t="s">
        <v>39</v>
      </c>
      <c r="D143" s="377" t="s">
        <v>123</v>
      </c>
      <c r="E143" s="377" t="s">
        <v>55</v>
      </c>
      <c r="F143" s="232" t="s">
        <v>236</v>
      </c>
      <c r="G143" s="291" t="s">
        <v>24</v>
      </c>
      <c r="H143" s="265">
        <v>23</v>
      </c>
      <c r="I143" s="266">
        <v>20</v>
      </c>
      <c r="J143" s="266">
        <v>29</v>
      </c>
      <c r="K143" s="79">
        <v>61472.14</v>
      </c>
      <c r="L143" s="268">
        <v>27</v>
      </c>
      <c r="M143" s="81">
        <f t="shared" si="11"/>
        <v>52653.62</v>
      </c>
      <c r="N143" s="79">
        <v>52653.62</v>
      </c>
      <c r="O143" s="269"/>
      <c r="P143" s="267">
        <v>19</v>
      </c>
      <c r="Q143" s="79">
        <v>80617.679999999993</v>
      </c>
      <c r="R143" s="268">
        <v>17</v>
      </c>
      <c r="S143" s="81">
        <f t="shared" si="12"/>
        <v>78992.92</v>
      </c>
      <c r="T143" s="79">
        <v>78992.92</v>
      </c>
      <c r="U143" s="269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34"/>
      <c r="G144" s="229" t="s">
        <v>25</v>
      </c>
      <c r="H144" s="116"/>
      <c r="I144" s="38"/>
      <c r="J144" s="38"/>
      <c r="K144" s="39"/>
      <c r="L144" s="40"/>
      <c r="M144" s="39">
        <f t="shared" si="11"/>
        <v>0</v>
      </c>
      <c r="N144" s="39"/>
      <c r="O144" s="41"/>
      <c r="P144" s="59"/>
      <c r="Q144" s="39"/>
      <c r="R144" s="40"/>
      <c r="S144" s="39">
        <f t="shared" si="12"/>
        <v>0</v>
      </c>
      <c r="T144" s="39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124</v>
      </c>
      <c r="C145" s="377" t="s">
        <v>39</v>
      </c>
      <c r="D145" s="377" t="s">
        <v>314</v>
      </c>
      <c r="E145" s="377" t="s">
        <v>27</v>
      </c>
      <c r="F145" s="232" t="s">
        <v>237</v>
      </c>
      <c r="G145" s="23" t="s">
        <v>24</v>
      </c>
      <c r="H145" s="48">
        <v>18</v>
      </c>
      <c r="I145" s="203">
        <v>13</v>
      </c>
      <c r="J145" s="203">
        <v>16</v>
      </c>
      <c r="K145" s="65">
        <v>36210.6</v>
      </c>
      <c r="L145" s="224">
        <v>15</v>
      </c>
      <c r="M145" s="50">
        <f t="shared" si="11"/>
        <v>36210.6</v>
      </c>
      <c r="N145" s="65">
        <v>36210.6</v>
      </c>
      <c r="O145" s="225"/>
      <c r="P145" s="108">
        <v>56</v>
      </c>
      <c r="Q145" s="65">
        <v>335574.55</v>
      </c>
      <c r="R145" s="224">
        <v>56</v>
      </c>
      <c r="S145" s="50">
        <f t="shared" si="12"/>
        <v>335574.55</v>
      </c>
      <c r="T145" s="65">
        <v>335574.55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87"/>
      <c r="B146" s="386"/>
      <c r="C146" s="386"/>
      <c r="D146" s="386"/>
      <c r="E146" s="386"/>
      <c r="F146" s="135"/>
      <c r="G146" s="154" t="s">
        <v>25</v>
      </c>
      <c r="H146" s="98"/>
      <c r="I146" s="155"/>
      <c r="J146" s="155"/>
      <c r="K146" s="239" t="s">
        <v>43</v>
      </c>
      <c r="L146" s="128"/>
      <c r="M146" s="129">
        <f t="shared" si="11"/>
        <v>0</v>
      </c>
      <c r="N146" s="129"/>
      <c r="O146" s="45"/>
      <c r="P146" s="156"/>
      <c r="Q146" s="129"/>
      <c r="R146" s="128"/>
      <c r="S146" s="129">
        <f t="shared" si="12"/>
        <v>0</v>
      </c>
      <c r="T146" s="129"/>
      <c r="U146" s="45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9"/>
      <c r="B147" s="380"/>
      <c r="C147" s="380"/>
      <c r="D147" s="380"/>
      <c r="E147" s="380"/>
      <c r="F147" s="34"/>
      <c r="G147" s="55" t="s">
        <v>28</v>
      </c>
      <c r="H147" s="111"/>
      <c r="I147" s="57"/>
      <c r="J147" s="57"/>
      <c r="K147" s="43"/>
      <c r="L147" s="44"/>
      <c r="M147" s="43">
        <f t="shared" si="11"/>
        <v>0</v>
      </c>
      <c r="N147" s="43"/>
      <c r="O147" s="41"/>
      <c r="P147" s="113">
        <v>3</v>
      </c>
      <c r="Q147" s="114">
        <v>8317.5</v>
      </c>
      <c r="R147" s="270">
        <v>4</v>
      </c>
      <c r="S147" s="43">
        <f t="shared" si="12"/>
        <v>10625.699999999999</v>
      </c>
      <c r="T147" s="114">
        <f>2305.2+4226.2+2689.4+1404.9</f>
        <v>10625.699999999999</v>
      </c>
      <c r="U147" s="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2"/>
      <c r="B148" s="374" t="s">
        <v>126</v>
      </c>
      <c r="C148" s="374" t="s">
        <v>22</v>
      </c>
      <c r="D148" s="378"/>
      <c r="E148" s="374" t="s">
        <v>65</v>
      </c>
      <c r="F148" s="232" t="s">
        <v>443</v>
      </c>
      <c r="G148" s="23" t="s">
        <v>24</v>
      </c>
      <c r="H148" s="151">
        <v>5</v>
      </c>
      <c r="I148" s="62">
        <v>1</v>
      </c>
      <c r="J148" s="62">
        <v>1</v>
      </c>
      <c r="K148" s="30">
        <v>384.2</v>
      </c>
      <c r="L148" s="205">
        <v>1</v>
      </c>
      <c r="M148" s="26">
        <f t="shared" si="11"/>
        <v>384.2</v>
      </c>
      <c r="N148" s="30">
        <v>384.2</v>
      </c>
      <c r="O148" s="225"/>
      <c r="P148" s="53">
        <v>15</v>
      </c>
      <c r="Q148" s="30">
        <v>10414.84</v>
      </c>
      <c r="R148" s="205">
        <v>4</v>
      </c>
      <c r="S148" s="26">
        <f t="shared" si="12"/>
        <v>10414.84</v>
      </c>
      <c r="T148" s="30">
        <v>10414.84</v>
      </c>
      <c r="U148" s="22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3"/>
      <c r="B149" s="375"/>
      <c r="C149" s="375"/>
      <c r="D149" s="375"/>
      <c r="E149" s="375"/>
      <c r="F149" s="254" t="s">
        <v>316</v>
      </c>
      <c r="G149" s="35" t="s">
        <v>28</v>
      </c>
      <c r="H149" s="153">
        <v>6</v>
      </c>
      <c r="I149" s="37">
        <v>3</v>
      </c>
      <c r="J149" s="37">
        <v>3</v>
      </c>
      <c r="K149" s="68">
        <v>3710.1</v>
      </c>
      <c r="L149" s="285">
        <v>3</v>
      </c>
      <c r="M149" s="39">
        <f t="shared" si="11"/>
        <v>3710.1</v>
      </c>
      <c r="N149" s="39">
        <f>2305.2+1404.9</f>
        <v>3710.1</v>
      </c>
      <c r="O149" s="41"/>
      <c r="P149" s="115">
        <v>3</v>
      </c>
      <c r="Q149" s="68">
        <v>7062.2</v>
      </c>
      <c r="R149" s="285">
        <v>3</v>
      </c>
      <c r="S149" s="39">
        <f t="shared" si="12"/>
        <v>7418.45</v>
      </c>
      <c r="T149" s="39">
        <f>1056.55+1344.4+5017.5</f>
        <v>7418.45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82"/>
      <c r="B150" s="381" t="s">
        <v>127</v>
      </c>
      <c r="C150" s="381" t="s">
        <v>22</v>
      </c>
      <c r="D150" s="381"/>
      <c r="E150" s="381" t="s">
        <v>67</v>
      </c>
      <c r="F150" s="223" t="s">
        <v>368</v>
      </c>
      <c r="G150" s="47" t="s">
        <v>24</v>
      </c>
      <c r="H150" s="48">
        <v>11</v>
      </c>
      <c r="I150" s="203">
        <v>10</v>
      </c>
      <c r="J150" s="203">
        <v>14</v>
      </c>
      <c r="K150" s="65">
        <v>28292.01</v>
      </c>
      <c r="L150" s="224">
        <v>10</v>
      </c>
      <c r="M150" s="50">
        <f t="shared" si="11"/>
        <v>19226.240000000002</v>
      </c>
      <c r="N150" s="65">
        <v>19226.240000000002</v>
      </c>
      <c r="O150" s="225"/>
      <c r="P150" s="108">
        <v>8</v>
      </c>
      <c r="Q150" s="65">
        <v>29582.03</v>
      </c>
      <c r="R150" s="224">
        <v>8</v>
      </c>
      <c r="S150" s="50">
        <f t="shared" si="12"/>
        <v>29582.03</v>
      </c>
      <c r="T150" s="65">
        <v>29582.03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33" t="s">
        <v>317</v>
      </c>
      <c r="G151" s="227" t="s">
        <v>28</v>
      </c>
      <c r="H151" s="153">
        <v>8</v>
      </c>
      <c r="I151" s="37">
        <v>4</v>
      </c>
      <c r="J151" s="37">
        <v>4</v>
      </c>
      <c r="K151" s="68">
        <v>5174.6000000000004</v>
      </c>
      <c r="L151" s="285">
        <v>4</v>
      </c>
      <c r="M151" s="39">
        <f t="shared" si="11"/>
        <v>5220.5999999999995</v>
      </c>
      <c r="N151" s="39">
        <f>1578.8+1152.6+1152.6+1336.6</f>
        <v>5220.5999999999995</v>
      </c>
      <c r="O151" s="41"/>
      <c r="P151" s="115">
        <v>3</v>
      </c>
      <c r="Q151" s="68">
        <v>17095</v>
      </c>
      <c r="R151" s="285">
        <v>3</v>
      </c>
      <c r="S151" s="39">
        <f t="shared" si="12"/>
        <v>17095</v>
      </c>
      <c r="T151" s="39">
        <f>4034.1+11053.9+2007</f>
        <v>17095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2"/>
      <c r="B152" s="374" t="s">
        <v>128</v>
      </c>
      <c r="C152" s="374" t="s">
        <v>39</v>
      </c>
      <c r="D152" s="374" t="s">
        <v>129</v>
      </c>
      <c r="E152" s="374" t="s">
        <v>121</v>
      </c>
      <c r="F152" s="60"/>
      <c r="G152" s="176" t="s">
        <v>24</v>
      </c>
      <c r="H152" s="107"/>
      <c r="I152" s="49"/>
      <c r="J152" s="127"/>
      <c r="K152" s="50"/>
      <c r="L152" s="51"/>
      <c r="M152" s="50">
        <f t="shared" si="11"/>
        <v>0</v>
      </c>
      <c r="N152" s="50"/>
      <c r="O152" s="31"/>
      <c r="P152" s="108"/>
      <c r="Q152" s="65"/>
      <c r="R152" s="51"/>
      <c r="S152" s="50">
        <f t="shared" si="12"/>
        <v>0</v>
      </c>
      <c r="T152" s="50"/>
      <c r="U152" s="3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34"/>
      <c r="G153" s="229" t="s">
        <v>25</v>
      </c>
      <c r="H153" s="153">
        <v>1</v>
      </c>
      <c r="I153" s="57"/>
      <c r="J153" s="57"/>
      <c r="K153" s="43"/>
      <c r="L153" s="44"/>
      <c r="M153" s="43">
        <f t="shared" si="11"/>
        <v>0</v>
      </c>
      <c r="N153" s="43"/>
      <c r="O153" s="41"/>
      <c r="P153" s="103"/>
      <c r="Q153" s="43"/>
      <c r="R153" s="44"/>
      <c r="S153" s="43">
        <f t="shared" si="12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130</v>
      </c>
      <c r="C154" s="374" t="s">
        <v>22</v>
      </c>
      <c r="D154" s="374"/>
      <c r="E154" s="374" t="s">
        <v>131</v>
      </c>
      <c r="F154" s="232" t="s">
        <v>411</v>
      </c>
      <c r="G154" s="176" t="s">
        <v>24</v>
      </c>
      <c r="H154" s="48">
        <v>10</v>
      </c>
      <c r="I154" s="62">
        <v>6</v>
      </c>
      <c r="J154" s="62">
        <v>6</v>
      </c>
      <c r="K154" s="30">
        <v>9104.94</v>
      </c>
      <c r="L154" s="205">
        <v>6</v>
      </c>
      <c r="M154" s="26">
        <f t="shared" si="11"/>
        <v>9104.94</v>
      </c>
      <c r="N154" s="30">
        <v>9104.94</v>
      </c>
      <c r="O154" s="31"/>
      <c r="P154" s="53">
        <v>4</v>
      </c>
      <c r="Q154" s="30">
        <v>22885.21</v>
      </c>
      <c r="R154" s="205">
        <v>4</v>
      </c>
      <c r="S154" s="26">
        <f t="shared" si="12"/>
        <v>22885.21</v>
      </c>
      <c r="T154" s="30">
        <v>22885.21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229" t="s">
        <v>25</v>
      </c>
      <c r="H155" s="112">
        <v>7</v>
      </c>
      <c r="I155" s="130">
        <v>5</v>
      </c>
      <c r="J155" s="130">
        <v>5</v>
      </c>
      <c r="K155" s="114">
        <v>7800.08</v>
      </c>
      <c r="L155" s="270">
        <v>5</v>
      </c>
      <c r="M155" s="114">
        <v>7800.08</v>
      </c>
      <c r="N155" s="114">
        <v>7800.08</v>
      </c>
      <c r="O155" s="234"/>
      <c r="P155" s="113">
        <v>3</v>
      </c>
      <c r="Q155" s="114">
        <v>7539.8</v>
      </c>
      <c r="R155" s="270">
        <v>3</v>
      </c>
      <c r="S155" s="114">
        <v>7539.8</v>
      </c>
      <c r="T155" s="114">
        <v>7539.8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132</v>
      </c>
      <c r="C156" s="374" t="s">
        <v>39</v>
      </c>
      <c r="D156" s="374" t="s">
        <v>238</v>
      </c>
      <c r="E156" s="377" t="s">
        <v>136</v>
      </c>
      <c r="F156" s="232" t="s">
        <v>239</v>
      </c>
      <c r="G156" s="23" t="s">
        <v>24</v>
      </c>
      <c r="H156" s="61">
        <v>12</v>
      </c>
      <c r="I156" s="62">
        <v>8</v>
      </c>
      <c r="J156" s="62">
        <v>11</v>
      </c>
      <c r="K156" s="30">
        <v>15812.22</v>
      </c>
      <c r="L156" s="205">
        <v>11</v>
      </c>
      <c r="M156" s="26">
        <f t="shared" ref="M156:M227" si="13">N156+O156</f>
        <v>15812.22</v>
      </c>
      <c r="N156" s="30">
        <v>15812.22</v>
      </c>
      <c r="O156" s="225"/>
      <c r="P156" s="53">
        <v>12</v>
      </c>
      <c r="Q156" s="30">
        <v>49378.37</v>
      </c>
      <c r="R156" s="205">
        <v>12</v>
      </c>
      <c r="S156" s="26">
        <f t="shared" ref="S156:S188" si="14">T156+U156</f>
        <v>49378.37</v>
      </c>
      <c r="T156" s="30">
        <v>49378.37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7" t="s">
        <v>240</v>
      </c>
      <c r="G157" s="154" t="s">
        <v>28</v>
      </c>
      <c r="H157" s="112">
        <v>14</v>
      </c>
      <c r="I157" s="271">
        <v>7</v>
      </c>
      <c r="J157" s="271">
        <v>7</v>
      </c>
      <c r="K157" s="239">
        <v>13627.6</v>
      </c>
      <c r="L157" s="316">
        <v>7</v>
      </c>
      <c r="M157" s="129">
        <f t="shared" si="13"/>
        <v>13627.599999999999</v>
      </c>
      <c r="N157" s="129">
        <f>1728.9+2305.2+576.3+4802.5+1404.9+1404.9+1404.9</f>
        <v>13627.599999999999</v>
      </c>
      <c r="O157" s="45"/>
      <c r="P157" s="238">
        <v>7</v>
      </c>
      <c r="Q157" s="239">
        <v>11775.73</v>
      </c>
      <c r="R157" s="316">
        <v>8</v>
      </c>
      <c r="S157" s="129">
        <f t="shared" si="14"/>
        <v>12985.960000000001</v>
      </c>
      <c r="T157" s="239">
        <f>288.15+6934.81+3073.6+1344.7+1344.7</f>
        <v>12985.960000000001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105"/>
      <c r="G158" s="55" t="s">
        <v>25</v>
      </c>
      <c r="H158" s="131"/>
      <c r="I158" s="57"/>
      <c r="J158" s="57"/>
      <c r="K158" s="43"/>
      <c r="L158" s="44"/>
      <c r="M158" s="43">
        <f t="shared" si="13"/>
        <v>0</v>
      </c>
      <c r="N158" s="43"/>
      <c r="O158" s="41"/>
      <c r="P158" s="103"/>
      <c r="Q158" s="43"/>
      <c r="R158" s="44"/>
      <c r="S158" s="43">
        <f t="shared" si="14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133</v>
      </c>
      <c r="C159" s="374" t="s">
        <v>39</v>
      </c>
      <c r="D159" s="374" t="s">
        <v>448</v>
      </c>
      <c r="E159" s="381" t="s">
        <v>23</v>
      </c>
      <c r="F159" s="232" t="s">
        <v>449</v>
      </c>
      <c r="G159" s="23" t="s">
        <v>24</v>
      </c>
      <c r="H159" s="61">
        <v>10</v>
      </c>
      <c r="I159" s="62">
        <v>7</v>
      </c>
      <c r="J159" s="62">
        <v>7</v>
      </c>
      <c r="K159" s="30">
        <v>17034.34</v>
      </c>
      <c r="L159" s="205">
        <v>6</v>
      </c>
      <c r="M159" s="26">
        <f t="shared" si="13"/>
        <v>16306.8</v>
      </c>
      <c r="N159" s="30">
        <v>16306.8</v>
      </c>
      <c r="O159" s="31"/>
      <c r="P159" s="53">
        <v>12</v>
      </c>
      <c r="Q159" s="30">
        <v>1415.78</v>
      </c>
      <c r="R159" s="205">
        <v>1</v>
      </c>
      <c r="S159" s="26">
        <f t="shared" si="14"/>
        <v>1415.78</v>
      </c>
      <c r="T159" s="30">
        <v>1415.78</v>
      </c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34"/>
      <c r="G160" s="35" t="s">
        <v>25</v>
      </c>
      <c r="H160" s="106"/>
      <c r="I160" s="38"/>
      <c r="J160" s="38"/>
      <c r="K160" s="39"/>
      <c r="L160" s="40"/>
      <c r="M160" s="39">
        <f t="shared" si="13"/>
        <v>0</v>
      </c>
      <c r="N160" s="39"/>
      <c r="O160" s="41"/>
      <c r="P160" s="59"/>
      <c r="Q160" s="39"/>
      <c r="R160" s="40"/>
      <c r="S160" s="39">
        <f t="shared" si="14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134</v>
      </c>
      <c r="C161" s="374" t="s">
        <v>39</v>
      </c>
      <c r="D161" s="374" t="s">
        <v>280</v>
      </c>
      <c r="E161" s="374" t="s">
        <v>136</v>
      </c>
      <c r="F161" s="204" t="s">
        <v>282</v>
      </c>
      <c r="G161" s="176" t="s">
        <v>24</v>
      </c>
      <c r="H161" s="48">
        <v>12</v>
      </c>
      <c r="I161" s="203">
        <v>9</v>
      </c>
      <c r="J161" s="203">
        <v>9</v>
      </c>
      <c r="K161" s="65">
        <v>11430.48</v>
      </c>
      <c r="L161" s="224">
        <v>9</v>
      </c>
      <c r="M161" s="50">
        <f t="shared" si="13"/>
        <v>11430.48</v>
      </c>
      <c r="N161" s="65">
        <v>11430.48</v>
      </c>
      <c r="O161" s="225"/>
      <c r="P161" s="108">
        <v>6</v>
      </c>
      <c r="Q161" s="65">
        <v>33605.230000000003</v>
      </c>
      <c r="R161" s="224">
        <v>6</v>
      </c>
      <c r="S161" s="50">
        <f t="shared" si="14"/>
        <v>33605.230000000003</v>
      </c>
      <c r="T161" s="65">
        <v>33605.230000000003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87"/>
      <c r="B162" s="386"/>
      <c r="C162" s="386"/>
      <c r="D162" s="386"/>
      <c r="E162" s="386"/>
      <c r="F162" s="235" t="s">
        <v>321</v>
      </c>
      <c r="G162" s="252" t="s">
        <v>28</v>
      </c>
      <c r="H162" s="151">
        <v>10</v>
      </c>
      <c r="I162" s="246">
        <v>4</v>
      </c>
      <c r="J162" s="246">
        <v>4</v>
      </c>
      <c r="K162" s="158">
        <v>8842.2999999999993</v>
      </c>
      <c r="L162" s="317">
        <v>4</v>
      </c>
      <c r="M162" s="142">
        <f t="shared" si="13"/>
        <v>8842.2999999999993</v>
      </c>
      <c r="N162" s="142">
        <f>1921+2305.2+1404.9+3211.2</f>
        <v>8842.2999999999993</v>
      </c>
      <c r="O162" s="45"/>
      <c r="P162" s="157">
        <v>4</v>
      </c>
      <c r="Q162" s="158">
        <v>8625.2900000000009</v>
      </c>
      <c r="R162" s="224">
        <v>5</v>
      </c>
      <c r="S162" s="50">
        <f t="shared" si="14"/>
        <v>9681.84</v>
      </c>
      <c r="T162" s="158">
        <f>6224.04+3457.8</f>
        <v>9681.84</v>
      </c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3"/>
      <c r="B163" s="375"/>
      <c r="C163" s="375"/>
      <c r="D163" s="375"/>
      <c r="E163" s="375"/>
      <c r="F163" s="34"/>
      <c r="G163" s="229" t="s">
        <v>25</v>
      </c>
      <c r="H163" s="118"/>
      <c r="I163" s="57"/>
      <c r="J163" s="57"/>
      <c r="K163" s="43"/>
      <c r="L163" s="44"/>
      <c r="M163" s="43">
        <f t="shared" si="13"/>
        <v>0</v>
      </c>
      <c r="N163" s="43"/>
      <c r="O163" s="41"/>
      <c r="P163" s="103"/>
      <c r="Q163" s="43"/>
      <c r="R163" s="44"/>
      <c r="S163" s="43">
        <f t="shared" si="14"/>
        <v>0</v>
      </c>
      <c r="T163" s="43"/>
      <c r="U163" s="41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2"/>
      <c r="B164" s="374" t="s">
        <v>137</v>
      </c>
      <c r="C164" s="377" t="s">
        <v>39</v>
      </c>
      <c r="D164" s="374" t="s">
        <v>322</v>
      </c>
      <c r="E164" s="377" t="s">
        <v>27</v>
      </c>
      <c r="F164" s="232" t="s">
        <v>323</v>
      </c>
      <c r="G164" s="23" t="s">
        <v>24</v>
      </c>
      <c r="H164" s="24">
        <v>15</v>
      </c>
      <c r="I164" s="62">
        <v>8</v>
      </c>
      <c r="J164" s="62">
        <v>10</v>
      </c>
      <c r="K164" s="30">
        <v>20197.64</v>
      </c>
      <c r="L164" s="205">
        <v>8</v>
      </c>
      <c r="M164" s="26">
        <f t="shared" si="13"/>
        <v>15213.58</v>
      </c>
      <c r="N164" s="30">
        <v>15213.58</v>
      </c>
      <c r="O164" s="31"/>
      <c r="P164" s="53">
        <v>2</v>
      </c>
      <c r="Q164" s="30">
        <v>3779.47</v>
      </c>
      <c r="R164" s="205">
        <v>2</v>
      </c>
      <c r="S164" s="26">
        <f t="shared" si="14"/>
        <v>3779.47</v>
      </c>
      <c r="T164" s="30">
        <v>3779.47</v>
      </c>
      <c r="U164" s="22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80"/>
      <c r="F165" s="220" t="s">
        <v>241</v>
      </c>
      <c r="G165" s="35" t="s">
        <v>28</v>
      </c>
      <c r="H165" s="66">
        <v>8</v>
      </c>
      <c r="I165" s="37">
        <v>4</v>
      </c>
      <c r="J165" s="37">
        <v>4</v>
      </c>
      <c r="K165" s="68">
        <v>5042.7</v>
      </c>
      <c r="L165" s="285">
        <v>5</v>
      </c>
      <c r="M165" s="39">
        <f t="shared" si="13"/>
        <v>5042.7000000000007</v>
      </c>
      <c r="N165" s="39">
        <f>576.3+1716.8+1344.7+1404.9</f>
        <v>5042.7000000000007</v>
      </c>
      <c r="O165" s="41"/>
      <c r="P165" s="115">
        <v>2</v>
      </c>
      <c r="Q165" s="68">
        <v>3265.7</v>
      </c>
      <c r="R165" s="285">
        <v>2</v>
      </c>
      <c r="S165" s="39">
        <f t="shared" si="14"/>
        <v>6957.96</v>
      </c>
      <c r="T165" s="39">
        <f>1921+1344.7+3692.26</f>
        <v>6957.96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138</v>
      </c>
      <c r="C166" s="374" t="s">
        <v>22</v>
      </c>
      <c r="D166" s="374"/>
      <c r="E166" s="374" t="s">
        <v>27</v>
      </c>
      <c r="F166" s="204" t="s">
        <v>324</v>
      </c>
      <c r="G166" s="176" t="s">
        <v>24</v>
      </c>
      <c r="H166" s="151">
        <v>9</v>
      </c>
      <c r="I166" s="203">
        <v>7</v>
      </c>
      <c r="J166" s="203">
        <v>8</v>
      </c>
      <c r="K166" s="65">
        <v>14390.37</v>
      </c>
      <c r="L166" s="224">
        <v>6</v>
      </c>
      <c r="M166" s="50">
        <f t="shared" si="13"/>
        <v>13186.17</v>
      </c>
      <c r="N166" s="65">
        <v>13186.17</v>
      </c>
      <c r="O166" s="31"/>
      <c r="P166" s="108">
        <v>9</v>
      </c>
      <c r="Q166" s="65">
        <v>21231.99</v>
      </c>
      <c r="R166" s="224">
        <v>8</v>
      </c>
      <c r="S166" s="50">
        <f t="shared" si="14"/>
        <v>16335.71</v>
      </c>
      <c r="T166" s="65">
        <v>16335.71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75"/>
      <c r="F167" s="220" t="s">
        <v>242</v>
      </c>
      <c r="G167" s="229" t="s">
        <v>28</v>
      </c>
      <c r="H167" s="133">
        <v>6</v>
      </c>
      <c r="I167" s="130">
        <v>5</v>
      </c>
      <c r="J167" s="130">
        <v>5</v>
      </c>
      <c r="K167" s="114">
        <v>18356.64</v>
      </c>
      <c r="L167" s="270">
        <v>5</v>
      </c>
      <c r="M167" s="43">
        <f t="shared" si="13"/>
        <v>8836.6</v>
      </c>
      <c r="N167" s="43">
        <f>3880.42+1344.7+1921+1690.48</f>
        <v>8836.6</v>
      </c>
      <c r="O167" s="41"/>
      <c r="P167" s="113">
        <v>5</v>
      </c>
      <c r="Q167" s="114">
        <v>11814.15</v>
      </c>
      <c r="R167" s="270">
        <v>4</v>
      </c>
      <c r="S167" s="43">
        <f t="shared" si="14"/>
        <v>9893.15</v>
      </c>
      <c r="T167" s="114">
        <f>4802.5+2401.25+2689.4</f>
        <v>9893.15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139</v>
      </c>
      <c r="C168" s="374" t="s">
        <v>22</v>
      </c>
      <c r="D168" s="374"/>
      <c r="E168" s="374" t="s">
        <v>67</v>
      </c>
      <c r="F168" s="232" t="s">
        <v>325</v>
      </c>
      <c r="G168" s="23" t="s">
        <v>24</v>
      </c>
      <c r="H168" s="151">
        <v>6</v>
      </c>
      <c r="I168" s="62">
        <v>6</v>
      </c>
      <c r="J168" s="62">
        <v>7</v>
      </c>
      <c r="K168" s="30">
        <v>14388.8</v>
      </c>
      <c r="L168" s="205">
        <v>6</v>
      </c>
      <c r="M168" s="26">
        <f t="shared" si="13"/>
        <v>13798.74</v>
      </c>
      <c r="N168" s="30">
        <v>13798.74</v>
      </c>
      <c r="O168" s="225"/>
      <c r="P168" s="53">
        <v>15</v>
      </c>
      <c r="Q168" s="30">
        <v>52937.79</v>
      </c>
      <c r="R168" s="205">
        <v>15</v>
      </c>
      <c r="S168" s="26">
        <f t="shared" si="14"/>
        <v>52937.79</v>
      </c>
      <c r="T168" s="30">
        <v>52937.79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33" t="s">
        <v>326</v>
      </c>
      <c r="G169" s="227" t="s">
        <v>28</v>
      </c>
      <c r="H169" s="112">
        <v>7</v>
      </c>
      <c r="I169" s="130">
        <v>3</v>
      </c>
      <c r="J169" s="130">
        <v>3</v>
      </c>
      <c r="K169" s="114">
        <v>4835.3999999999996</v>
      </c>
      <c r="L169" s="270">
        <v>4</v>
      </c>
      <c r="M169" s="43">
        <f t="shared" si="13"/>
        <v>8335.2999999999993</v>
      </c>
      <c r="N169" s="43">
        <f>1728.9+602.1+2504.4+3499.9</f>
        <v>8335.2999999999993</v>
      </c>
      <c r="O169" s="45"/>
      <c r="P169" s="113">
        <v>6</v>
      </c>
      <c r="Q169" s="114">
        <v>15990.2</v>
      </c>
      <c r="R169" s="270">
        <v>6</v>
      </c>
      <c r="S169" s="43">
        <f t="shared" si="14"/>
        <v>16062.800000000001</v>
      </c>
      <c r="T169" s="114">
        <f>6269.7+3984+2305.2+3503.9</f>
        <v>16062.800000000001</v>
      </c>
      <c r="U169" s="45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140</v>
      </c>
      <c r="C170" s="374" t="s">
        <v>39</v>
      </c>
      <c r="D170" s="374" t="s">
        <v>369</v>
      </c>
      <c r="E170" s="374" t="s">
        <v>27</v>
      </c>
      <c r="F170" s="204" t="s">
        <v>370</v>
      </c>
      <c r="G170" s="176" t="s">
        <v>24</v>
      </c>
      <c r="H170" s="24">
        <v>14</v>
      </c>
      <c r="I170" s="62">
        <v>10</v>
      </c>
      <c r="J170" s="62">
        <v>11</v>
      </c>
      <c r="K170" s="30">
        <v>24333.17</v>
      </c>
      <c r="L170" s="205">
        <v>10</v>
      </c>
      <c r="M170" s="26">
        <f t="shared" si="13"/>
        <v>23339.7</v>
      </c>
      <c r="N170" s="30">
        <v>23339.7</v>
      </c>
      <c r="O170" s="159"/>
      <c r="P170" s="53">
        <v>4</v>
      </c>
      <c r="Q170" s="30">
        <v>31835.37</v>
      </c>
      <c r="R170" s="205">
        <v>4</v>
      </c>
      <c r="S170" s="26">
        <f t="shared" si="14"/>
        <v>31835.37</v>
      </c>
      <c r="T170" s="30">
        <v>31835.37</v>
      </c>
      <c r="U170" s="2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243</v>
      </c>
      <c r="G171" s="282" t="s">
        <v>28</v>
      </c>
      <c r="H171" s="207">
        <v>6</v>
      </c>
      <c r="I171" s="208">
        <v>1</v>
      </c>
      <c r="J171" s="208">
        <v>1</v>
      </c>
      <c r="K171" s="209">
        <v>1728</v>
      </c>
      <c r="L171" s="210"/>
      <c r="M171" s="211">
        <f t="shared" si="13"/>
        <v>1728.9</v>
      </c>
      <c r="N171" s="211">
        <f>1728.9</f>
        <v>1728.9</v>
      </c>
      <c r="O171" s="274"/>
      <c r="P171" s="262">
        <v>3</v>
      </c>
      <c r="Q171" s="209">
        <v>5494.06</v>
      </c>
      <c r="R171" s="290">
        <v>6</v>
      </c>
      <c r="S171" s="211">
        <f t="shared" si="14"/>
        <v>14023.3</v>
      </c>
      <c r="T171" s="211">
        <f>4034.1+3073.6+5071.44+1267.86+576.3</f>
        <v>14023.3</v>
      </c>
      <c r="U171" s="212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413</v>
      </c>
      <c r="C172" s="374" t="s">
        <v>22</v>
      </c>
      <c r="D172" s="374"/>
      <c r="E172" s="374" t="s">
        <v>391</v>
      </c>
      <c r="F172" s="204" t="s">
        <v>414</v>
      </c>
      <c r="G172" s="176" t="s">
        <v>24</v>
      </c>
      <c r="H172" s="24">
        <v>4</v>
      </c>
      <c r="I172" s="62">
        <v>4</v>
      </c>
      <c r="J172" s="62">
        <v>7</v>
      </c>
      <c r="K172" s="30">
        <v>18567.810000000001</v>
      </c>
      <c r="L172" s="205">
        <v>6</v>
      </c>
      <c r="M172" s="26">
        <f t="shared" si="13"/>
        <v>18005.849999999999</v>
      </c>
      <c r="N172" s="30">
        <v>18005.849999999999</v>
      </c>
      <c r="O172" s="28"/>
      <c r="P172" s="214"/>
      <c r="Q172" s="30"/>
      <c r="R172" s="205"/>
      <c r="S172" s="26">
        <f t="shared" si="14"/>
        <v>0</v>
      </c>
      <c r="T172" s="30"/>
      <c r="U172" s="2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20"/>
      <c r="G173" s="229" t="s">
        <v>28</v>
      </c>
      <c r="H173" s="66"/>
      <c r="I173" s="38"/>
      <c r="J173" s="38"/>
      <c r="K173" s="39"/>
      <c r="L173" s="40"/>
      <c r="M173" s="39">
        <f t="shared" si="13"/>
        <v>0</v>
      </c>
      <c r="N173" s="39"/>
      <c r="O173" s="41"/>
      <c r="P173" s="217"/>
      <c r="Q173" s="68"/>
      <c r="R173" s="285"/>
      <c r="S173" s="39">
        <f t="shared" si="14"/>
        <v>0</v>
      </c>
      <c r="T173" s="68"/>
      <c r="U173" s="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141</v>
      </c>
      <c r="C174" s="374" t="s">
        <v>39</v>
      </c>
      <c r="D174" s="374" t="s">
        <v>371</v>
      </c>
      <c r="E174" s="374" t="s">
        <v>27</v>
      </c>
      <c r="F174" s="204" t="s">
        <v>372</v>
      </c>
      <c r="G174" s="176" t="s">
        <v>24</v>
      </c>
      <c r="H174" s="281">
        <v>8</v>
      </c>
      <c r="I174" s="266">
        <v>5</v>
      </c>
      <c r="J174" s="266">
        <v>5</v>
      </c>
      <c r="K174" s="79">
        <v>11395.47</v>
      </c>
      <c r="L174" s="268">
        <v>5</v>
      </c>
      <c r="M174" s="81">
        <f t="shared" si="13"/>
        <v>11395.47</v>
      </c>
      <c r="N174" s="79">
        <v>11395.47</v>
      </c>
      <c r="O174" s="219"/>
      <c r="P174" s="267">
        <v>3</v>
      </c>
      <c r="Q174" s="79">
        <v>16223.5</v>
      </c>
      <c r="R174" s="268">
        <v>3</v>
      </c>
      <c r="S174" s="81">
        <f t="shared" si="14"/>
        <v>16223.5</v>
      </c>
      <c r="T174" s="79">
        <v>16223.5</v>
      </c>
      <c r="U174" s="219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34"/>
      <c r="G175" s="229" t="s">
        <v>28</v>
      </c>
      <c r="H175" s="118"/>
      <c r="I175" s="57"/>
      <c r="J175" s="57"/>
      <c r="K175" s="43"/>
      <c r="L175" s="44"/>
      <c r="M175" s="43">
        <f t="shared" si="13"/>
        <v>0</v>
      </c>
      <c r="N175" s="43"/>
      <c r="O175" s="45"/>
      <c r="P175" s="103"/>
      <c r="Q175" s="43"/>
      <c r="R175" s="44"/>
      <c r="S175" s="43">
        <f t="shared" si="14"/>
        <v>0</v>
      </c>
      <c r="T175" s="43"/>
      <c r="U175" s="4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142</v>
      </c>
      <c r="C176" s="374" t="s">
        <v>39</v>
      </c>
      <c r="D176" s="374" t="s">
        <v>415</v>
      </c>
      <c r="E176" s="374" t="s">
        <v>27</v>
      </c>
      <c r="F176" s="232" t="s">
        <v>416</v>
      </c>
      <c r="G176" s="23" t="s">
        <v>24</v>
      </c>
      <c r="H176" s="24">
        <v>4</v>
      </c>
      <c r="I176" s="62">
        <v>2</v>
      </c>
      <c r="J176" s="62">
        <v>2</v>
      </c>
      <c r="K176" s="30">
        <v>524.91</v>
      </c>
      <c r="L176" s="205">
        <v>2</v>
      </c>
      <c r="M176" s="26">
        <f t="shared" si="13"/>
        <v>524.91</v>
      </c>
      <c r="N176" s="30">
        <v>524.91</v>
      </c>
      <c r="O176" s="241"/>
      <c r="P176" s="53">
        <v>1</v>
      </c>
      <c r="Q176" s="30">
        <v>412.05</v>
      </c>
      <c r="R176" s="205">
        <v>1</v>
      </c>
      <c r="S176" s="26">
        <f t="shared" si="14"/>
        <v>412.05</v>
      </c>
      <c r="T176" s="30">
        <v>412.05</v>
      </c>
      <c r="U176" s="2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105"/>
      <c r="G177" s="227" t="s">
        <v>28</v>
      </c>
      <c r="H177" s="311"/>
      <c r="I177" s="261"/>
      <c r="J177" s="261"/>
      <c r="K177" s="211"/>
      <c r="L177" s="210"/>
      <c r="M177" s="211">
        <f t="shared" si="13"/>
        <v>0</v>
      </c>
      <c r="N177" s="211"/>
      <c r="O177" s="212"/>
      <c r="P177" s="273"/>
      <c r="Q177" s="211"/>
      <c r="R177" s="210"/>
      <c r="S177" s="211">
        <f t="shared" si="14"/>
        <v>0</v>
      </c>
      <c r="T177" s="211"/>
      <c r="U177" s="212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424</v>
      </c>
      <c r="C178" s="374" t="s">
        <v>22</v>
      </c>
      <c r="D178" s="374"/>
      <c r="E178" s="374" t="s">
        <v>65</v>
      </c>
      <c r="F178" s="232" t="s">
        <v>437</v>
      </c>
      <c r="G178" s="213" t="s">
        <v>24</v>
      </c>
      <c r="H178" s="24">
        <v>4</v>
      </c>
      <c r="I178" s="62">
        <v>4</v>
      </c>
      <c r="J178" s="62">
        <v>6</v>
      </c>
      <c r="K178" s="30">
        <v>9442.35</v>
      </c>
      <c r="L178" s="205">
        <v>1</v>
      </c>
      <c r="M178" s="26">
        <f t="shared" si="13"/>
        <v>1285.1500000000001</v>
      </c>
      <c r="N178" s="30">
        <v>1285.1500000000001</v>
      </c>
      <c r="O178" s="28"/>
      <c r="P178" s="214"/>
      <c r="Q178" s="30"/>
      <c r="R178" s="205"/>
      <c r="S178" s="26">
        <f t="shared" si="14"/>
        <v>0</v>
      </c>
      <c r="T178" s="30"/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220"/>
      <c r="G179" s="215" t="s">
        <v>28</v>
      </c>
      <c r="H179" s="66"/>
      <c r="I179" s="38"/>
      <c r="J179" s="38"/>
      <c r="K179" s="39"/>
      <c r="L179" s="40"/>
      <c r="M179" s="39">
        <f t="shared" si="13"/>
        <v>0</v>
      </c>
      <c r="N179" s="39"/>
      <c r="O179" s="41"/>
      <c r="P179" s="217"/>
      <c r="Q179" s="68"/>
      <c r="R179" s="285"/>
      <c r="S179" s="39">
        <f t="shared" si="14"/>
        <v>0</v>
      </c>
      <c r="T179" s="68"/>
      <c r="U179" s="23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6"/>
      <c r="B180" s="377" t="s">
        <v>143</v>
      </c>
      <c r="C180" s="377" t="s">
        <v>39</v>
      </c>
      <c r="D180" s="377" t="s">
        <v>327</v>
      </c>
      <c r="E180" s="377" t="s">
        <v>145</v>
      </c>
      <c r="F180" s="232" t="s">
        <v>215</v>
      </c>
      <c r="G180" s="95" t="s">
        <v>24</v>
      </c>
      <c r="H180" s="281">
        <v>4</v>
      </c>
      <c r="I180" s="266">
        <v>4</v>
      </c>
      <c r="J180" s="266">
        <v>5</v>
      </c>
      <c r="K180" s="79">
        <v>14046.02</v>
      </c>
      <c r="L180" s="268">
        <v>3</v>
      </c>
      <c r="M180" s="81">
        <f t="shared" si="13"/>
        <v>3521.24</v>
      </c>
      <c r="N180" s="79">
        <v>3521.24</v>
      </c>
      <c r="O180" s="219"/>
      <c r="P180" s="267">
        <v>16</v>
      </c>
      <c r="Q180" s="79">
        <v>44811.49</v>
      </c>
      <c r="R180" s="268">
        <v>15</v>
      </c>
      <c r="S180" s="81">
        <f t="shared" si="14"/>
        <v>43575.18</v>
      </c>
      <c r="T180" s="79">
        <v>43575.18</v>
      </c>
      <c r="U180" s="269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233" t="s">
        <v>244</v>
      </c>
      <c r="G181" s="227" t="s">
        <v>28</v>
      </c>
      <c r="H181" s="133">
        <v>9</v>
      </c>
      <c r="I181" s="130">
        <v>4</v>
      </c>
      <c r="J181" s="130">
        <v>4</v>
      </c>
      <c r="K181" s="114">
        <v>14993.72</v>
      </c>
      <c r="L181" s="316">
        <v>4</v>
      </c>
      <c r="M181" s="50">
        <f t="shared" si="13"/>
        <v>14165.32</v>
      </c>
      <c r="N181" s="43">
        <f>2497.3+1152.6+5920.02+4595.4</f>
        <v>14165.32</v>
      </c>
      <c r="O181" s="41"/>
      <c r="P181" s="113">
        <v>2</v>
      </c>
      <c r="Q181" s="114">
        <v>7924</v>
      </c>
      <c r="R181" s="270">
        <v>3</v>
      </c>
      <c r="S181" s="43">
        <f t="shared" si="14"/>
        <v>8500.2999999999993</v>
      </c>
      <c r="T181" s="114">
        <f>576.3+5426.7+2497.3</f>
        <v>8500.2999999999993</v>
      </c>
      <c r="U181" s="4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146</v>
      </c>
      <c r="C182" s="374" t="s">
        <v>39</v>
      </c>
      <c r="D182" s="374" t="s">
        <v>328</v>
      </c>
      <c r="E182" s="374" t="s">
        <v>27</v>
      </c>
      <c r="F182" s="204" t="s">
        <v>329</v>
      </c>
      <c r="G182" s="176" t="s">
        <v>24</v>
      </c>
      <c r="H182" s="48">
        <v>10</v>
      </c>
      <c r="I182" s="62">
        <v>8</v>
      </c>
      <c r="J182" s="62">
        <v>8</v>
      </c>
      <c r="K182" s="30">
        <v>26813.99</v>
      </c>
      <c r="L182" s="205">
        <v>6</v>
      </c>
      <c r="M182" s="26">
        <f t="shared" si="13"/>
        <v>22780.46</v>
      </c>
      <c r="N182" s="30">
        <v>22780.46</v>
      </c>
      <c r="O182" s="225"/>
      <c r="P182" s="53">
        <v>11</v>
      </c>
      <c r="Q182" s="30">
        <v>34917.42</v>
      </c>
      <c r="R182" s="205">
        <v>11</v>
      </c>
      <c r="S182" s="26">
        <f t="shared" si="14"/>
        <v>34917.42</v>
      </c>
      <c r="T182" s="30">
        <v>34917.42</v>
      </c>
      <c r="U182" s="225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220" t="s">
        <v>330</v>
      </c>
      <c r="G183" s="229" t="s">
        <v>28</v>
      </c>
      <c r="H183" s="153">
        <v>4</v>
      </c>
      <c r="I183" s="57"/>
      <c r="J183" s="57"/>
      <c r="K183" s="43"/>
      <c r="L183" s="44"/>
      <c r="M183" s="43">
        <f t="shared" si="13"/>
        <v>0</v>
      </c>
      <c r="N183" s="43"/>
      <c r="O183" s="41"/>
      <c r="P183" s="115">
        <v>7</v>
      </c>
      <c r="Q183" s="68">
        <v>28978.07</v>
      </c>
      <c r="R183" s="285">
        <v>7</v>
      </c>
      <c r="S183" s="39">
        <f t="shared" si="14"/>
        <v>28978.07</v>
      </c>
      <c r="T183" s="68">
        <f>576.3+15944.3+1479.17+1344.7+8228.7+1404.9</f>
        <v>28978.07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148</v>
      </c>
      <c r="C184" s="374" t="s">
        <v>39</v>
      </c>
      <c r="D184" s="374" t="s">
        <v>149</v>
      </c>
      <c r="E184" s="374" t="s">
        <v>27</v>
      </c>
      <c r="F184" s="204" t="s">
        <v>218</v>
      </c>
      <c r="G184" s="176" t="s">
        <v>24</v>
      </c>
      <c r="H184" s="48">
        <v>21</v>
      </c>
      <c r="I184" s="62">
        <v>19</v>
      </c>
      <c r="J184" s="204">
        <v>25</v>
      </c>
      <c r="K184" s="30">
        <v>42730.94</v>
      </c>
      <c r="L184" s="205">
        <v>21</v>
      </c>
      <c r="M184" s="26">
        <f t="shared" si="13"/>
        <v>38411.870000000003</v>
      </c>
      <c r="N184" s="30">
        <v>38411.870000000003</v>
      </c>
      <c r="O184" s="225"/>
      <c r="P184" s="108">
        <v>22</v>
      </c>
      <c r="Q184" s="65">
        <v>79924.350000000006</v>
      </c>
      <c r="R184" s="224">
        <v>22</v>
      </c>
      <c r="S184" s="50">
        <f t="shared" si="14"/>
        <v>79924.350000000006</v>
      </c>
      <c r="T184" s="65">
        <v>79924.350000000006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229" t="s">
        <v>28</v>
      </c>
      <c r="H185" s="292">
        <v>2</v>
      </c>
      <c r="I185" s="208">
        <v>1</v>
      </c>
      <c r="J185" s="208">
        <v>1</v>
      </c>
      <c r="K185" s="209">
        <v>3010.5</v>
      </c>
      <c r="L185" s="290">
        <v>1</v>
      </c>
      <c r="M185" s="211">
        <f t="shared" si="13"/>
        <v>3010.5</v>
      </c>
      <c r="N185" s="211">
        <f>3010.5</f>
        <v>3010.5</v>
      </c>
      <c r="O185" s="212"/>
      <c r="P185" s="262">
        <v>1</v>
      </c>
      <c r="Q185" s="209">
        <v>576.29999999999995</v>
      </c>
      <c r="R185" s="290">
        <v>3</v>
      </c>
      <c r="S185" s="211">
        <f t="shared" si="14"/>
        <v>3902.2000000000003</v>
      </c>
      <c r="T185" s="209">
        <f>1921+576.3+1404.9</f>
        <v>3902.2000000000003</v>
      </c>
      <c r="U185" s="21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373</v>
      </c>
      <c r="C186" s="374" t="s">
        <v>22</v>
      </c>
      <c r="D186" s="374"/>
      <c r="E186" s="374" t="s">
        <v>27</v>
      </c>
      <c r="F186" s="232" t="s">
        <v>417</v>
      </c>
      <c r="G186" s="213" t="s">
        <v>24</v>
      </c>
      <c r="H186" s="61">
        <v>1</v>
      </c>
      <c r="I186" s="62">
        <v>1</v>
      </c>
      <c r="J186" s="62">
        <v>1</v>
      </c>
      <c r="K186" s="326">
        <v>662.31</v>
      </c>
      <c r="L186" s="327">
        <v>1</v>
      </c>
      <c r="M186" s="162">
        <f t="shared" si="13"/>
        <v>662.31</v>
      </c>
      <c r="N186" s="326">
        <v>662.31</v>
      </c>
      <c r="O186" s="28"/>
      <c r="P186" s="275"/>
      <c r="Q186" s="26"/>
      <c r="R186" s="27"/>
      <c r="S186" s="26">
        <f t="shared" si="14"/>
        <v>0</v>
      </c>
      <c r="T186" s="26"/>
      <c r="U186" s="28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05"/>
      <c r="G187" s="215" t="s">
        <v>28</v>
      </c>
      <c r="H187" s="117">
        <v>4</v>
      </c>
      <c r="I187" s="37">
        <v>1</v>
      </c>
      <c r="J187" s="37">
        <v>1</v>
      </c>
      <c r="K187" s="318">
        <v>1056.22</v>
      </c>
      <c r="L187" s="343">
        <v>1</v>
      </c>
      <c r="M187" s="164">
        <f t="shared" si="13"/>
        <v>1056.55</v>
      </c>
      <c r="N187" s="164">
        <f>1056.55</f>
        <v>1056.55</v>
      </c>
      <c r="O187" s="41"/>
      <c r="P187" s="276"/>
      <c r="Q187" s="39"/>
      <c r="R187" s="40"/>
      <c r="S187" s="39">
        <f t="shared" si="14"/>
        <v>0</v>
      </c>
      <c r="T187" s="39"/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6"/>
      <c r="B188" s="402" t="s">
        <v>150</v>
      </c>
      <c r="C188" s="377" t="s">
        <v>39</v>
      </c>
      <c r="D188" s="377" t="s">
        <v>151</v>
      </c>
      <c r="E188" s="377" t="s">
        <v>152</v>
      </c>
      <c r="F188" s="72"/>
      <c r="G188" s="95" t="s">
        <v>24</v>
      </c>
      <c r="H188" s="74"/>
      <c r="I188" s="96"/>
      <c r="J188" s="96"/>
      <c r="K188" s="293"/>
      <c r="L188" s="294"/>
      <c r="M188" s="293">
        <f t="shared" si="13"/>
        <v>0</v>
      </c>
      <c r="N188" s="293"/>
      <c r="O188" s="82"/>
      <c r="P188" s="295"/>
      <c r="Q188" s="81"/>
      <c r="R188" s="80"/>
      <c r="S188" s="81">
        <f t="shared" si="14"/>
        <v>0</v>
      </c>
      <c r="T188" s="81"/>
      <c r="U188" s="8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89"/>
      <c r="C189" s="375"/>
      <c r="D189" s="375"/>
      <c r="E189" s="375"/>
      <c r="F189" s="220" t="s">
        <v>331</v>
      </c>
      <c r="G189" s="35" t="s">
        <v>25</v>
      </c>
      <c r="H189" s="106"/>
      <c r="I189" s="38"/>
      <c r="J189" s="38"/>
      <c r="K189" s="164"/>
      <c r="L189" s="165"/>
      <c r="M189" s="164">
        <f t="shared" si="13"/>
        <v>0</v>
      </c>
      <c r="N189" s="164"/>
      <c r="O189" s="41"/>
      <c r="P189" s="67">
        <v>4</v>
      </c>
      <c r="Q189" s="68">
        <v>19199.810000000001</v>
      </c>
      <c r="R189" s="285">
        <v>4</v>
      </c>
      <c r="S189" s="68">
        <v>19199.810000000001</v>
      </c>
      <c r="T189" s="68">
        <v>19199.810000000001</v>
      </c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153</v>
      </c>
      <c r="C190" s="374" t="s">
        <v>39</v>
      </c>
      <c r="D190" s="381" t="s">
        <v>332</v>
      </c>
      <c r="E190" s="381" t="s">
        <v>27</v>
      </c>
      <c r="F190" s="223" t="s">
        <v>333</v>
      </c>
      <c r="G190" s="47" t="s">
        <v>24</v>
      </c>
      <c r="H190" s="48">
        <v>21</v>
      </c>
      <c r="I190" s="203">
        <v>20</v>
      </c>
      <c r="J190" s="203">
        <v>26</v>
      </c>
      <c r="K190" s="242">
        <v>53388.9</v>
      </c>
      <c r="L190" s="320">
        <v>25</v>
      </c>
      <c r="M190" s="166">
        <f t="shared" si="13"/>
        <v>50699.519999999997</v>
      </c>
      <c r="N190" s="242">
        <v>50699.519999999997</v>
      </c>
      <c r="O190" s="225"/>
      <c r="P190" s="108">
        <v>7</v>
      </c>
      <c r="Q190" s="65">
        <v>41813.410000000003</v>
      </c>
      <c r="R190" s="224">
        <v>7</v>
      </c>
      <c r="S190" s="50">
        <f t="shared" ref="S190:S209" si="15">T190+U190</f>
        <v>41813.410000000003</v>
      </c>
      <c r="T190" s="65">
        <v>41813.410000000003</v>
      </c>
      <c r="U190" s="225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75"/>
      <c r="D191" s="380"/>
      <c r="E191" s="380"/>
      <c r="F191" s="34"/>
      <c r="G191" s="35" t="s">
        <v>28</v>
      </c>
      <c r="H191" s="153">
        <v>2</v>
      </c>
      <c r="I191" s="130">
        <v>1</v>
      </c>
      <c r="J191" s="130">
        <v>1</v>
      </c>
      <c r="K191" s="114">
        <v>1152.5999999999999</v>
      </c>
      <c r="L191" s="270">
        <v>1</v>
      </c>
      <c r="M191" s="43">
        <f t="shared" si="13"/>
        <v>1152.5999999999999</v>
      </c>
      <c r="N191" s="43">
        <f>1152.6</f>
        <v>1152.5999999999999</v>
      </c>
      <c r="O191" s="41"/>
      <c r="P191" s="113">
        <v>3</v>
      </c>
      <c r="Q191" s="114">
        <v>19714.599999999999</v>
      </c>
      <c r="R191" s="270">
        <v>4</v>
      </c>
      <c r="S191" s="43">
        <f t="shared" si="15"/>
        <v>21635.599999999999</v>
      </c>
      <c r="T191" s="114">
        <f>1921+11718.1+5186.7+2809.8</f>
        <v>21635.599999999999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155</v>
      </c>
      <c r="C192" s="374" t="s">
        <v>22</v>
      </c>
      <c r="D192" s="374"/>
      <c r="E192" s="374" t="s">
        <v>37</v>
      </c>
      <c r="F192" s="223" t="s">
        <v>245</v>
      </c>
      <c r="G192" s="23" t="s">
        <v>24</v>
      </c>
      <c r="H192" s="48">
        <v>5</v>
      </c>
      <c r="I192" s="62">
        <v>4</v>
      </c>
      <c r="J192" s="62">
        <v>4</v>
      </c>
      <c r="K192" s="30">
        <v>5891.75</v>
      </c>
      <c r="L192" s="205">
        <v>4</v>
      </c>
      <c r="M192" s="26">
        <f t="shared" si="13"/>
        <v>5891.75</v>
      </c>
      <c r="N192" s="30">
        <v>5891.75</v>
      </c>
      <c r="O192" s="31"/>
      <c r="P192" s="53">
        <v>8</v>
      </c>
      <c r="Q192" s="30">
        <v>19951.68</v>
      </c>
      <c r="R192" s="205">
        <v>7</v>
      </c>
      <c r="S192" s="26">
        <f t="shared" si="15"/>
        <v>16748.509999999998</v>
      </c>
      <c r="T192" s="30">
        <v>16748.509999999998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13"/>
        <v>0</v>
      </c>
      <c r="N193" s="39"/>
      <c r="O193" s="41"/>
      <c r="P193" s="59"/>
      <c r="Q193" s="39"/>
      <c r="R193" s="40"/>
      <c r="S193" s="39">
        <f t="shared" si="15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156</v>
      </c>
      <c r="C194" s="381" t="s">
        <v>46</v>
      </c>
      <c r="D194" s="385" t="s">
        <v>418</v>
      </c>
      <c r="E194" s="381" t="s">
        <v>27</v>
      </c>
      <c r="F194" s="223" t="s">
        <v>419</v>
      </c>
      <c r="G194" s="23" t="s">
        <v>24</v>
      </c>
      <c r="H194" s="98"/>
      <c r="I194" s="49"/>
      <c r="J194" s="49"/>
      <c r="K194" s="50"/>
      <c r="L194" s="51"/>
      <c r="M194" s="50">
        <f t="shared" si="13"/>
        <v>0</v>
      </c>
      <c r="N194" s="50"/>
      <c r="O194" s="31"/>
      <c r="P194" s="108">
        <v>2</v>
      </c>
      <c r="Q194" s="65">
        <v>14241.9</v>
      </c>
      <c r="R194" s="224">
        <v>2</v>
      </c>
      <c r="S194" s="50">
        <f t="shared" si="15"/>
        <v>14241.9</v>
      </c>
      <c r="T194" s="65">
        <v>14241.9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54"/>
      <c r="G195" s="55" t="s">
        <v>28</v>
      </c>
      <c r="H195" s="118"/>
      <c r="I195" s="57"/>
      <c r="J195" s="57"/>
      <c r="K195" s="43"/>
      <c r="L195" s="44"/>
      <c r="M195" s="43">
        <f t="shared" si="13"/>
        <v>0</v>
      </c>
      <c r="N195" s="43"/>
      <c r="O195" s="41"/>
      <c r="P195" s="113">
        <v>1</v>
      </c>
      <c r="Q195" s="114">
        <v>0</v>
      </c>
      <c r="R195" s="44"/>
      <c r="S195" s="43">
        <f t="shared" si="15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157</v>
      </c>
      <c r="C196" s="390"/>
      <c r="D196" s="374"/>
      <c r="E196" s="374"/>
      <c r="F196" s="22"/>
      <c r="G196" s="23" t="s">
        <v>24</v>
      </c>
      <c r="H196" s="104"/>
      <c r="I196" s="25"/>
      <c r="J196" s="25"/>
      <c r="K196" s="26"/>
      <c r="L196" s="27"/>
      <c r="M196" s="26">
        <f t="shared" si="13"/>
        <v>0</v>
      </c>
      <c r="N196" s="26"/>
      <c r="O196" s="31"/>
      <c r="P196" s="120"/>
      <c r="Q196" s="26"/>
      <c r="R196" s="27"/>
      <c r="S196" s="26">
        <f t="shared" si="15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34"/>
      <c r="G197" s="35" t="s">
        <v>28</v>
      </c>
      <c r="H197" s="106"/>
      <c r="I197" s="38"/>
      <c r="J197" s="38"/>
      <c r="K197" s="39"/>
      <c r="L197" s="40"/>
      <c r="M197" s="39">
        <f t="shared" si="13"/>
        <v>0</v>
      </c>
      <c r="N197" s="39"/>
      <c r="O197" s="41"/>
      <c r="P197" s="69"/>
      <c r="Q197" s="39"/>
      <c r="R197" s="40"/>
      <c r="S197" s="39">
        <f t="shared" si="15"/>
        <v>0</v>
      </c>
      <c r="T197" s="39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158</v>
      </c>
      <c r="C198" s="374" t="s">
        <v>39</v>
      </c>
      <c r="D198" s="374" t="s">
        <v>288</v>
      </c>
      <c r="E198" s="374" t="s">
        <v>27</v>
      </c>
      <c r="F198" s="204" t="s">
        <v>289</v>
      </c>
      <c r="G198" s="176" t="s">
        <v>24</v>
      </c>
      <c r="H198" s="48">
        <v>11</v>
      </c>
      <c r="I198" s="203">
        <v>9</v>
      </c>
      <c r="J198" s="203">
        <v>10</v>
      </c>
      <c r="K198" s="65">
        <v>26045.17</v>
      </c>
      <c r="L198" s="224">
        <v>10</v>
      </c>
      <c r="M198" s="50">
        <f t="shared" si="13"/>
        <v>26045.17</v>
      </c>
      <c r="N198" s="65">
        <v>26045.17</v>
      </c>
      <c r="O198" s="225"/>
      <c r="P198" s="108">
        <v>10</v>
      </c>
      <c r="Q198" s="65">
        <v>22956.16</v>
      </c>
      <c r="R198" s="224">
        <v>10</v>
      </c>
      <c r="S198" s="50">
        <f t="shared" si="15"/>
        <v>22956.16</v>
      </c>
      <c r="T198" s="65">
        <v>22956.16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0" t="s">
        <v>334</v>
      </c>
      <c r="G199" s="229" t="s">
        <v>28</v>
      </c>
      <c r="H199" s="117">
        <v>5</v>
      </c>
      <c r="I199" s="37">
        <v>4</v>
      </c>
      <c r="J199" s="37">
        <v>4</v>
      </c>
      <c r="K199" s="68">
        <v>5874.79</v>
      </c>
      <c r="L199" s="285">
        <v>3</v>
      </c>
      <c r="M199" s="39">
        <f t="shared" si="13"/>
        <v>4329.3999999999996</v>
      </c>
      <c r="N199" s="39">
        <f>1921+1204.2+1204.2</f>
        <v>4329.3999999999996</v>
      </c>
      <c r="O199" s="41"/>
      <c r="P199" s="59"/>
      <c r="Q199" s="39"/>
      <c r="R199" s="40"/>
      <c r="S199" s="39">
        <f t="shared" si="15"/>
        <v>1152.5999999999999</v>
      </c>
      <c r="T199" s="68">
        <v>1152.5999999999999</v>
      </c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6"/>
      <c r="B200" s="377" t="s">
        <v>159</v>
      </c>
      <c r="C200" s="377" t="s">
        <v>22</v>
      </c>
      <c r="D200" s="377"/>
      <c r="E200" s="377" t="s">
        <v>160</v>
      </c>
      <c r="F200" s="232" t="s">
        <v>246</v>
      </c>
      <c r="G200" s="95" t="s">
        <v>24</v>
      </c>
      <c r="H200" s="48">
        <v>20</v>
      </c>
      <c r="I200" s="203">
        <v>18</v>
      </c>
      <c r="J200" s="203">
        <v>27</v>
      </c>
      <c r="K200" s="65">
        <v>50695.82</v>
      </c>
      <c r="L200" s="224">
        <v>27</v>
      </c>
      <c r="M200" s="50">
        <f t="shared" si="13"/>
        <v>50695.82</v>
      </c>
      <c r="N200" s="65">
        <v>50695.82</v>
      </c>
      <c r="O200" s="225"/>
      <c r="P200" s="108">
        <v>26</v>
      </c>
      <c r="Q200" s="65">
        <v>42356.26</v>
      </c>
      <c r="R200" s="224">
        <v>26</v>
      </c>
      <c r="S200" s="50">
        <f t="shared" si="15"/>
        <v>42356.26</v>
      </c>
      <c r="T200" s="65">
        <v>42356.26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54"/>
      <c r="G201" s="55" t="s">
        <v>28</v>
      </c>
      <c r="H201" s="112">
        <v>6</v>
      </c>
      <c r="I201" s="130">
        <v>2</v>
      </c>
      <c r="J201" s="130">
        <v>2</v>
      </c>
      <c r="K201" s="114">
        <v>2401.25</v>
      </c>
      <c r="L201" s="316">
        <v>2</v>
      </c>
      <c r="M201" s="50">
        <f t="shared" si="13"/>
        <v>2401.25</v>
      </c>
      <c r="N201" s="43">
        <f>1056.55+1344.7</f>
        <v>2401.25</v>
      </c>
      <c r="O201" s="41"/>
      <c r="P201" s="113">
        <v>3</v>
      </c>
      <c r="Q201" s="114">
        <v>5551.69</v>
      </c>
      <c r="R201" s="270">
        <v>3</v>
      </c>
      <c r="S201" s="43">
        <f t="shared" si="15"/>
        <v>5551.69</v>
      </c>
      <c r="T201" s="43">
        <f>5551.69</f>
        <v>5551.69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161</v>
      </c>
      <c r="C202" s="377" t="s">
        <v>22</v>
      </c>
      <c r="D202" s="374"/>
      <c r="E202" s="374" t="s">
        <v>450</v>
      </c>
      <c r="F202" s="204" t="s">
        <v>451</v>
      </c>
      <c r="G202" s="23" t="s">
        <v>24</v>
      </c>
      <c r="H202" s="24">
        <v>13</v>
      </c>
      <c r="I202" s="62">
        <v>1</v>
      </c>
      <c r="J202" s="62">
        <v>2</v>
      </c>
      <c r="K202" s="30">
        <v>3016.65</v>
      </c>
      <c r="L202" s="205">
        <v>2</v>
      </c>
      <c r="M202" s="26">
        <f t="shared" si="13"/>
        <v>3016.65</v>
      </c>
      <c r="N202" s="30">
        <v>3016.65</v>
      </c>
      <c r="O202" s="31"/>
      <c r="P202" s="53">
        <v>11</v>
      </c>
      <c r="Q202" s="30">
        <v>35207.21</v>
      </c>
      <c r="R202" s="205">
        <v>11</v>
      </c>
      <c r="S202" s="26">
        <f t="shared" si="15"/>
        <v>35207.21</v>
      </c>
      <c r="T202" s="30">
        <v>35207.21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92"/>
      <c r="F203" s="34"/>
      <c r="G203" s="35" t="s">
        <v>28</v>
      </c>
      <c r="H203" s="66">
        <v>4</v>
      </c>
      <c r="I203" s="38"/>
      <c r="J203" s="38"/>
      <c r="K203" s="39"/>
      <c r="L203" s="40"/>
      <c r="M203" s="39">
        <f t="shared" si="13"/>
        <v>0</v>
      </c>
      <c r="N203" s="39"/>
      <c r="O203" s="41"/>
      <c r="P203" s="59"/>
      <c r="Q203" s="39"/>
      <c r="R203" s="40"/>
      <c r="S203" s="39">
        <f t="shared" si="15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2"/>
      <c r="B204" s="381" t="s">
        <v>162</v>
      </c>
      <c r="C204" s="381" t="s">
        <v>39</v>
      </c>
      <c r="D204" s="381" t="s">
        <v>163</v>
      </c>
      <c r="E204" s="374" t="s">
        <v>27</v>
      </c>
      <c r="F204" s="135"/>
      <c r="G204" s="47" t="s">
        <v>24</v>
      </c>
      <c r="H204" s="98"/>
      <c r="I204" s="49"/>
      <c r="J204" s="49"/>
      <c r="K204" s="50"/>
      <c r="L204" s="51"/>
      <c r="M204" s="50">
        <f t="shared" si="13"/>
        <v>0</v>
      </c>
      <c r="N204" s="50"/>
      <c r="O204" s="31"/>
      <c r="P204" s="123"/>
      <c r="Q204" s="50"/>
      <c r="R204" s="51"/>
      <c r="S204" s="50">
        <f t="shared" si="15"/>
        <v>0</v>
      </c>
      <c r="T204" s="50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87"/>
      <c r="B205" s="386"/>
      <c r="C205" s="386"/>
      <c r="D205" s="386"/>
      <c r="E205" s="386"/>
      <c r="F205" s="54"/>
      <c r="G205" s="47" t="s">
        <v>25</v>
      </c>
      <c r="H205" s="98"/>
      <c r="I205" s="49"/>
      <c r="J205" s="49"/>
      <c r="K205" s="50"/>
      <c r="L205" s="51"/>
      <c r="M205" s="50">
        <f t="shared" si="13"/>
        <v>0</v>
      </c>
      <c r="N205" s="50"/>
      <c r="O205" s="45"/>
      <c r="P205" s="123"/>
      <c r="Q205" s="50"/>
      <c r="R205" s="51"/>
      <c r="S205" s="50">
        <f t="shared" si="15"/>
        <v>0</v>
      </c>
      <c r="T205" s="50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9"/>
      <c r="B206" s="380"/>
      <c r="C206" s="380"/>
      <c r="D206" s="380"/>
      <c r="E206" s="380"/>
      <c r="F206" s="54"/>
      <c r="G206" s="55" t="s">
        <v>28</v>
      </c>
      <c r="H206" s="116"/>
      <c r="I206" s="57"/>
      <c r="J206" s="57"/>
      <c r="K206" s="43"/>
      <c r="L206" s="44"/>
      <c r="M206" s="43">
        <f t="shared" si="13"/>
        <v>0</v>
      </c>
      <c r="N206" s="43"/>
      <c r="O206" s="41"/>
      <c r="P206" s="113">
        <v>1</v>
      </c>
      <c r="Q206" s="114">
        <v>4602.5</v>
      </c>
      <c r="R206" s="270">
        <v>1</v>
      </c>
      <c r="S206" s="43">
        <f t="shared" si="15"/>
        <v>4602.5</v>
      </c>
      <c r="T206" s="114">
        <v>4602.5</v>
      </c>
      <c r="U206" s="23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2"/>
      <c r="B207" s="374" t="s">
        <v>164</v>
      </c>
      <c r="C207" s="374" t="s">
        <v>22</v>
      </c>
      <c r="D207" s="374"/>
      <c r="E207" s="374" t="s">
        <v>27</v>
      </c>
      <c r="F207" s="22"/>
      <c r="G207" s="23" t="s">
        <v>24</v>
      </c>
      <c r="H207" s="98"/>
      <c r="I207" s="25"/>
      <c r="J207" s="25"/>
      <c r="K207" s="26"/>
      <c r="L207" s="27"/>
      <c r="M207" s="26">
        <f t="shared" si="13"/>
        <v>0</v>
      </c>
      <c r="N207" s="26"/>
      <c r="O207" s="31"/>
      <c r="P207" s="99"/>
      <c r="Q207" s="26"/>
      <c r="R207" s="27"/>
      <c r="S207" s="26">
        <f t="shared" si="15"/>
        <v>0</v>
      </c>
      <c r="T207" s="26"/>
      <c r="U207" s="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3"/>
      <c r="B208" s="375"/>
      <c r="C208" s="375"/>
      <c r="D208" s="375"/>
      <c r="E208" s="375"/>
      <c r="F208" s="221" t="s">
        <v>335</v>
      </c>
      <c r="G208" s="55" t="s">
        <v>28</v>
      </c>
      <c r="H208" s="56">
        <v>4</v>
      </c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4</v>
      </c>
      <c r="Q208" s="114">
        <v>7395.85</v>
      </c>
      <c r="R208" s="270">
        <v>5</v>
      </c>
      <c r="S208" s="43">
        <f t="shared" si="15"/>
        <v>8452.4000000000015</v>
      </c>
      <c r="T208" s="114">
        <f>4034.1+1921+2497.3</f>
        <v>8452.4000000000015</v>
      </c>
      <c r="U208" s="4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165</v>
      </c>
      <c r="C209" s="374"/>
      <c r="D209" s="374"/>
      <c r="E209" s="374"/>
      <c r="F209" s="22"/>
      <c r="G209" s="23" t="s">
        <v>24</v>
      </c>
      <c r="H209" s="119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5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34"/>
      <c r="G210" s="35" t="s">
        <v>25</v>
      </c>
      <c r="H210" s="66">
        <v>2</v>
      </c>
      <c r="I210" s="38"/>
      <c r="J210" s="38"/>
      <c r="K210" s="39"/>
      <c r="L210" s="40"/>
      <c r="M210" s="39">
        <f t="shared" si="13"/>
        <v>0</v>
      </c>
      <c r="N210" s="39"/>
      <c r="O210" s="41"/>
      <c r="P210" s="115">
        <v>2</v>
      </c>
      <c r="Q210" s="68">
        <v>288.14999999999998</v>
      </c>
      <c r="R210" s="285">
        <v>1</v>
      </c>
      <c r="S210" s="68">
        <v>288.14999999999998</v>
      </c>
      <c r="T210" s="68">
        <v>288.14999999999998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6"/>
      <c r="B211" s="377" t="s">
        <v>454</v>
      </c>
      <c r="C211" s="377" t="s">
        <v>39</v>
      </c>
      <c r="D211" s="405" t="s">
        <v>455</v>
      </c>
      <c r="E211" s="381" t="s">
        <v>27</v>
      </c>
      <c r="F211" s="204" t="s">
        <v>467</v>
      </c>
      <c r="G211" s="23" t="s">
        <v>24</v>
      </c>
      <c r="H211" s="328">
        <v>1</v>
      </c>
      <c r="I211" s="71"/>
      <c r="J211" s="71"/>
      <c r="K211" s="93"/>
      <c r="L211" s="92"/>
      <c r="M211" s="26">
        <f t="shared" si="13"/>
        <v>0</v>
      </c>
      <c r="N211" s="93"/>
      <c r="O211" s="94"/>
      <c r="P211" s="329"/>
      <c r="Q211" s="91"/>
      <c r="R211" s="330"/>
      <c r="S211" s="26">
        <f t="shared" ref="S211:S227" si="16">T211+U211</f>
        <v>0</v>
      </c>
      <c r="T211" s="79"/>
      <c r="U211" s="336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406"/>
      <c r="E212" s="375"/>
      <c r="F212" s="220"/>
      <c r="G212" s="345" t="s">
        <v>28</v>
      </c>
      <c r="H212" s="346">
        <v>6</v>
      </c>
      <c r="I212" s="38"/>
      <c r="J212" s="38"/>
      <c r="K212" s="39"/>
      <c r="L212" s="40"/>
      <c r="M212" s="87">
        <f t="shared" si="13"/>
        <v>0</v>
      </c>
      <c r="N212" s="39"/>
      <c r="O212" s="41"/>
      <c r="P212" s="217"/>
      <c r="Q212" s="68"/>
      <c r="R212" s="285"/>
      <c r="S212" s="87">
        <f t="shared" si="16"/>
        <v>0</v>
      </c>
      <c r="T212" s="339"/>
      <c r="U212" s="34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82"/>
      <c r="B213" s="381" t="s">
        <v>166</v>
      </c>
      <c r="C213" s="381" t="s">
        <v>22</v>
      </c>
      <c r="D213" s="377"/>
      <c r="E213" s="381" t="s">
        <v>27</v>
      </c>
      <c r="F213" s="232" t="s">
        <v>420</v>
      </c>
      <c r="G213" s="347" t="s">
        <v>24</v>
      </c>
      <c r="H213" s="348">
        <v>1</v>
      </c>
      <c r="I213" s="96"/>
      <c r="J213" s="96"/>
      <c r="K213" s="81"/>
      <c r="L213" s="80"/>
      <c r="M213" s="81">
        <f t="shared" si="13"/>
        <v>0</v>
      </c>
      <c r="N213" s="81"/>
      <c r="O213" s="82"/>
      <c r="P213" s="78">
        <v>4</v>
      </c>
      <c r="Q213" s="79">
        <v>17868.150000000001</v>
      </c>
      <c r="R213" s="268">
        <v>4</v>
      </c>
      <c r="S213" s="81">
        <f t="shared" si="16"/>
        <v>17868.150000000001</v>
      </c>
      <c r="T213" s="79">
        <v>17868.150000000001</v>
      </c>
      <c r="U213" s="269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6"/>
      <c r="G214" s="227" t="s">
        <v>28</v>
      </c>
      <c r="H214" s="334"/>
      <c r="I214" s="57"/>
      <c r="J214" s="57"/>
      <c r="K214" s="43"/>
      <c r="L214" s="44"/>
      <c r="M214" s="43">
        <f t="shared" si="13"/>
        <v>0</v>
      </c>
      <c r="N214" s="43"/>
      <c r="O214" s="45"/>
      <c r="P214" s="273"/>
      <c r="Q214" s="211"/>
      <c r="R214" s="210"/>
      <c r="S214" s="211">
        <f t="shared" si="16"/>
        <v>0</v>
      </c>
      <c r="T214" s="211"/>
      <c r="U214" s="21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2"/>
      <c r="B215" s="374" t="s">
        <v>167</v>
      </c>
      <c r="C215" s="374" t="s">
        <v>46</v>
      </c>
      <c r="D215" s="374" t="s">
        <v>168</v>
      </c>
      <c r="E215" s="374" t="s">
        <v>27</v>
      </c>
      <c r="F215" s="204" t="s">
        <v>421</v>
      </c>
      <c r="G215" s="176" t="s">
        <v>24</v>
      </c>
      <c r="H215" s="248">
        <v>4</v>
      </c>
      <c r="I215" s="62">
        <v>4</v>
      </c>
      <c r="J215" s="62">
        <v>4</v>
      </c>
      <c r="K215" s="30">
        <v>6502.43</v>
      </c>
      <c r="L215" s="205">
        <v>3</v>
      </c>
      <c r="M215" s="26">
        <f t="shared" si="13"/>
        <v>2022.81</v>
      </c>
      <c r="N215" s="30">
        <v>2022.81</v>
      </c>
      <c r="O215" s="308"/>
      <c r="P215" s="99"/>
      <c r="Q215" s="26"/>
      <c r="R215" s="27"/>
      <c r="S215" s="26">
        <f t="shared" si="16"/>
        <v>0</v>
      </c>
      <c r="T215" s="26"/>
      <c r="U215" s="28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0" t="s">
        <v>247</v>
      </c>
      <c r="G216" s="229" t="s">
        <v>28</v>
      </c>
      <c r="H216" s="258">
        <v>7</v>
      </c>
      <c r="I216" s="37">
        <v>5</v>
      </c>
      <c r="J216" s="37">
        <v>5</v>
      </c>
      <c r="K216" s="68">
        <v>10794.85</v>
      </c>
      <c r="L216" s="285">
        <v>5</v>
      </c>
      <c r="M216" s="39">
        <f t="shared" si="13"/>
        <v>19304.88</v>
      </c>
      <c r="N216" s="39">
        <f>1985.09+7101.24+2689.4+4418.3+1705.95+1404.9</f>
        <v>19304.88</v>
      </c>
      <c r="O216" s="309"/>
      <c r="P216" s="310">
        <v>6</v>
      </c>
      <c r="Q216" s="245">
        <v>28151.200000000001</v>
      </c>
      <c r="R216" s="285">
        <v>6</v>
      </c>
      <c r="S216" s="39">
        <f t="shared" si="16"/>
        <v>19124.87</v>
      </c>
      <c r="T216" s="68">
        <f>4034.1+1152.6+2881.5+2497.3+1921+6638.37</f>
        <v>19124.87</v>
      </c>
      <c r="U216" s="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6"/>
      <c r="B217" s="377" t="s">
        <v>169</v>
      </c>
      <c r="C217" s="377" t="s">
        <v>39</v>
      </c>
      <c r="D217" s="377"/>
      <c r="E217" s="377" t="s">
        <v>27</v>
      </c>
      <c r="F217" s="72"/>
      <c r="G217" s="291" t="s">
        <v>24</v>
      </c>
      <c r="H217" s="98"/>
      <c r="I217" s="49"/>
      <c r="J217" s="49"/>
      <c r="K217" s="50"/>
      <c r="L217" s="51"/>
      <c r="M217" s="50">
        <f t="shared" si="13"/>
        <v>0</v>
      </c>
      <c r="N217" s="50"/>
      <c r="O217" s="31"/>
      <c r="P217" s="277"/>
      <c r="Q217" s="81"/>
      <c r="R217" s="80"/>
      <c r="S217" s="81">
        <f t="shared" si="16"/>
        <v>0</v>
      </c>
      <c r="T217" s="81"/>
      <c r="U217" s="219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336</v>
      </c>
      <c r="G218" s="229" t="s">
        <v>28</v>
      </c>
      <c r="H218" s="153">
        <v>3</v>
      </c>
      <c r="I218" s="57"/>
      <c r="J218" s="57"/>
      <c r="K218" s="43"/>
      <c r="L218" s="44"/>
      <c r="M218" s="43">
        <f t="shared" si="13"/>
        <v>0</v>
      </c>
      <c r="N218" s="43"/>
      <c r="O218" s="41"/>
      <c r="P218" s="113">
        <v>1</v>
      </c>
      <c r="Q218" s="114">
        <v>3842</v>
      </c>
      <c r="R218" s="316">
        <v>1</v>
      </c>
      <c r="S218" s="50">
        <f t="shared" si="16"/>
        <v>3842</v>
      </c>
      <c r="T218" s="43">
        <f>3842</f>
        <v>3842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2"/>
      <c r="B219" s="374" t="s">
        <v>170</v>
      </c>
      <c r="C219" s="374" t="s">
        <v>22</v>
      </c>
      <c r="D219" s="374"/>
      <c r="E219" s="374" t="s">
        <v>160</v>
      </c>
      <c r="F219" s="232" t="s">
        <v>248</v>
      </c>
      <c r="G219" s="23" t="s">
        <v>24</v>
      </c>
      <c r="H219" s="48">
        <v>23</v>
      </c>
      <c r="I219" s="62">
        <v>18</v>
      </c>
      <c r="J219" s="62">
        <v>26</v>
      </c>
      <c r="K219" s="30">
        <v>60016.63</v>
      </c>
      <c r="L219" s="205">
        <v>22</v>
      </c>
      <c r="M219" s="26">
        <f t="shared" si="13"/>
        <v>49378.13</v>
      </c>
      <c r="N219" s="30">
        <v>49378.13</v>
      </c>
      <c r="O219" s="225"/>
      <c r="P219" s="53">
        <v>23</v>
      </c>
      <c r="Q219" s="30">
        <v>69064.09</v>
      </c>
      <c r="R219" s="205">
        <v>21</v>
      </c>
      <c r="S219" s="26">
        <f t="shared" si="16"/>
        <v>66092.33</v>
      </c>
      <c r="T219" s="30">
        <v>66092.33</v>
      </c>
      <c r="U219" s="225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105"/>
      <c r="G220" s="35" t="s">
        <v>28</v>
      </c>
      <c r="H220" s="116"/>
      <c r="I220" s="38"/>
      <c r="J220" s="38"/>
      <c r="K220" s="39"/>
      <c r="L220" s="40"/>
      <c r="M220" s="39">
        <f t="shared" si="13"/>
        <v>0</v>
      </c>
      <c r="N220" s="39"/>
      <c r="O220" s="41"/>
      <c r="P220" s="59"/>
      <c r="Q220" s="39"/>
      <c r="R220" s="40"/>
      <c r="S220" s="39">
        <f t="shared" si="16"/>
        <v>0</v>
      </c>
      <c r="T220" s="39"/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171</v>
      </c>
      <c r="C221" s="374" t="s">
        <v>39</v>
      </c>
      <c r="D221" s="374" t="s">
        <v>374</v>
      </c>
      <c r="E221" s="374" t="s">
        <v>27</v>
      </c>
      <c r="F221" s="223" t="s">
        <v>375</v>
      </c>
      <c r="G221" s="176" t="s">
        <v>24</v>
      </c>
      <c r="H221" s="48">
        <v>5</v>
      </c>
      <c r="I221" s="203">
        <v>2</v>
      </c>
      <c r="J221" s="203">
        <v>2</v>
      </c>
      <c r="K221" s="65">
        <v>3169.65</v>
      </c>
      <c r="L221" s="224">
        <v>2</v>
      </c>
      <c r="M221" s="50">
        <f t="shared" si="13"/>
        <v>3169.65</v>
      </c>
      <c r="N221" s="65">
        <v>3169.65</v>
      </c>
      <c r="O221" s="31"/>
      <c r="P221" s="108">
        <v>6</v>
      </c>
      <c r="Q221" s="65">
        <v>16741.060000000001</v>
      </c>
      <c r="R221" s="224">
        <v>6</v>
      </c>
      <c r="S221" s="50">
        <f t="shared" si="16"/>
        <v>16741.060000000001</v>
      </c>
      <c r="T221" s="65">
        <v>16741.060000000001</v>
      </c>
      <c r="U221" s="3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337</v>
      </c>
      <c r="G222" s="229" t="s">
        <v>28</v>
      </c>
      <c r="H222" s="133">
        <v>4</v>
      </c>
      <c r="I222" s="37">
        <v>1</v>
      </c>
      <c r="J222" s="37">
        <v>1</v>
      </c>
      <c r="K222" s="68">
        <v>3457.8</v>
      </c>
      <c r="L222" s="350">
        <v>1</v>
      </c>
      <c r="M222" s="351">
        <f t="shared" si="13"/>
        <v>3457.8</v>
      </c>
      <c r="N222" s="39">
        <f>3457.8</f>
        <v>3457.8</v>
      </c>
      <c r="O222" s="41"/>
      <c r="P222" s="115">
        <v>2</v>
      </c>
      <c r="Q222" s="68">
        <v>7299.8</v>
      </c>
      <c r="R222" s="285">
        <v>2</v>
      </c>
      <c r="S222" s="39">
        <f t="shared" si="16"/>
        <v>7299.7999999999993</v>
      </c>
      <c r="T222" s="39">
        <f>3073.6+4226.2</f>
        <v>7299.7999999999993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477</v>
      </c>
      <c r="C223" s="374"/>
      <c r="D223" s="374"/>
      <c r="E223" s="374"/>
      <c r="F223" s="232"/>
      <c r="G223" s="176" t="s">
        <v>24</v>
      </c>
      <c r="H223" s="260"/>
      <c r="I223" s="231"/>
      <c r="J223" s="231"/>
      <c r="K223" s="91"/>
      <c r="L223" s="330"/>
      <c r="M223" s="50">
        <f t="shared" si="13"/>
        <v>0</v>
      </c>
      <c r="N223" s="91"/>
      <c r="O223" s="331"/>
      <c r="P223" s="329"/>
      <c r="Q223" s="91"/>
      <c r="R223" s="330"/>
      <c r="S223" s="142">
        <f t="shared" si="16"/>
        <v>0</v>
      </c>
      <c r="T223" s="91"/>
      <c r="U223" s="3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305"/>
      <c r="G224" s="229" t="s">
        <v>28</v>
      </c>
      <c r="H224" s="117">
        <v>1</v>
      </c>
      <c r="I224" s="208"/>
      <c r="J224" s="208"/>
      <c r="K224" s="209"/>
      <c r="L224" s="290"/>
      <c r="M224" s="87">
        <f t="shared" si="13"/>
        <v>0</v>
      </c>
      <c r="N224" s="209"/>
      <c r="O224" s="234"/>
      <c r="P224" s="262"/>
      <c r="Q224" s="209"/>
      <c r="R224" s="290"/>
      <c r="S224" s="87">
        <f t="shared" si="16"/>
        <v>0</v>
      </c>
      <c r="T224" s="209"/>
      <c r="U224" s="263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172</v>
      </c>
      <c r="C225" s="374" t="s">
        <v>39</v>
      </c>
      <c r="D225" s="374" t="s">
        <v>303</v>
      </c>
      <c r="E225" s="374" t="s">
        <v>121</v>
      </c>
      <c r="F225" s="204" t="s">
        <v>304</v>
      </c>
      <c r="G225" s="176" t="s">
        <v>24</v>
      </c>
      <c r="H225" s="265">
        <v>29</v>
      </c>
      <c r="I225" s="62">
        <v>15</v>
      </c>
      <c r="J225" s="62">
        <v>16</v>
      </c>
      <c r="K225" s="30">
        <v>15584.37</v>
      </c>
      <c r="L225" s="205">
        <v>10</v>
      </c>
      <c r="M225" s="26">
        <f t="shared" si="13"/>
        <v>7339.68</v>
      </c>
      <c r="N225" s="30">
        <v>7339.68</v>
      </c>
      <c r="O225" s="269"/>
      <c r="P225" s="53">
        <v>29</v>
      </c>
      <c r="Q225" s="30">
        <v>78523.929999999993</v>
      </c>
      <c r="R225" s="205">
        <v>26</v>
      </c>
      <c r="S225" s="26">
        <f t="shared" si="16"/>
        <v>73507.41</v>
      </c>
      <c r="T225" s="30">
        <v>73507.41</v>
      </c>
      <c r="U225" s="2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4"/>
      <c r="G226" s="229" t="s">
        <v>25</v>
      </c>
      <c r="H226" s="102"/>
      <c r="I226" s="57"/>
      <c r="J226" s="57"/>
      <c r="K226" s="43"/>
      <c r="L226" s="44"/>
      <c r="M226" s="43">
        <f t="shared" si="13"/>
        <v>0</v>
      </c>
      <c r="N226" s="43"/>
      <c r="O226" s="41"/>
      <c r="P226" s="113">
        <v>1</v>
      </c>
      <c r="Q226" s="114">
        <v>1728.9</v>
      </c>
      <c r="R226" s="270">
        <v>1</v>
      </c>
      <c r="S226" s="43">
        <f t="shared" si="16"/>
        <v>1728.9</v>
      </c>
      <c r="T226" s="114">
        <v>1728.9</v>
      </c>
      <c r="U226" s="23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173</v>
      </c>
      <c r="C227" s="374" t="s">
        <v>39</v>
      </c>
      <c r="D227" s="374" t="s">
        <v>338</v>
      </c>
      <c r="E227" s="374" t="s">
        <v>121</v>
      </c>
      <c r="F227" s="232" t="s">
        <v>376</v>
      </c>
      <c r="G227" s="23" t="s">
        <v>24</v>
      </c>
      <c r="H227" s="61">
        <v>43</v>
      </c>
      <c r="I227" s="62">
        <v>11</v>
      </c>
      <c r="J227" s="62">
        <v>25</v>
      </c>
      <c r="K227" s="30">
        <v>14371.13</v>
      </c>
      <c r="L227" s="27"/>
      <c r="M227" s="26">
        <f t="shared" si="13"/>
        <v>0</v>
      </c>
      <c r="N227" s="26"/>
      <c r="O227" s="31"/>
      <c r="P227" s="53">
        <v>9</v>
      </c>
      <c r="Q227" s="30">
        <v>5292.88</v>
      </c>
      <c r="R227" s="205">
        <v>5</v>
      </c>
      <c r="S227" s="26">
        <f t="shared" si="16"/>
        <v>4887.8599999999997</v>
      </c>
      <c r="T227" s="30">
        <v>4887.8599999999997</v>
      </c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339</v>
      </c>
      <c r="G228" s="35" t="s">
        <v>25</v>
      </c>
      <c r="H228" s="117">
        <v>12</v>
      </c>
      <c r="I228" s="37">
        <v>7</v>
      </c>
      <c r="J228" s="37">
        <v>7</v>
      </c>
      <c r="K228" s="68">
        <v>5056.28</v>
      </c>
      <c r="L228" s="285">
        <v>3</v>
      </c>
      <c r="M228" s="68">
        <v>4062.8</v>
      </c>
      <c r="N228" s="68">
        <v>4062.8</v>
      </c>
      <c r="O228" s="234"/>
      <c r="P228" s="115">
        <v>3</v>
      </c>
      <c r="Q228" s="68">
        <v>5845.65</v>
      </c>
      <c r="R228" s="285">
        <v>3</v>
      </c>
      <c r="S228" s="68">
        <v>5845.65</v>
      </c>
      <c r="T228" s="68">
        <v>5845.65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174</v>
      </c>
      <c r="C229" s="374" t="s">
        <v>39</v>
      </c>
      <c r="D229" s="374" t="s">
        <v>175</v>
      </c>
      <c r="E229" s="374" t="s">
        <v>176</v>
      </c>
      <c r="F229" s="204" t="s">
        <v>377</v>
      </c>
      <c r="G229" s="176" t="s">
        <v>24</v>
      </c>
      <c r="H229" s="48">
        <v>21</v>
      </c>
      <c r="I229" s="203">
        <v>14</v>
      </c>
      <c r="J229" s="203">
        <v>17</v>
      </c>
      <c r="K229" s="65">
        <v>31001.13</v>
      </c>
      <c r="L229" s="224">
        <v>14</v>
      </c>
      <c r="M229" s="50">
        <f>N229+O229</f>
        <v>24081.66</v>
      </c>
      <c r="N229" s="65">
        <v>24081.66</v>
      </c>
      <c r="O229" s="225"/>
      <c r="P229" s="108">
        <v>19</v>
      </c>
      <c r="Q229" s="65">
        <v>63648.02</v>
      </c>
      <c r="R229" s="224">
        <v>18</v>
      </c>
      <c r="S229" s="50">
        <f>T229+U229</f>
        <v>56598.95</v>
      </c>
      <c r="T229" s="65">
        <v>56598.95</v>
      </c>
      <c r="U229" s="225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340</v>
      </c>
      <c r="G230" s="229" t="s">
        <v>25</v>
      </c>
      <c r="H230" s="153">
        <v>2</v>
      </c>
      <c r="I230" s="130">
        <v>2</v>
      </c>
      <c r="J230" s="130">
        <v>2</v>
      </c>
      <c r="K230" s="114">
        <v>11239.2</v>
      </c>
      <c r="L230" s="270">
        <v>2</v>
      </c>
      <c r="M230" s="114">
        <v>11239.2</v>
      </c>
      <c r="N230" s="114">
        <v>11239.2</v>
      </c>
      <c r="O230" s="41"/>
      <c r="P230" s="113">
        <v>10</v>
      </c>
      <c r="Q230" s="114">
        <v>46701.760000000002</v>
      </c>
      <c r="R230" s="270">
        <v>10</v>
      </c>
      <c r="S230" s="114">
        <v>46701.760000000002</v>
      </c>
      <c r="T230" s="114">
        <v>46701.760000000002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177</v>
      </c>
      <c r="C231" s="377" t="s">
        <v>39</v>
      </c>
      <c r="D231" s="374" t="s">
        <v>226</v>
      </c>
      <c r="E231" s="374" t="s">
        <v>27</v>
      </c>
      <c r="F231" s="204" t="s">
        <v>227</v>
      </c>
      <c r="G231" s="23" t="s">
        <v>24</v>
      </c>
      <c r="H231" s="48">
        <v>6</v>
      </c>
      <c r="I231" s="62">
        <v>3</v>
      </c>
      <c r="J231" s="62">
        <v>3</v>
      </c>
      <c r="K231" s="30">
        <v>1969.94</v>
      </c>
      <c r="L231" s="205">
        <v>3</v>
      </c>
      <c r="M231" s="26">
        <f t="shared" ref="M231:M257" si="17">N231+O231</f>
        <v>1969.94</v>
      </c>
      <c r="N231" s="30">
        <v>1969.94</v>
      </c>
      <c r="O231" s="225"/>
      <c r="P231" s="53">
        <v>16</v>
      </c>
      <c r="Q231" s="30">
        <v>53460.74</v>
      </c>
      <c r="R231" s="205">
        <v>16</v>
      </c>
      <c r="S231" s="26">
        <f t="shared" ref="S231:S257" si="18">T231+U231</f>
        <v>53460.74</v>
      </c>
      <c r="T231" s="30">
        <v>53460.74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80"/>
      <c r="D232" s="375"/>
      <c r="E232" s="375"/>
      <c r="F232" s="105"/>
      <c r="G232" s="55" t="s">
        <v>28</v>
      </c>
      <c r="H232" s="118"/>
      <c r="I232" s="57"/>
      <c r="J232" s="57"/>
      <c r="K232" s="43"/>
      <c r="L232" s="44"/>
      <c r="M232" s="43">
        <f t="shared" si="17"/>
        <v>0</v>
      </c>
      <c r="N232" s="43"/>
      <c r="O232" s="41"/>
      <c r="P232" s="103"/>
      <c r="Q232" s="43"/>
      <c r="R232" s="44"/>
      <c r="S232" s="43">
        <f t="shared" si="18"/>
        <v>0</v>
      </c>
      <c r="T232" s="43"/>
      <c r="U232" s="4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178</v>
      </c>
      <c r="C233" s="374" t="s">
        <v>22</v>
      </c>
      <c r="D233" s="374"/>
      <c r="E233" s="374" t="s">
        <v>27</v>
      </c>
      <c r="F233" s="232" t="s">
        <v>452</v>
      </c>
      <c r="G233" s="176" t="s">
        <v>24</v>
      </c>
      <c r="H233" s="61">
        <v>8</v>
      </c>
      <c r="I233" s="62">
        <v>7</v>
      </c>
      <c r="J233" s="62">
        <v>7</v>
      </c>
      <c r="K233" s="30">
        <v>7436.01</v>
      </c>
      <c r="L233" s="205">
        <v>5</v>
      </c>
      <c r="M233" s="26">
        <f t="shared" si="17"/>
        <v>5349.73</v>
      </c>
      <c r="N233" s="30">
        <v>5349.73</v>
      </c>
      <c r="O233" s="31"/>
      <c r="P233" s="29">
        <v>1</v>
      </c>
      <c r="Q233" s="30">
        <v>2466.56</v>
      </c>
      <c r="R233" s="205">
        <v>1</v>
      </c>
      <c r="S233" s="26">
        <f t="shared" si="18"/>
        <v>2466.56</v>
      </c>
      <c r="T233" s="30">
        <v>2466.56</v>
      </c>
      <c r="U233" s="3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105"/>
      <c r="G234" s="252" t="s">
        <v>28</v>
      </c>
      <c r="H234" s="106"/>
      <c r="I234" s="38"/>
      <c r="J234" s="38"/>
      <c r="K234" s="39"/>
      <c r="L234" s="40"/>
      <c r="M234" s="39">
        <f t="shared" si="17"/>
        <v>0</v>
      </c>
      <c r="N234" s="39"/>
      <c r="O234" s="41"/>
      <c r="P234" s="69"/>
      <c r="Q234" s="39"/>
      <c r="R234" s="40"/>
      <c r="S234" s="39">
        <f t="shared" si="18"/>
        <v>0</v>
      </c>
      <c r="T234" s="39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445</v>
      </c>
      <c r="C235" s="374"/>
      <c r="D235" s="374"/>
      <c r="E235" s="374" t="s">
        <v>484</v>
      </c>
      <c r="F235" s="72"/>
      <c r="G235" s="176" t="s">
        <v>24</v>
      </c>
      <c r="H235" s="265"/>
      <c r="I235" s="266"/>
      <c r="J235" s="96"/>
      <c r="K235" s="81"/>
      <c r="L235" s="80"/>
      <c r="M235" s="142">
        <f t="shared" si="17"/>
        <v>0</v>
      </c>
      <c r="N235" s="81"/>
      <c r="O235" s="82"/>
      <c r="P235" s="295"/>
      <c r="Q235" s="81"/>
      <c r="R235" s="80"/>
      <c r="S235" s="142">
        <f t="shared" si="18"/>
        <v>0</v>
      </c>
      <c r="T235" s="81"/>
      <c r="U235" s="8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226"/>
      <c r="G236" s="252" t="s">
        <v>28</v>
      </c>
      <c r="H236" s="302">
        <v>1</v>
      </c>
      <c r="I236" s="261"/>
      <c r="J236" s="261"/>
      <c r="K236" s="211"/>
      <c r="L236" s="210"/>
      <c r="M236" s="39">
        <f t="shared" si="17"/>
        <v>0</v>
      </c>
      <c r="N236" s="211"/>
      <c r="O236" s="212"/>
      <c r="P236" s="284"/>
      <c r="Q236" s="211"/>
      <c r="R236" s="210"/>
      <c r="S236" s="39">
        <f t="shared" si="18"/>
        <v>0</v>
      </c>
      <c r="T236" s="211"/>
      <c r="U236" s="21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179</v>
      </c>
      <c r="C237" s="374" t="s">
        <v>471</v>
      </c>
      <c r="D237" s="374" t="s">
        <v>472</v>
      </c>
      <c r="E237" s="374" t="s">
        <v>27</v>
      </c>
      <c r="F237" s="204" t="s">
        <v>473</v>
      </c>
      <c r="G237" s="176" t="s">
        <v>24</v>
      </c>
      <c r="H237" s="61">
        <v>2</v>
      </c>
      <c r="I237" s="25"/>
      <c r="J237" s="25"/>
      <c r="K237" s="26"/>
      <c r="L237" s="27"/>
      <c r="M237" s="26">
        <f t="shared" si="17"/>
        <v>0</v>
      </c>
      <c r="N237" s="26"/>
      <c r="O237" s="28"/>
      <c r="P237" s="29">
        <v>4</v>
      </c>
      <c r="Q237" s="30">
        <v>0</v>
      </c>
      <c r="R237" s="27"/>
      <c r="S237" s="26">
        <f t="shared" si="18"/>
        <v>0</v>
      </c>
      <c r="T237" s="26"/>
      <c r="U237" s="28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105"/>
      <c r="G238" s="229" t="s">
        <v>28</v>
      </c>
      <c r="H238" s="298"/>
      <c r="I238" s="261"/>
      <c r="J238" s="261"/>
      <c r="K238" s="211"/>
      <c r="L238" s="210"/>
      <c r="M238" s="211">
        <f t="shared" si="17"/>
        <v>0</v>
      </c>
      <c r="N238" s="211"/>
      <c r="O238" s="212"/>
      <c r="P238" s="284"/>
      <c r="Q238" s="211"/>
      <c r="R238" s="210"/>
      <c r="S238" s="211">
        <f t="shared" si="18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378</v>
      </c>
      <c r="C239" s="374" t="s">
        <v>46</v>
      </c>
      <c r="D239" s="374" t="s">
        <v>422</v>
      </c>
      <c r="E239" s="374" t="s">
        <v>27</v>
      </c>
      <c r="F239" s="232" t="s">
        <v>423</v>
      </c>
      <c r="G239" s="213" t="s">
        <v>24</v>
      </c>
      <c r="H239" s="61">
        <v>15</v>
      </c>
      <c r="I239" s="62">
        <v>12</v>
      </c>
      <c r="J239" s="62">
        <v>14</v>
      </c>
      <c r="K239" s="30">
        <v>28033.45</v>
      </c>
      <c r="L239" s="205">
        <v>8</v>
      </c>
      <c r="M239" s="26">
        <f t="shared" si="17"/>
        <v>8606.68</v>
      </c>
      <c r="N239" s="30">
        <v>8606.68</v>
      </c>
      <c r="O239" s="28"/>
      <c r="P239" s="214"/>
      <c r="Q239" s="30"/>
      <c r="R239" s="205"/>
      <c r="S239" s="26">
        <f t="shared" si="18"/>
        <v>0</v>
      </c>
      <c r="T239" s="30"/>
      <c r="U239" s="2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220"/>
      <c r="G240" s="215" t="s">
        <v>28</v>
      </c>
      <c r="H240" s="117">
        <v>5</v>
      </c>
      <c r="I240" s="37">
        <v>1</v>
      </c>
      <c r="J240" s="37">
        <v>1</v>
      </c>
      <c r="K240" s="68">
        <v>1152.5999999999999</v>
      </c>
      <c r="L240" s="285">
        <v>1</v>
      </c>
      <c r="M240" s="39">
        <f t="shared" si="17"/>
        <v>1152.5999999999999</v>
      </c>
      <c r="N240" s="39">
        <f>1152.6</f>
        <v>1152.5999999999999</v>
      </c>
      <c r="O240" s="41"/>
      <c r="P240" s="217"/>
      <c r="Q240" s="68"/>
      <c r="R240" s="285"/>
      <c r="S240" s="39">
        <f t="shared" si="18"/>
        <v>0</v>
      </c>
      <c r="T240" s="68"/>
      <c r="U240" s="23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6"/>
      <c r="B241" s="377" t="s">
        <v>180</v>
      </c>
      <c r="C241" s="377" t="s">
        <v>46</v>
      </c>
      <c r="D241" s="377" t="s">
        <v>181</v>
      </c>
      <c r="E241" s="377" t="s">
        <v>27</v>
      </c>
      <c r="F241" s="232" t="s">
        <v>228</v>
      </c>
      <c r="G241" s="95" t="s">
        <v>24</v>
      </c>
      <c r="H241" s="265">
        <v>15</v>
      </c>
      <c r="I241" s="266">
        <v>10</v>
      </c>
      <c r="J241" s="266">
        <v>11</v>
      </c>
      <c r="K241" s="79">
        <v>18573.689999999999</v>
      </c>
      <c r="L241" s="268">
        <v>9</v>
      </c>
      <c r="M241" s="81">
        <f t="shared" si="17"/>
        <v>14947.04</v>
      </c>
      <c r="N241" s="79">
        <v>14947.04</v>
      </c>
      <c r="O241" s="219"/>
      <c r="P241" s="267">
        <v>15</v>
      </c>
      <c r="Q241" s="79">
        <v>67448.800000000003</v>
      </c>
      <c r="R241" s="268">
        <v>15</v>
      </c>
      <c r="S241" s="26">
        <f t="shared" si="18"/>
        <v>67448.800000000003</v>
      </c>
      <c r="T241" s="79">
        <v>67448.800000000003</v>
      </c>
      <c r="U241" s="269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9"/>
      <c r="B242" s="380"/>
      <c r="C242" s="380"/>
      <c r="D242" s="380"/>
      <c r="E242" s="380"/>
      <c r="F242" s="54"/>
      <c r="G242" s="55" t="s">
        <v>28</v>
      </c>
      <c r="H242" s="116"/>
      <c r="I242" s="57"/>
      <c r="J242" s="57"/>
      <c r="K242" s="43"/>
      <c r="L242" s="128"/>
      <c r="M242" s="50">
        <f t="shared" si="17"/>
        <v>0</v>
      </c>
      <c r="N242" s="43"/>
      <c r="O242" s="41"/>
      <c r="P242" s="113">
        <v>3</v>
      </c>
      <c r="Q242" s="114">
        <v>15175.95</v>
      </c>
      <c r="R242" s="270">
        <v>3</v>
      </c>
      <c r="S242" s="43">
        <f t="shared" si="18"/>
        <v>2881.5499999999997</v>
      </c>
      <c r="T242" s="114">
        <f>2209.2+672.35</f>
        <v>2881.5499999999997</v>
      </c>
      <c r="U242" s="4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2"/>
      <c r="B243" s="374" t="s">
        <v>182</v>
      </c>
      <c r="C243" s="374" t="s">
        <v>46</v>
      </c>
      <c r="D243" s="374" t="s">
        <v>181</v>
      </c>
      <c r="E243" s="374" t="s">
        <v>27</v>
      </c>
      <c r="F243" s="204" t="s">
        <v>379</v>
      </c>
      <c r="G243" s="23" t="s">
        <v>24</v>
      </c>
      <c r="H243" s="48">
        <v>18</v>
      </c>
      <c r="I243" s="62">
        <v>18</v>
      </c>
      <c r="J243" s="62">
        <v>20</v>
      </c>
      <c r="K243" s="30">
        <v>27137.19</v>
      </c>
      <c r="L243" s="205">
        <v>19</v>
      </c>
      <c r="M243" s="26">
        <f t="shared" si="17"/>
        <v>26535.09</v>
      </c>
      <c r="N243" s="30">
        <v>26535.09</v>
      </c>
      <c r="O243" s="31"/>
      <c r="P243" s="53">
        <v>12</v>
      </c>
      <c r="Q243" s="30">
        <v>75520.89</v>
      </c>
      <c r="R243" s="205">
        <v>11</v>
      </c>
      <c r="S243" s="26">
        <f t="shared" si="18"/>
        <v>60086.13</v>
      </c>
      <c r="T243" s="30">
        <v>60086.13</v>
      </c>
      <c r="U243" s="100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3"/>
      <c r="B244" s="375"/>
      <c r="C244" s="375"/>
      <c r="D244" s="375"/>
      <c r="E244" s="375"/>
      <c r="F244" s="34"/>
      <c r="G244" s="35" t="s">
        <v>28</v>
      </c>
      <c r="H244" s="116"/>
      <c r="I244" s="38"/>
      <c r="J244" s="38"/>
      <c r="K244" s="39"/>
      <c r="L244" s="40"/>
      <c r="M244" s="39">
        <f t="shared" si="17"/>
        <v>0</v>
      </c>
      <c r="N244" s="39"/>
      <c r="O244" s="41"/>
      <c r="P244" s="115">
        <v>2</v>
      </c>
      <c r="Q244" s="68">
        <v>4418.3</v>
      </c>
      <c r="R244" s="285">
        <v>2</v>
      </c>
      <c r="S244" s="39">
        <f t="shared" si="18"/>
        <v>4418.3</v>
      </c>
      <c r="T244" s="39">
        <f>3073.6+1344.7</f>
        <v>4418.3</v>
      </c>
      <c r="U244" s="41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70"/>
      <c r="B245" s="377" t="s">
        <v>480</v>
      </c>
      <c r="C245" s="377" t="s">
        <v>39</v>
      </c>
      <c r="D245" s="377" t="s">
        <v>481</v>
      </c>
      <c r="E245" s="377"/>
      <c r="F245" s="232"/>
      <c r="G245" s="23" t="s">
        <v>24</v>
      </c>
      <c r="H245" s="48"/>
      <c r="I245" s="266"/>
      <c r="J245" s="266"/>
      <c r="K245" s="79"/>
      <c r="L245" s="268"/>
      <c r="M245" s="142">
        <f t="shared" si="17"/>
        <v>0</v>
      </c>
      <c r="N245" s="79"/>
      <c r="O245" s="82"/>
      <c r="P245" s="267"/>
      <c r="Q245" s="79"/>
      <c r="R245" s="268"/>
      <c r="S245" s="142">
        <f t="shared" si="18"/>
        <v>0</v>
      </c>
      <c r="T245" s="79"/>
      <c r="U245" s="336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55"/>
      <c r="B246" s="375"/>
      <c r="C246" s="375"/>
      <c r="D246" s="375"/>
      <c r="E246" s="375"/>
      <c r="F246" s="356"/>
      <c r="G246" s="35" t="s">
        <v>28</v>
      </c>
      <c r="H246" s="353">
        <v>3</v>
      </c>
      <c r="I246" s="338"/>
      <c r="J246" s="338"/>
      <c r="K246" s="339"/>
      <c r="L246" s="340"/>
      <c r="M246" s="39">
        <f t="shared" si="17"/>
        <v>0</v>
      </c>
      <c r="N246" s="339"/>
      <c r="O246" s="89"/>
      <c r="P246" s="357"/>
      <c r="Q246" s="339"/>
      <c r="R246" s="340"/>
      <c r="S246" s="39">
        <f t="shared" si="18"/>
        <v>0</v>
      </c>
      <c r="T246" s="339"/>
      <c r="U246" s="34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6"/>
      <c r="B247" s="377" t="s">
        <v>183</v>
      </c>
      <c r="C247" s="377" t="s">
        <v>22</v>
      </c>
      <c r="D247" s="377"/>
      <c r="E247" s="377" t="s">
        <v>99</v>
      </c>
      <c r="F247" s="232" t="s">
        <v>380</v>
      </c>
      <c r="G247" s="23" t="s">
        <v>24</v>
      </c>
      <c r="H247" s="265">
        <v>12</v>
      </c>
      <c r="I247" s="266">
        <v>4</v>
      </c>
      <c r="J247" s="266">
        <v>5</v>
      </c>
      <c r="K247" s="79">
        <v>6598</v>
      </c>
      <c r="L247" s="268">
        <v>5</v>
      </c>
      <c r="M247" s="81">
        <f t="shared" si="17"/>
        <v>6598</v>
      </c>
      <c r="N247" s="79">
        <v>6598</v>
      </c>
      <c r="O247" s="219"/>
      <c r="P247" s="267">
        <v>12</v>
      </c>
      <c r="Q247" s="79">
        <v>23530.12</v>
      </c>
      <c r="R247" s="268">
        <v>12</v>
      </c>
      <c r="S247" s="81">
        <f t="shared" si="18"/>
        <v>23530.12</v>
      </c>
      <c r="T247" s="79">
        <v>23530.12</v>
      </c>
      <c r="U247" s="269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9"/>
      <c r="B248" s="380"/>
      <c r="C248" s="380"/>
      <c r="D248" s="380"/>
      <c r="E248" s="380"/>
      <c r="F248" s="233" t="s">
        <v>252</v>
      </c>
      <c r="G248" s="227" t="s">
        <v>28</v>
      </c>
      <c r="H248" s="292">
        <v>9</v>
      </c>
      <c r="I248" s="208">
        <v>1</v>
      </c>
      <c r="J248" s="208">
        <v>1</v>
      </c>
      <c r="K248" s="209">
        <v>3073.6</v>
      </c>
      <c r="L248" s="290">
        <v>2</v>
      </c>
      <c r="M248" s="211">
        <f t="shared" si="17"/>
        <v>4879.8999999999996</v>
      </c>
      <c r="N248" s="211">
        <f>1806.3+3073.6</f>
        <v>4879.8999999999996</v>
      </c>
      <c r="O248" s="212"/>
      <c r="P248" s="262">
        <v>3</v>
      </c>
      <c r="Q248" s="209">
        <v>7185.1</v>
      </c>
      <c r="R248" s="290">
        <v>2</v>
      </c>
      <c r="S248" s="211">
        <f t="shared" si="18"/>
        <v>5378.8</v>
      </c>
      <c r="T248" s="211">
        <f>4034.1+1344.7</f>
        <v>5378.8</v>
      </c>
      <c r="U248" s="21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2"/>
      <c r="B249" s="374" t="s">
        <v>425</v>
      </c>
      <c r="C249" s="374" t="s">
        <v>22</v>
      </c>
      <c r="D249" s="374"/>
      <c r="E249" s="374" t="s">
        <v>131</v>
      </c>
      <c r="F249" s="204" t="s">
        <v>426</v>
      </c>
      <c r="G249" s="176" t="s">
        <v>24</v>
      </c>
      <c r="H249" s="61">
        <v>11</v>
      </c>
      <c r="I249" s="62">
        <v>7</v>
      </c>
      <c r="J249" s="62">
        <v>10</v>
      </c>
      <c r="K249" s="30">
        <v>11857.32</v>
      </c>
      <c r="L249" s="205">
        <v>6</v>
      </c>
      <c r="M249" s="26">
        <f t="shared" si="17"/>
        <v>7502.13</v>
      </c>
      <c r="N249" s="30">
        <v>7502.13</v>
      </c>
      <c r="O249" s="28"/>
      <c r="P249" s="275"/>
      <c r="Q249" s="26"/>
      <c r="R249" s="27"/>
      <c r="S249" s="26">
        <f t="shared" si="18"/>
        <v>0</v>
      </c>
      <c r="T249" s="26"/>
      <c r="U249" s="28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3"/>
      <c r="B250" s="375"/>
      <c r="C250" s="375"/>
      <c r="D250" s="375"/>
      <c r="E250" s="375"/>
      <c r="F250" s="34"/>
      <c r="G250" s="229" t="s">
        <v>25</v>
      </c>
      <c r="H250" s="106"/>
      <c r="I250" s="38"/>
      <c r="J250" s="38"/>
      <c r="K250" s="39"/>
      <c r="L250" s="40"/>
      <c r="M250" s="39">
        <f t="shared" si="17"/>
        <v>0</v>
      </c>
      <c r="N250" s="39"/>
      <c r="O250" s="41"/>
      <c r="P250" s="276"/>
      <c r="Q250" s="39"/>
      <c r="R250" s="40"/>
      <c r="S250" s="39">
        <f t="shared" si="18"/>
        <v>0</v>
      </c>
      <c r="T250" s="39"/>
      <c r="U250" s="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6"/>
      <c r="B251" s="377" t="s">
        <v>184</v>
      </c>
      <c r="C251" s="377" t="s">
        <v>22</v>
      </c>
      <c r="D251" s="377"/>
      <c r="E251" s="377" t="s">
        <v>27</v>
      </c>
      <c r="F251" s="223" t="s">
        <v>453</v>
      </c>
      <c r="G251" s="95" t="s">
        <v>24</v>
      </c>
      <c r="H251" s="265">
        <v>2</v>
      </c>
      <c r="I251" s="266">
        <v>2</v>
      </c>
      <c r="J251" s="266">
        <v>2</v>
      </c>
      <c r="K251" s="79">
        <v>3158.6</v>
      </c>
      <c r="L251" s="268">
        <v>2</v>
      </c>
      <c r="M251" s="81">
        <f t="shared" si="17"/>
        <v>3158.6</v>
      </c>
      <c r="N251" s="79">
        <v>3158.6</v>
      </c>
      <c r="O251" s="219"/>
      <c r="P251" s="277"/>
      <c r="Q251" s="81"/>
      <c r="R251" s="80"/>
      <c r="S251" s="81">
        <f t="shared" si="18"/>
        <v>0</v>
      </c>
      <c r="T251" s="81"/>
      <c r="U251" s="219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9"/>
      <c r="B252" s="380"/>
      <c r="C252" s="380"/>
      <c r="D252" s="380"/>
      <c r="E252" s="380"/>
      <c r="F252" s="233" t="s">
        <v>253</v>
      </c>
      <c r="G252" s="227" t="s">
        <v>28</v>
      </c>
      <c r="H252" s="153">
        <v>4</v>
      </c>
      <c r="I252" s="130">
        <v>3</v>
      </c>
      <c r="J252" s="130">
        <v>3</v>
      </c>
      <c r="K252" s="114">
        <v>8675.82</v>
      </c>
      <c r="L252" s="270">
        <v>3</v>
      </c>
      <c r="M252" s="43">
        <f t="shared" si="17"/>
        <v>9275.82</v>
      </c>
      <c r="N252" s="43">
        <f>1921+3380.96+3973.86</f>
        <v>9275.82</v>
      </c>
      <c r="O252" s="41"/>
      <c r="P252" s="113">
        <v>5</v>
      </c>
      <c r="Q252" s="114">
        <v>10565.5</v>
      </c>
      <c r="R252" s="270">
        <v>4</v>
      </c>
      <c r="S252" s="43">
        <f t="shared" si="18"/>
        <v>9989.2000000000007</v>
      </c>
      <c r="T252" s="114">
        <f>2958.34+3457.8+1267.86+2305.2</f>
        <v>9989.2000000000007</v>
      </c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2"/>
      <c r="B253" s="374" t="s">
        <v>185</v>
      </c>
      <c r="C253" s="374" t="s">
        <v>22</v>
      </c>
      <c r="D253" s="374"/>
      <c r="E253" s="374" t="s">
        <v>27</v>
      </c>
      <c r="F253" s="204" t="s">
        <v>341</v>
      </c>
      <c r="G253" s="176" t="s">
        <v>24</v>
      </c>
      <c r="H253" s="98"/>
      <c r="I253" s="25"/>
      <c r="J253" s="25"/>
      <c r="K253" s="26"/>
      <c r="L253" s="27"/>
      <c r="M253" s="26">
        <f t="shared" si="17"/>
        <v>0</v>
      </c>
      <c r="N253" s="26"/>
      <c r="O253" s="31"/>
      <c r="P253" s="53">
        <v>2</v>
      </c>
      <c r="Q253" s="30">
        <v>2633.4</v>
      </c>
      <c r="R253" s="205">
        <v>2</v>
      </c>
      <c r="S253" s="26">
        <f t="shared" si="18"/>
        <v>2633.4</v>
      </c>
      <c r="T253" s="30">
        <v>2633.4</v>
      </c>
      <c r="U253" s="225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3"/>
      <c r="B254" s="375"/>
      <c r="C254" s="375"/>
      <c r="D254" s="375"/>
      <c r="E254" s="375"/>
      <c r="F254" s="220" t="s">
        <v>342</v>
      </c>
      <c r="G254" s="229" t="s">
        <v>28</v>
      </c>
      <c r="H254" s="133">
        <v>4</v>
      </c>
      <c r="I254" s="57"/>
      <c r="J254" s="57"/>
      <c r="K254" s="43"/>
      <c r="L254" s="44"/>
      <c r="M254" s="43">
        <f t="shared" si="17"/>
        <v>0</v>
      </c>
      <c r="N254" s="43"/>
      <c r="O254" s="41"/>
      <c r="P254" s="113">
        <v>3</v>
      </c>
      <c r="Q254" s="114">
        <v>15773.67</v>
      </c>
      <c r="R254" s="270">
        <v>3</v>
      </c>
      <c r="S254" s="43">
        <f t="shared" si="18"/>
        <v>15773.67</v>
      </c>
      <c r="T254" s="43">
        <f>2994.47+1204.2+11575</f>
        <v>15773.67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2"/>
      <c r="B255" s="374" t="s">
        <v>186</v>
      </c>
      <c r="C255" s="374" t="s">
        <v>22</v>
      </c>
      <c r="D255" s="374"/>
      <c r="E255" s="374" t="s">
        <v>99</v>
      </c>
      <c r="F255" s="232" t="s">
        <v>315</v>
      </c>
      <c r="G255" s="23" t="s">
        <v>24</v>
      </c>
      <c r="H255" s="48">
        <v>13</v>
      </c>
      <c r="I255" s="62">
        <v>6</v>
      </c>
      <c r="J255" s="62">
        <v>9</v>
      </c>
      <c r="K255" s="30">
        <v>20964.32</v>
      </c>
      <c r="L255" s="205">
        <v>8</v>
      </c>
      <c r="M255" s="26">
        <f t="shared" si="17"/>
        <v>19970.849999999999</v>
      </c>
      <c r="N255" s="30">
        <v>19970.849999999999</v>
      </c>
      <c r="O255" s="31"/>
      <c r="P255" s="53">
        <v>13</v>
      </c>
      <c r="Q255" s="30">
        <v>34864.89</v>
      </c>
      <c r="R255" s="205">
        <v>13</v>
      </c>
      <c r="S255" s="26">
        <f t="shared" si="18"/>
        <v>34864.89</v>
      </c>
      <c r="T255" s="30">
        <v>34864.89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254</v>
      </c>
      <c r="G256" s="35" t="s">
        <v>28</v>
      </c>
      <c r="H256" s="153">
        <v>9</v>
      </c>
      <c r="I256" s="38"/>
      <c r="J256" s="38"/>
      <c r="K256" s="39"/>
      <c r="L256" s="40"/>
      <c r="M256" s="39">
        <f t="shared" si="17"/>
        <v>0</v>
      </c>
      <c r="N256" s="39"/>
      <c r="O256" s="41"/>
      <c r="P256" s="59"/>
      <c r="Q256" s="39"/>
      <c r="R256" s="40"/>
      <c r="S256" s="39">
        <f t="shared" si="18"/>
        <v>0</v>
      </c>
      <c r="T256" s="39"/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82"/>
      <c r="B257" s="381" t="s">
        <v>187</v>
      </c>
      <c r="C257" s="381" t="s">
        <v>22</v>
      </c>
      <c r="D257" s="381"/>
      <c r="E257" s="381" t="s">
        <v>131</v>
      </c>
      <c r="F257" s="223" t="s">
        <v>343</v>
      </c>
      <c r="G257" s="23" t="s">
        <v>24</v>
      </c>
      <c r="H257" s="48">
        <v>17</v>
      </c>
      <c r="I257" s="203">
        <v>12</v>
      </c>
      <c r="J257" s="203">
        <v>17</v>
      </c>
      <c r="K257" s="65">
        <v>33407.07</v>
      </c>
      <c r="L257" s="224">
        <v>17</v>
      </c>
      <c r="M257" s="50">
        <f t="shared" si="17"/>
        <v>33407.07</v>
      </c>
      <c r="N257" s="65">
        <v>33407.07</v>
      </c>
      <c r="O257" s="225"/>
      <c r="P257" s="108">
        <v>18</v>
      </c>
      <c r="Q257" s="65">
        <v>50634.13</v>
      </c>
      <c r="R257" s="224">
        <v>18</v>
      </c>
      <c r="S257" s="50">
        <f t="shared" si="18"/>
        <v>50634.13</v>
      </c>
      <c r="T257" s="65">
        <v>50634.13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9"/>
      <c r="B258" s="380"/>
      <c r="C258" s="380"/>
      <c r="D258" s="380"/>
      <c r="E258" s="380"/>
      <c r="F258" s="247"/>
      <c r="G258" s="227" t="s">
        <v>25</v>
      </c>
      <c r="H258" s="153">
        <v>3</v>
      </c>
      <c r="I258" s="130">
        <v>1</v>
      </c>
      <c r="J258" s="130">
        <v>1</v>
      </c>
      <c r="K258" s="114">
        <v>1728.9</v>
      </c>
      <c r="L258" s="270">
        <v>1</v>
      </c>
      <c r="M258" s="114">
        <v>1728.9</v>
      </c>
      <c r="N258" s="114">
        <v>1728.9</v>
      </c>
      <c r="O258" s="41"/>
      <c r="P258" s="113">
        <v>4</v>
      </c>
      <c r="Q258" s="114">
        <v>30582.32</v>
      </c>
      <c r="R258" s="270">
        <v>4</v>
      </c>
      <c r="S258" s="114">
        <v>30582.32</v>
      </c>
      <c r="T258" s="114">
        <v>30582.32</v>
      </c>
      <c r="U258" s="2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2"/>
      <c r="B259" s="374" t="s">
        <v>429</v>
      </c>
      <c r="C259" s="374" t="s">
        <v>22</v>
      </c>
      <c r="D259" s="374"/>
      <c r="E259" s="374" t="s">
        <v>27</v>
      </c>
      <c r="F259" s="204" t="s">
        <v>446</v>
      </c>
      <c r="G259" s="176" t="s">
        <v>24</v>
      </c>
      <c r="H259" s="151"/>
      <c r="I259" s="25"/>
      <c r="J259" s="25"/>
      <c r="K259" s="26"/>
      <c r="L259" s="27"/>
      <c r="M259" s="26">
        <f t="shared" ref="M259:M292" si="19">N259+O259</f>
        <v>0</v>
      </c>
      <c r="N259" s="30"/>
      <c r="O259" s="31"/>
      <c r="P259" s="53">
        <v>1</v>
      </c>
      <c r="Q259" s="30">
        <v>36784.050000000003</v>
      </c>
      <c r="R259" s="205">
        <v>1</v>
      </c>
      <c r="S259" s="26">
        <f t="shared" ref="S259:S285" si="20">T259+U259</f>
        <v>36784.050000000003</v>
      </c>
      <c r="T259" s="30">
        <v>36784.050000000003</v>
      </c>
      <c r="U259" s="3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/>
      <c r="G260" s="229" t="s">
        <v>28</v>
      </c>
      <c r="H260" s="133"/>
      <c r="I260" s="57"/>
      <c r="J260" s="57"/>
      <c r="K260" s="43"/>
      <c r="L260" s="44"/>
      <c r="M260" s="43">
        <f t="shared" si="19"/>
        <v>0</v>
      </c>
      <c r="N260" s="43"/>
      <c r="O260" s="41"/>
      <c r="P260" s="113"/>
      <c r="Q260" s="114"/>
      <c r="R260" s="44"/>
      <c r="S260" s="43">
        <f t="shared" si="20"/>
        <v>0</v>
      </c>
      <c r="T260" s="114"/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188</v>
      </c>
      <c r="C261" s="374" t="s">
        <v>39</v>
      </c>
      <c r="D261" s="374" t="s">
        <v>474</v>
      </c>
      <c r="E261" s="374" t="s">
        <v>27</v>
      </c>
      <c r="F261" s="358" t="s">
        <v>482</v>
      </c>
      <c r="G261" s="176" t="s">
        <v>24</v>
      </c>
      <c r="H261" s="281">
        <v>3</v>
      </c>
      <c r="I261" s="62">
        <v>1</v>
      </c>
      <c r="J261" s="62">
        <v>2</v>
      </c>
      <c r="K261" s="30">
        <v>642.24</v>
      </c>
      <c r="L261" s="205">
        <v>1</v>
      </c>
      <c r="M261" s="26">
        <f t="shared" si="19"/>
        <v>642.24</v>
      </c>
      <c r="N261" s="30">
        <v>642.24</v>
      </c>
      <c r="O261" s="219"/>
      <c r="P261" s="53">
        <v>2</v>
      </c>
      <c r="Q261" s="30">
        <v>3649.9</v>
      </c>
      <c r="R261" s="205">
        <v>1</v>
      </c>
      <c r="S261" s="26">
        <f t="shared" si="20"/>
        <v>3649.9</v>
      </c>
      <c r="T261" s="30">
        <v>3649.9</v>
      </c>
      <c r="U261" s="219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20.25" customHeight="1">
      <c r="A262" s="373"/>
      <c r="B262" s="375"/>
      <c r="C262" s="375"/>
      <c r="D262" s="375"/>
      <c r="E262" s="375"/>
      <c r="F262" s="220" t="s">
        <v>344</v>
      </c>
      <c r="G262" s="229" t="s">
        <v>28</v>
      </c>
      <c r="H262" s="56">
        <v>3</v>
      </c>
      <c r="I262" s="130">
        <v>1</v>
      </c>
      <c r="J262" s="130">
        <v>1</v>
      </c>
      <c r="K262" s="114">
        <v>1052.5999999999999</v>
      </c>
      <c r="L262" s="44"/>
      <c r="M262" s="43">
        <f t="shared" si="19"/>
        <v>0</v>
      </c>
      <c r="N262" s="43"/>
      <c r="O262" s="222">
        <v>0</v>
      </c>
      <c r="P262" s="113">
        <v>18</v>
      </c>
      <c r="Q262" s="114">
        <v>28406.3</v>
      </c>
      <c r="R262" s="44"/>
      <c r="S262" s="43">
        <f t="shared" si="20"/>
        <v>4050.2</v>
      </c>
      <c r="T262" s="114">
        <v>4050.2</v>
      </c>
      <c r="U262" s="222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189</v>
      </c>
      <c r="C263" s="374" t="s">
        <v>39</v>
      </c>
      <c r="D263" s="374" t="s">
        <v>427</v>
      </c>
      <c r="E263" s="374" t="s">
        <v>27</v>
      </c>
      <c r="F263" s="232" t="s">
        <v>428</v>
      </c>
      <c r="G263" s="23" t="s">
        <v>24</v>
      </c>
      <c r="H263" s="24">
        <v>16</v>
      </c>
      <c r="I263" s="62">
        <v>12</v>
      </c>
      <c r="J263" s="62">
        <v>16</v>
      </c>
      <c r="K263" s="30">
        <v>30275.46</v>
      </c>
      <c r="L263" s="205">
        <v>16</v>
      </c>
      <c r="M263" s="26">
        <f t="shared" si="19"/>
        <v>30275.46</v>
      </c>
      <c r="N263" s="30">
        <v>30275.46</v>
      </c>
      <c r="O263" s="241"/>
      <c r="P263" s="29">
        <v>2</v>
      </c>
      <c r="Q263" s="30">
        <v>1870.81</v>
      </c>
      <c r="R263" s="205">
        <v>2</v>
      </c>
      <c r="S263" s="26">
        <f t="shared" si="20"/>
        <v>1870.81</v>
      </c>
      <c r="T263" s="30">
        <v>1870.81</v>
      </c>
      <c r="U263" s="2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3"/>
      <c r="B264" s="375"/>
      <c r="C264" s="375"/>
      <c r="D264" s="375"/>
      <c r="E264" s="375"/>
      <c r="F264" s="220" t="s">
        <v>256</v>
      </c>
      <c r="G264" s="35" t="s">
        <v>28</v>
      </c>
      <c r="H264" s="66">
        <v>5</v>
      </c>
      <c r="I264" s="37">
        <v>1</v>
      </c>
      <c r="J264" s="37">
        <v>1</v>
      </c>
      <c r="K264" s="68">
        <v>1921</v>
      </c>
      <c r="L264" s="285">
        <v>1</v>
      </c>
      <c r="M264" s="39">
        <f t="shared" si="19"/>
        <v>1921</v>
      </c>
      <c r="N264" s="39">
        <f>1921</f>
        <v>1921</v>
      </c>
      <c r="O264" s="41"/>
      <c r="P264" s="69"/>
      <c r="Q264" s="39"/>
      <c r="R264" s="40"/>
      <c r="S264" s="39">
        <f t="shared" si="20"/>
        <v>0</v>
      </c>
      <c r="T264" s="39"/>
      <c r="U264" s="41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82"/>
      <c r="B265" s="381" t="s">
        <v>190</v>
      </c>
      <c r="C265" s="381" t="s">
        <v>39</v>
      </c>
      <c r="D265" s="381" t="s">
        <v>191</v>
      </c>
      <c r="E265" s="381" t="s">
        <v>27</v>
      </c>
      <c r="F265" s="46"/>
      <c r="G265" s="47" t="s">
        <v>24</v>
      </c>
      <c r="H265" s="98"/>
      <c r="I265" s="49"/>
      <c r="J265" s="49"/>
      <c r="K265" s="50"/>
      <c r="L265" s="51"/>
      <c r="M265" s="50">
        <f t="shared" si="19"/>
        <v>0</v>
      </c>
      <c r="N265" s="50"/>
      <c r="O265" s="31"/>
      <c r="P265" s="123"/>
      <c r="Q265" s="50"/>
      <c r="R265" s="51"/>
      <c r="S265" s="50">
        <f t="shared" si="20"/>
        <v>0</v>
      </c>
      <c r="T265" s="50"/>
      <c r="U265" s="3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345</v>
      </c>
      <c r="G266" s="35" t="s">
        <v>28</v>
      </c>
      <c r="H266" s="112">
        <v>2</v>
      </c>
      <c r="I266" s="57"/>
      <c r="J266" s="57"/>
      <c r="K266" s="43"/>
      <c r="L266" s="44"/>
      <c r="M266" s="43">
        <f t="shared" si="19"/>
        <v>0</v>
      </c>
      <c r="N266" s="43"/>
      <c r="O266" s="45"/>
      <c r="P266" s="115">
        <v>4</v>
      </c>
      <c r="Q266" s="68">
        <v>5106.7</v>
      </c>
      <c r="R266" s="285">
        <v>5</v>
      </c>
      <c r="S266" s="39">
        <f t="shared" si="20"/>
        <v>6739.58</v>
      </c>
      <c r="T266" s="68">
        <f>3818+2921.58</f>
        <v>6739.58</v>
      </c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192</v>
      </c>
      <c r="C267" s="374" t="s">
        <v>22</v>
      </c>
      <c r="D267" s="374"/>
      <c r="E267" s="374" t="s">
        <v>193</v>
      </c>
      <c r="F267" s="204" t="s">
        <v>318</v>
      </c>
      <c r="G267" s="176" t="s">
        <v>24</v>
      </c>
      <c r="H267" s="61">
        <v>20</v>
      </c>
      <c r="I267" s="62">
        <v>19</v>
      </c>
      <c r="J267" s="62">
        <v>21</v>
      </c>
      <c r="K267" s="30">
        <v>31160.87</v>
      </c>
      <c r="L267" s="205">
        <v>17</v>
      </c>
      <c r="M267" s="26">
        <f t="shared" si="19"/>
        <v>18277.259999999998</v>
      </c>
      <c r="N267" s="30">
        <v>18277.259999999998</v>
      </c>
      <c r="O267" s="100"/>
      <c r="P267" s="64">
        <v>20</v>
      </c>
      <c r="Q267" s="65">
        <v>52584.43</v>
      </c>
      <c r="R267" s="224">
        <v>20</v>
      </c>
      <c r="S267" s="50">
        <f t="shared" si="20"/>
        <v>52584.43</v>
      </c>
      <c r="T267" s="65">
        <v>52584.43</v>
      </c>
      <c r="U267" s="225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346</v>
      </c>
      <c r="G268" s="229" t="s">
        <v>28</v>
      </c>
      <c r="H268" s="133">
        <v>1</v>
      </c>
      <c r="I268" s="37">
        <v>1</v>
      </c>
      <c r="J268" s="37">
        <v>1</v>
      </c>
      <c r="K268" s="68">
        <v>1728.9</v>
      </c>
      <c r="L268" s="285">
        <v>1</v>
      </c>
      <c r="M268" s="39">
        <f t="shared" si="19"/>
        <v>1728.9</v>
      </c>
      <c r="N268" s="39">
        <f>1728.9</f>
        <v>1728.9</v>
      </c>
      <c r="O268" s="41"/>
      <c r="P268" s="42"/>
      <c r="Q268" s="43"/>
      <c r="R268" s="44"/>
      <c r="S268" s="43">
        <f t="shared" si="20"/>
        <v>0</v>
      </c>
      <c r="T268" s="43"/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194</v>
      </c>
      <c r="C269" s="377" t="s">
        <v>39</v>
      </c>
      <c r="D269" s="377" t="s">
        <v>319</v>
      </c>
      <c r="E269" s="374" t="s">
        <v>160</v>
      </c>
      <c r="F269" s="232" t="s">
        <v>320</v>
      </c>
      <c r="G269" s="23" t="s">
        <v>24</v>
      </c>
      <c r="H269" s="48">
        <v>6</v>
      </c>
      <c r="I269" s="203">
        <v>5</v>
      </c>
      <c r="J269" s="203">
        <v>5</v>
      </c>
      <c r="K269" s="65">
        <v>5617.57</v>
      </c>
      <c r="L269" s="316">
        <v>5</v>
      </c>
      <c r="M269" s="129">
        <f t="shared" si="19"/>
        <v>5617.57</v>
      </c>
      <c r="N269" s="65">
        <v>5617.57</v>
      </c>
      <c r="O269" s="225"/>
      <c r="P269" s="29">
        <v>3</v>
      </c>
      <c r="Q269" s="30">
        <v>6107.21</v>
      </c>
      <c r="R269" s="205">
        <v>3</v>
      </c>
      <c r="S269" s="26">
        <f t="shared" si="20"/>
        <v>6107.21</v>
      </c>
      <c r="T269" s="30">
        <v>6107.21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347</v>
      </c>
      <c r="G270" s="35" t="s">
        <v>28</v>
      </c>
      <c r="H270" s="117">
        <v>5</v>
      </c>
      <c r="I270" s="37"/>
      <c r="J270" s="37"/>
      <c r="K270" s="39"/>
      <c r="L270" s="44"/>
      <c r="M270" s="43">
        <f t="shared" si="19"/>
        <v>0</v>
      </c>
      <c r="N270" s="39"/>
      <c r="O270" s="41"/>
      <c r="P270" s="37">
        <v>8</v>
      </c>
      <c r="Q270" s="37">
        <v>21038.49</v>
      </c>
      <c r="R270" s="285">
        <v>8</v>
      </c>
      <c r="S270" s="39">
        <f t="shared" si="20"/>
        <v>16625.88</v>
      </c>
      <c r="T270" s="68">
        <f>576.3+4045.34+3273.6+633.93+602.1+2709.45+4454+331.16</f>
        <v>16625.88</v>
      </c>
      <c r="U270" s="2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82"/>
      <c r="B271" s="381" t="s">
        <v>195</v>
      </c>
      <c r="C271" s="377" t="s">
        <v>39</v>
      </c>
      <c r="D271" s="377" t="s">
        <v>231</v>
      </c>
      <c r="E271" s="381" t="s">
        <v>27</v>
      </c>
      <c r="F271" s="204" t="s">
        <v>232</v>
      </c>
      <c r="G271" s="47" t="s">
        <v>24</v>
      </c>
      <c r="H271" s="61">
        <v>3</v>
      </c>
      <c r="I271" s="25"/>
      <c r="J271" s="25"/>
      <c r="K271" s="26"/>
      <c r="L271" s="205"/>
      <c r="M271" s="26">
        <f t="shared" si="19"/>
        <v>0</v>
      </c>
      <c r="N271" s="26"/>
      <c r="O271" s="31"/>
      <c r="P271" s="64">
        <v>7</v>
      </c>
      <c r="Q271" s="65">
        <v>46859.35</v>
      </c>
      <c r="R271" s="224">
        <v>7</v>
      </c>
      <c r="S271" s="50">
        <f t="shared" si="20"/>
        <v>46859.35</v>
      </c>
      <c r="T271" s="65">
        <v>46859.35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1" t="s">
        <v>260</v>
      </c>
      <c r="G272" s="55" t="s">
        <v>28</v>
      </c>
      <c r="H272" s="178">
        <v>7</v>
      </c>
      <c r="I272" s="130">
        <v>3</v>
      </c>
      <c r="J272" s="130">
        <v>3</v>
      </c>
      <c r="K272" s="114">
        <v>8620.94</v>
      </c>
      <c r="L272" s="270">
        <v>3</v>
      </c>
      <c r="M272" s="43">
        <f t="shared" si="19"/>
        <v>8620.94</v>
      </c>
      <c r="N272" s="43">
        <f>1152.6+845.24+6623.1</f>
        <v>8620.94</v>
      </c>
      <c r="O272" s="222"/>
      <c r="P272" s="130">
        <v>8</v>
      </c>
      <c r="Q272" s="130">
        <v>26713.45</v>
      </c>
      <c r="R272" s="270">
        <v>10</v>
      </c>
      <c r="S272" s="43">
        <f t="shared" si="20"/>
        <v>34770.1</v>
      </c>
      <c r="T272" s="114">
        <f>4994.6+12678.6+576.3+6915.6+6915.6+576.3+2113.1</f>
        <v>34770.1</v>
      </c>
      <c r="U272" s="22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196</v>
      </c>
      <c r="C273" s="381" t="s">
        <v>22</v>
      </c>
      <c r="D273" s="374"/>
      <c r="E273" s="381" t="s">
        <v>27</v>
      </c>
      <c r="F273" s="22"/>
      <c r="G273" s="23" t="s">
        <v>24</v>
      </c>
      <c r="H273" s="119"/>
      <c r="I273" s="25"/>
      <c r="J273" s="25"/>
      <c r="K273" s="26"/>
      <c r="L273" s="27"/>
      <c r="M273" s="26">
        <f t="shared" si="19"/>
        <v>0</v>
      </c>
      <c r="N273" s="26"/>
      <c r="O273" s="28"/>
      <c r="P273" s="120"/>
      <c r="Q273" s="26"/>
      <c r="R273" s="27"/>
      <c r="S273" s="26">
        <f t="shared" si="20"/>
        <v>0</v>
      </c>
      <c r="T273" s="26"/>
      <c r="U273" s="28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348</v>
      </c>
      <c r="G274" s="35" t="s">
        <v>28</v>
      </c>
      <c r="H274" s="66">
        <v>9</v>
      </c>
      <c r="I274" s="38"/>
      <c r="J274" s="38"/>
      <c r="K274" s="39"/>
      <c r="L274" s="40"/>
      <c r="M274" s="39">
        <f t="shared" si="19"/>
        <v>0</v>
      </c>
      <c r="N274" s="39"/>
      <c r="O274" s="41"/>
      <c r="P274" s="67">
        <v>4</v>
      </c>
      <c r="Q274" s="68">
        <v>11282.42</v>
      </c>
      <c r="R274" s="285">
        <v>4</v>
      </c>
      <c r="S274" s="39">
        <f t="shared" si="20"/>
        <v>11576</v>
      </c>
      <c r="T274" s="39">
        <f>2547.3+4226.2+2881.5+1921</f>
        <v>11576</v>
      </c>
      <c r="U274" s="4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82"/>
      <c r="B275" s="381" t="s">
        <v>197</v>
      </c>
      <c r="C275" s="381" t="s">
        <v>39</v>
      </c>
      <c r="D275" s="381" t="s">
        <v>381</v>
      </c>
      <c r="E275" s="381" t="s">
        <v>27</v>
      </c>
      <c r="F275" s="204" t="s">
        <v>382</v>
      </c>
      <c r="G275" s="47" t="s">
        <v>24</v>
      </c>
      <c r="H275" s="98"/>
      <c r="I275" s="49"/>
      <c r="J275" s="49"/>
      <c r="K275" s="50"/>
      <c r="L275" s="51"/>
      <c r="M275" s="50">
        <f t="shared" si="19"/>
        <v>0</v>
      </c>
      <c r="N275" s="50"/>
      <c r="O275" s="31"/>
      <c r="P275" s="108">
        <v>1</v>
      </c>
      <c r="Q275" s="65">
        <v>748.24</v>
      </c>
      <c r="R275" s="224">
        <v>1</v>
      </c>
      <c r="S275" s="50">
        <f t="shared" si="20"/>
        <v>748.24</v>
      </c>
      <c r="T275" s="65">
        <v>748.24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9"/>
      <c r="B276" s="380"/>
      <c r="C276" s="380"/>
      <c r="D276" s="380"/>
      <c r="E276" s="380"/>
      <c r="F276" s="221" t="s">
        <v>349</v>
      </c>
      <c r="G276" s="55" t="s">
        <v>28</v>
      </c>
      <c r="H276" s="153">
        <v>6</v>
      </c>
      <c r="I276" s="130">
        <v>2</v>
      </c>
      <c r="J276" s="130">
        <v>2</v>
      </c>
      <c r="K276" s="114">
        <v>3265.7</v>
      </c>
      <c r="L276" s="270">
        <v>2</v>
      </c>
      <c r="M276" s="43">
        <f t="shared" si="19"/>
        <v>2977.55</v>
      </c>
      <c r="N276" s="43">
        <f>1056.55+1921</f>
        <v>2977.55</v>
      </c>
      <c r="O276" s="41"/>
      <c r="P276" s="103"/>
      <c r="Q276" s="43"/>
      <c r="R276" s="270">
        <v>2</v>
      </c>
      <c r="S276" s="43">
        <f t="shared" si="20"/>
        <v>3765.16</v>
      </c>
      <c r="T276" s="114">
        <f>1440.75+2324.41</f>
        <v>3765.16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2"/>
      <c r="B277" s="374" t="s">
        <v>198</v>
      </c>
      <c r="C277" s="374" t="s">
        <v>39</v>
      </c>
      <c r="D277" s="374" t="s">
        <v>469</v>
      </c>
      <c r="E277" s="374" t="s">
        <v>112</v>
      </c>
      <c r="F277" s="204" t="s">
        <v>470</v>
      </c>
      <c r="G277" s="23" t="s">
        <v>24</v>
      </c>
      <c r="H277" s="48">
        <v>10</v>
      </c>
      <c r="I277" s="62">
        <v>9</v>
      </c>
      <c r="J277" s="62">
        <v>9</v>
      </c>
      <c r="K277" s="30">
        <v>9703.07</v>
      </c>
      <c r="L277" s="205">
        <v>7</v>
      </c>
      <c r="M277" s="26">
        <f t="shared" si="19"/>
        <v>4666.33</v>
      </c>
      <c r="N277" s="30">
        <v>4666.33</v>
      </c>
      <c r="O277" s="31"/>
      <c r="P277" s="53">
        <v>13</v>
      </c>
      <c r="Q277" s="30">
        <v>48930.55</v>
      </c>
      <c r="R277" s="205">
        <v>13</v>
      </c>
      <c r="S277" s="26">
        <f t="shared" si="20"/>
        <v>48930.55</v>
      </c>
      <c r="T277" s="30">
        <v>48930.55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0" t="s">
        <v>350</v>
      </c>
      <c r="G278" s="35" t="s">
        <v>28</v>
      </c>
      <c r="H278" s="153">
        <v>3</v>
      </c>
      <c r="I278" s="37">
        <v>1</v>
      </c>
      <c r="J278" s="37">
        <v>1</v>
      </c>
      <c r="K278" s="68">
        <v>602.1</v>
      </c>
      <c r="L278" s="285">
        <v>1</v>
      </c>
      <c r="M278" s="39">
        <f t="shared" si="19"/>
        <v>602.1</v>
      </c>
      <c r="N278" s="39">
        <f>602.1</f>
        <v>602.1</v>
      </c>
      <c r="O278" s="41"/>
      <c r="P278" s="59"/>
      <c r="Q278" s="39"/>
      <c r="R278" s="40"/>
      <c r="S278" s="39">
        <f t="shared" si="20"/>
        <v>0</v>
      </c>
      <c r="T278" s="39"/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82"/>
      <c r="B279" s="381" t="s">
        <v>199</v>
      </c>
      <c r="C279" s="381" t="s">
        <v>22</v>
      </c>
      <c r="D279" s="381"/>
      <c r="E279" s="381" t="s">
        <v>131</v>
      </c>
      <c r="F279" s="46"/>
      <c r="G279" s="23" t="s">
        <v>24</v>
      </c>
      <c r="H279" s="98"/>
      <c r="I279" s="49"/>
      <c r="J279" s="49"/>
      <c r="K279" s="50"/>
      <c r="L279" s="51"/>
      <c r="M279" s="50">
        <f t="shared" si="19"/>
        <v>0</v>
      </c>
      <c r="N279" s="50"/>
      <c r="O279" s="31"/>
      <c r="P279" s="123"/>
      <c r="Q279" s="50"/>
      <c r="R279" s="51"/>
      <c r="S279" s="50">
        <f t="shared" si="20"/>
        <v>0</v>
      </c>
      <c r="T279" s="50"/>
      <c r="U279" s="3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9"/>
      <c r="B280" s="380"/>
      <c r="C280" s="380"/>
      <c r="D280" s="380"/>
      <c r="E280" s="380"/>
      <c r="F280" s="126"/>
      <c r="G280" s="55" t="s">
        <v>25</v>
      </c>
      <c r="H280" s="118"/>
      <c r="I280" s="57"/>
      <c r="J280" s="57"/>
      <c r="K280" s="43"/>
      <c r="L280" s="44"/>
      <c r="M280" s="43">
        <f t="shared" si="19"/>
        <v>0</v>
      </c>
      <c r="N280" s="43"/>
      <c r="O280" s="41"/>
      <c r="P280" s="103"/>
      <c r="Q280" s="43"/>
      <c r="R280" s="44"/>
      <c r="S280" s="43">
        <f t="shared" si="20"/>
        <v>0</v>
      </c>
      <c r="T280" s="43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2"/>
      <c r="B281" s="374" t="s">
        <v>200</v>
      </c>
      <c r="C281" s="374" t="s">
        <v>39</v>
      </c>
      <c r="D281" s="374" t="s">
        <v>456</v>
      </c>
      <c r="E281" s="374" t="s">
        <v>27</v>
      </c>
      <c r="F281" s="204" t="s">
        <v>457</v>
      </c>
      <c r="G281" s="23" t="s">
        <v>24</v>
      </c>
      <c r="H281" s="61">
        <v>7</v>
      </c>
      <c r="I281" s="62">
        <v>4</v>
      </c>
      <c r="J281" s="62">
        <v>5</v>
      </c>
      <c r="K281" s="30">
        <v>6859.34</v>
      </c>
      <c r="L281" s="205">
        <v>5</v>
      </c>
      <c r="M281" s="26">
        <f t="shared" si="19"/>
        <v>6859.34</v>
      </c>
      <c r="N281" s="30">
        <v>6859.34</v>
      </c>
      <c r="O281" s="31"/>
      <c r="P281" s="29">
        <v>6</v>
      </c>
      <c r="Q281" s="30">
        <v>21652.240000000002</v>
      </c>
      <c r="R281" s="205">
        <v>6</v>
      </c>
      <c r="S281" s="26">
        <f t="shared" si="20"/>
        <v>21652.240000000002</v>
      </c>
      <c r="T281" s="30">
        <v>21652.240000000002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3"/>
      <c r="B282" s="375"/>
      <c r="C282" s="375"/>
      <c r="D282" s="375"/>
      <c r="E282" s="375"/>
      <c r="F282" s="233" t="s">
        <v>466</v>
      </c>
      <c r="G282" s="227" t="s">
        <v>28</v>
      </c>
      <c r="H282" s="207">
        <v>4</v>
      </c>
      <c r="I282" s="208">
        <v>4</v>
      </c>
      <c r="J282" s="208">
        <v>4</v>
      </c>
      <c r="K282" s="209">
        <v>5170.8999999999996</v>
      </c>
      <c r="L282" s="290">
        <v>2</v>
      </c>
      <c r="M282" s="211">
        <f t="shared" si="19"/>
        <v>3364.6000000000004</v>
      </c>
      <c r="N282" s="211">
        <f>1056.55+2308.05</f>
        <v>3364.6000000000004</v>
      </c>
      <c r="O282" s="212"/>
      <c r="P282" s="284"/>
      <c r="Q282" s="211"/>
      <c r="R282" s="290">
        <v>1</v>
      </c>
      <c r="S282" s="211">
        <f t="shared" si="20"/>
        <v>1921</v>
      </c>
      <c r="T282" s="209">
        <v>1921</v>
      </c>
      <c r="U282" s="212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430</v>
      </c>
      <c r="C283" s="374" t="s">
        <v>39</v>
      </c>
      <c r="D283" s="374" t="s">
        <v>439</v>
      </c>
      <c r="E283" s="374" t="s">
        <v>27</v>
      </c>
      <c r="F283" s="204" t="s">
        <v>440</v>
      </c>
      <c r="G283" s="213" t="s">
        <v>24</v>
      </c>
      <c r="H283" s="61">
        <v>2</v>
      </c>
      <c r="I283" s="62"/>
      <c r="J283" s="62"/>
      <c r="K283" s="30"/>
      <c r="L283" s="27"/>
      <c r="M283" s="26">
        <f t="shared" si="19"/>
        <v>0</v>
      </c>
      <c r="N283" s="26"/>
      <c r="O283" s="241"/>
      <c r="P283" s="214"/>
      <c r="Q283" s="30"/>
      <c r="R283" s="205"/>
      <c r="S283" s="26">
        <f t="shared" si="20"/>
        <v>0</v>
      </c>
      <c r="T283" s="30"/>
      <c r="U283" s="28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20"/>
      <c r="G284" s="215" t="s">
        <v>28</v>
      </c>
      <c r="H284" s="117"/>
      <c r="I284" s="37"/>
      <c r="J284" s="37"/>
      <c r="K284" s="68"/>
      <c r="L284" s="40"/>
      <c r="M284" s="39">
        <f t="shared" si="19"/>
        <v>0</v>
      </c>
      <c r="N284" s="39"/>
      <c r="O284" s="234"/>
      <c r="P284" s="217"/>
      <c r="Q284" s="68"/>
      <c r="R284" s="285"/>
      <c r="S284" s="39">
        <f t="shared" si="20"/>
        <v>0</v>
      </c>
      <c r="T284" s="68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6"/>
      <c r="B285" s="377" t="s">
        <v>201</v>
      </c>
      <c r="C285" s="377" t="s">
        <v>39</v>
      </c>
      <c r="D285" s="377" t="s">
        <v>385</v>
      </c>
      <c r="E285" s="377" t="s">
        <v>386</v>
      </c>
      <c r="F285" s="232" t="s">
        <v>387</v>
      </c>
      <c r="G285" s="95" t="s">
        <v>24</v>
      </c>
      <c r="H285" s="265">
        <v>17</v>
      </c>
      <c r="I285" s="266">
        <v>15</v>
      </c>
      <c r="J285" s="266">
        <v>23</v>
      </c>
      <c r="K285" s="79">
        <v>32173.64</v>
      </c>
      <c r="L285" s="268">
        <v>19</v>
      </c>
      <c r="M285" s="81">
        <f t="shared" si="19"/>
        <v>27305.66</v>
      </c>
      <c r="N285" s="79">
        <v>27305.66</v>
      </c>
      <c r="O285" s="313"/>
      <c r="P285" s="267">
        <v>2</v>
      </c>
      <c r="Q285" s="79">
        <v>4356.83</v>
      </c>
      <c r="R285" s="268">
        <v>2</v>
      </c>
      <c r="S285" s="81">
        <f t="shared" si="20"/>
        <v>4356.83</v>
      </c>
      <c r="T285" s="79">
        <v>4356.83</v>
      </c>
      <c r="U285" s="82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105"/>
      <c r="G286" s="35" t="s">
        <v>25</v>
      </c>
      <c r="H286" s="117">
        <v>1</v>
      </c>
      <c r="I286" s="38"/>
      <c r="J286" s="38"/>
      <c r="K286" s="39"/>
      <c r="L286" s="40"/>
      <c r="M286" s="39">
        <f t="shared" si="19"/>
        <v>0</v>
      </c>
      <c r="N286" s="39"/>
      <c r="O286" s="58"/>
      <c r="P286" s="115">
        <v>2</v>
      </c>
      <c r="Q286" s="68">
        <v>4418.3</v>
      </c>
      <c r="R286" s="285">
        <v>2</v>
      </c>
      <c r="S286" s="68">
        <v>4418.3</v>
      </c>
      <c r="T286" s="68">
        <v>4418.3</v>
      </c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82"/>
      <c r="B287" s="381" t="s">
        <v>202</v>
      </c>
      <c r="C287" s="381" t="s">
        <v>39</v>
      </c>
      <c r="D287" s="377" t="s">
        <v>441</v>
      </c>
      <c r="E287" s="381" t="s">
        <v>27</v>
      </c>
      <c r="F287" s="204" t="s">
        <v>442</v>
      </c>
      <c r="G287" s="47" t="s">
        <v>24</v>
      </c>
      <c r="H287" s="48">
        <v>2</v>
      </c>
      <c r="I287" s="203">
        <v>2</v>
      </c>
      <c r="J287" s="203">
        <v>2</v>
      </c>
      <c r="K287" s="65">
        <v>2382.04</v>
      </c>
      <c r="L287" s="224">
        <v>2</v>
      </c>
      <c r="M287" s="50">
        <f t="shared" si="19"/>
        <v>2382.04</v>
      </c>
      <c r="N287" s="65">
        <v>2382.04</v>
      </c>
      <c r="O287" s="31"/>
      <c r="P287" s="108">
        <v>2</v>
      </c>
      <c r="Q287" s="65">
        <v>4082.51</v>
      </c>
      <c r="R287" s="224">
        <v>2</v>
      </c>
      <c r="S287" s="50">
        <f t="shared" ref="S287:S291" si="21">T287+U287</f>
        <v>4082.51</v>
      </c>
      <c r="T287" s="65">
        <v>4082.51</v>
      </c>
      <c r="U287" s="22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1" t="s">
        <v>262</v>
      </c>
      <c r="G288" s="55" t="s">
        <v>28</v>
      </c>
      <c r="H288" s="112">
        <v>4</v>
      </c>
      <c r="I288" s="130">
        <v>1</v>
      </c>
      <c r="J288" s="130">
        <v>1</v>
      </c>
      <c r="K288" s="114">
        <v>1479.17</v>
      </c>
      <c r="L288" s="316">
        <v>1</v>
      </c>
      <c r="M288" s="129">
        <f t="shared" si="19"/>
        <v>1479.17</v>
      </c>
      <c r="N288" s="43">
        <f>1479.17</f>
        <v>1479.17</v>
      </c>
      <c r="O288" s="45"/>
      <c r="P288" s="113">
        <v>4</v>
      </c>
      <c r="Q288" s="114">
        <v>17905.400000000001</v>
      </c>
      <c r="R288" s="316">
        <v>5</v>
      </c>
      <c r="S288" s="129">
        <f t="shared" si="21"/>
        <v>21555.3</v>
      </c>
      <c r="T288" s="114">
        <f>3649.9+1344.7+7107.7+4034.1+5418.9</f>
        <v>21555.3</v>
      </c>
      <c r="U288" s="45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2"/>
      <c r="B289" s="374" t="s">
        <v>203</v>
      </c>
      <c r="C289" s="377" t="s">
        <v>46</v>
      </c>
      <c r="D289" s="377" t="s">
        <v>459</v>
      </c>
      <c r="E289" s="374" t="s">
        <v>27</v>
      </c>
      <c r="F289" s="204" t="s">
        <v>475</v>
      </c>
      <c r="G289" s="23" t="s">
        <v>24</v>
      </c>
      <c r="H289" s="61">
        <v>2</v>
      </c>
      <c r="I289" s="25"/>
      <c r="J289" s="25"/>
      <c r="K289" s="26"/>
      <c r="L289" s="27"/>
      <c r="M289" s="26">
        <f t="shared" si="19"/>
        <v>0</v>
      </c>
      <c r="N289" s="26"/>
      <c r="O289" s="28"/>
      <c r="P289" s="29">
        <v>6</v>
      </c>
      <c r="Q289" s="30">
        <v>0</v>
      </c>
      <c r="R289" s="27"/>
      <c r="S289" s="26">
        <f t="shared" si="21"/>
        <v>0</v>
      </c>
      <c r="T289" s="26"/>
      <c r="U289" s="28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34"/>
      <c r="G290" s="35" t="s">
        <v>28</v>
      </c>
      <c r="H290" s="117"/>
      <c r="I290" s="38"/>
      <c r="J290" s="38"/>
      <c r="K290" s="39"/>
      <c r="L290" s="40"/>
      <c r="M290" s="39">
        <f t="shared" si="19"/>
        <v>0</v>
      </c>
      <c r="N290" s="39"/>
      <c r="O290" s="41"/>
      <c r="P290" s="69"/>
      <c r="Q290" s="39"/>
      <c r="R290" s="40"/>
      <c r="S290" s="39">
        <f t="shared" si="21"/>
        <v>0</v>
      </c>
      <c r="T290" s="39"/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82"/>
      <c r="B291" s="381" t="s">
        <v>204</v>
      </c>
      <c r="C291" s="377" t="s">
        <v>22</v>
      </c>
      <c r="D291" s="377"/>
      <c r="E291" s="381" t="s">
        <v>23</v>
      </c>
      <c r="F291" s="204" t="s">
        <v>431</v>
      </c>
      <c r="G291" s="47" t="s">
        <v>24</v>
      </c>
      <c r="H291" s="48">
        <v>11</v>
      </c>
      <c r="I291" s="203">
        <v>7</v>
      </c>
      <c r="J291" s="203">
        <v>8</v>
      </c>
      <c r="K291" s="65">
        <v>10146.15</v>
      </c>
      <c r="L291" s="224">
        <v>6</v>
      </c>
      <c r="M291" s="50">
        <f t="shared" si="19"/>
        <v>8254.93</v>
      </c>
      <c r="N291" s="65">
        <v>8254.93</v>
      </c>
      <c r="O291" s="225"/>
      <c r="P291" s="108">
        <v>4</v>
      </c>
      <c r="Q291" s="65">
        <v>3363.11</v>
      </c>
      <c r="R291" s="224">
        <v>4</v>
      </c>
      <c r="S291" s="50">
        <f t="shared" si="21"/>
        <v>3363.11</v>
      </c>
      <c r="T291" s="65">
        <v>3363.11</v>
      </c>
      <c r="U291" s="225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25</v>
      </c>
      <c r="H292" s="111"/>
      <c r="I292" s="38"/>
      <c r="J292" s="38"/>
      <c r="K292" s="39"/>
      <c r="L292" s="40"/>
      <c r="M292" s="39">
        <f t="shared" si="19"/>
        <v>0</v>
      </c>
      <c r="N292" s="39"/>
      <c r="O292" s="41"/>
      <c r="P292" s="115">
        <v>1</v>
      </c>
      <c r="Q292" s="68">
        <v>2305.1999999999998</v>
      </c>
      <c r="R292" s="285">
        <v>1</v>
      </c>
      <c r="S292" s="68">
        <v>2305.1999999999998</v>
      </c>
      <c r="T292" s="68">
        <v>2305.1999999999998</v>
      </c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179"/>
      <c r="B293" s="180" t="s">
        <v>205</v>
      </c>
      <c r="C293" s="180"/>
      <c r="D293" s="180"/>
      <c r="E293" s="180"/>
      <c r="F293" s="180"/>
      <c r="G293" s="181"/>
      <c r="H293" s="182">
        <f t="shared" ref="H293:U293" si="22">SUM(H9:H292)</f>
        <v>1668</v>
      </c>
      <c r="I293" s="183">
        <f t="shared" si="22"/>
        <v>1014</v>
      </c>
      <c r="J293" s="183">
        <f t="shared" si="22"/>
        <v>1258</v>
      </c>
      <c r="K293" s="184">
        <f t="shared" si="22"/>
        <v>2280190.6399999997</v>
      </c>
      <c r="L293" s="185">
        <f t="shared" si="22"/>
        <v>1093</v>
      </c>
      <c r="M293" s="184">
        <f t="shared" si="22"/>
        <v>1994353.58</v>
      </c>
      <c r="N293" s="184">
        <f t="shared" si="22"/>
        <v>1994353.58</v>
      </c>
      <c r="O293" s="186">
        <f t="shared" si="22"/>
        <v>0</v>
      </c>
      <c r="P293" s="187">
        <f t="shared" si="22"/>
        <v>1314</v>
      </c>
      <c r="Q293" s="188">
        <f t="shared" si="22"/>
        <v>4406722.3000000007</v>
      </c>
      <c r="R293" s="185">
        <f t="shared" si="22"/>
        <v>1239</v>
      </c>
      <c r="S293" s="188">
        <f t="shared" si="22"/>
        <v>4284942.3199999984</v>
      </c>
      <c r="T293" s="188">
        <f t="shared" si="22"/>
        <v>4284942.3199999984</v>
      </c>
      <c r="U293" s="189">
        <f t="shared" si="22"/>
        <v>0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 t="s">
        <v>206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27.75" customHeight="1">
      <c r="A297" s="4"/>
      <c r="B297" s="4"/>
      <c r="C297" s="4"/>
      <c r="D297" s="4"/>
      <c r="E297" s="4"/>
      <c r="F297" s="394"/>
      <c r="G297" s="395" t="s">
        <v>5</v>
      </c>
      <c r="H297" s="396"/>
      <c r="I297" s="396"/>
      <c r="J297" s="396"/>
      <c r="K297" s="396"/>
      <c r="L297" s="396"/>
      <c r="M297" s="396"/>
      <c r="N297" s="397"/>
      <c r="O297" s="395" t="s">
        <v>6</v>
      </c>
      <c r="P297" s="396"/>
      <c r="Q297" s="396"/>
      <c r="R297" s="396"/>
      <c r="S297" s="396"/>
      <c r="T297" s="397"/>
      <c r="U297" s="393" t="s">
        <v>207</v>
      </c>
      <c r="V297" s="393" t="s">
        <v>208</v>
      </c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386"/>
      <c r="G298" s="190" t="s">
        <v>13</v>
      </c>
      <c r="H298" s="190" t="s">
        <v>14</v>
      </c>
      <c r="I298" s="190" t="s">
        <v>15</v>
      </c>
      <c r="J298" s="190" t="s">
        <v>16</v>
      </c>
      <c r="K298" s="191" t="s">
        <v>17</v>
      </c>
      <c r="L298" s="190" t="s">
        <v>18</v>
      </c>
      <c r="M298" s="190" t="s">
        <v>19</v>
      </c>
      <c r="N298" s="190" t="s">
        <v>20</v>
      </c>
      <c r="O298" s="190" t="s">
        <v>15</v>
      </c>
      <c r="P298" s="190" t="s">
        <v>16</v>
      </c>
      <c r="Q298" s="191" t="s">
        <v>17</v>
      </c>
      <c r="R298" s="190" t="s">
        <v>18</v>
      </c>
      <c r="S298" s="190" t="s">
        <v>19</v>
      </c>
      <c r="T298" s="190" t="s">
        <v>20</v>
      </c>
      <c r="U298" s="392"/>
      <c r="V298" s="392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192" t="s">
        <v>24</v>
      </c>
      <c r="G299" s="193">
        <f t="shared" ref="G299:I299" si="23">SUMIF($G$9:$G$292,$F$299,H9:H292)</f>
        <v>1216</v>
      </c>
      <c r="H299" s="193">
        <f t="shared" si="23"/>
        <v>848</v>
      </c>
      <c r="I299" s="193">
        <f t="shared" si="23"/>
        <v>1091</v>
      </c>
      <c r="J299" s="194">
        <f t="shared" ref="J299:J301" si="24">SUMIF($G$9:$G$292,F299,$K$9:$K$292)</f>
        <v>1976814.8199999994</v>
      </c>
      <c r="K299" s="195">
        <f t="shared" ref="K299:K301" si="25">SUMIF($G$9:$G$292,F299,$L$9:$L$292)</f>
        <v>935</v>
      </c>
      <c r="L299" s="194">
        <f t="shared" ref="L299:L301" si="26">SUMIF($G$9:$G$292,F299,$M$9:$M$292)</f>
        <v>1698291.9499999995</v>
      </c>
      <c r="M299" s="194">
        <f t="shared" ref="M299:O299" si="27">SUMIF($G$9:$G$292,$F$299,N9:N292)</f>
        <v>1698291.9499999995</v>
      </c>
      <c r="N299" s="194">
        <f t="shared" si="27"/>
        <v>0</v>
      </c>
      <c r="O299" s="193">
        <f t="shared" si="27"/>
        <v>1061</v>
      </c>
      <c r="P299" s="194">
        <f t="shared" ref="P299:P301" si="28">SUMIF($G$9:$G$292,F299,$Q$9:$Q$292)</f>
        <v>3623915.5500000003</v>
      </c>
      <c r="Q299" s="195">
        <f t="shared" ref="Q299:Q301" si="29">SUMIF($G$9:$G$292,F299,$R$9:$R$292)</f>
        <v>986</v>
      </c>
      <c r="R299" s="194">
        <f t="shared" ref="R299:R301" si="30">SUMIF($G$9:$G$292,F299,$S$9:$S$292)</f>
        <v>3493302.0199999996</v>
      </c>
      <c r="S299" s="194">
        <f t="shared" ref="S299:T299" si="31">SUMIF($G$9:$G$292,$F$299,T9:T292)</f>
        <v>3493302.0199999996</v>
      </c>
      <c r="T299" s="194">
        <f t="shared" si="31"/>
        <v>0</v>
      </c>
      <c r="U299" s="194">
        <f t="shared" ref="U299:U301" si="32">S299+M299</f>
        <v>5191593.9699999988</v>
      </c>
      <c r="V299" s="196">
        <f t="shared" ref="V299:V301" si="33">J299-M299+P299-S299</f>
        <v>409136.40000000037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192" t="s">
        <v>28</v>
      </c>
      <c r="G300" s="236">
        <f t="shared" ref="G300:I300" si="34">SUMIF($G$9:$G$292,$F$300,H9:H292)</f>
        <v>376</v>
      </c>
      <c r="H300" s="193">
        <f t="shared" si="34"/>
        <v>125</v>
      </c>
      <c r="I300" s="193">
        <f t="shared" si="34"/>
        <v>126</v>
      </c>
      <c r="J300" s="194">
        <f t="shared" si="24"/>
        <v>234138.84000000005</v>
      </c>
      <c r="K300" s="195">
        <f t="shared" si="25"/>
        <v>121</v>
      </c>
      <c r="L300" s="194">
        <f t="shared" si="26"/>
        <v>227818.13</v>
      </c>
      <c r="M300" s="194">
        <f t="shared" ref="M300:O300" si="35">SUMIF($G$9:$G$292,$F$300,N9:N292)</f>
        <v>227818.13</v>
      </c>
      <c r="N300" s="194">
        <f t="shared" si="35"/>
        <v>0</v>
      </c>
      <c r="O300" s="193">
        <f t="shared" si="35"/>
        <v>194</v>
      </c>
      <c r="P300" s="194">
        <f t="shared" si="28"/>
        <v>563404.14</v>
      </c>
      <c r="Q300" s="195">
        <f t="shared" si="29"/>
        <v>197</v>
      </c>
      <c r="R300" s="194">
        <f t="shared" si="30"/>
        <v>580717.19000000018</v>
      </c>
      <c r="S300" s="194">
        <f t="shared" ref="S300:T300" si="36">SUMIF($G$9:$G$292,$F$300,T9:T292)</f>
        <v>580717.19000000018</v>
      </c>
      <c r="T300" s="194">
        <f t="shared" si="36"/>
        <v>0</v>
      </c>
      <c r="U300" s="194">
        <f t="shared" si="32"/>
        <v>808535.32000000018</v>
      </c>
      <c r="V300" s="196">
        <f t="shared" si="33"/>
        <v>-10992.340000000084</v>
      </c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25</v>
      </c>
      <c r="G301" s="193">
        <f t="shared" ref="G301:I301" si="37">SUMIF($G$9:$G$292,$F$301,H9:H292)</f>
        <v>76</v>
      </c>
      <c r="H301" s="193">
        <f t="shared" si="37"/>
        <v>41</v>
      </c>
      <c r="I301" s="193">
        <f t="shared" si="37"/>
        <v>41</v>
      </c>
      <c r="J301" s="194">
        <f t="shared" si="24"/>
        <v>69236.98</v>
      </c>
      <c r="K301" s="195">
        <f t="shared" si="25"/>
        <v>37</v>
      </c>
      <c r="L301" s="194">
        <f t="shared" si="26"/>
        <v>68243.5</v>
      </c>
      <c r="M301" s="194">
        <f t="shared" ref="M301:O301" si="38">SUMIF($G$9:$G$292,$F$301,N9:N292)</f>
        <v>68243.5</v>
      </c>
      <c r="N301" s="194">
        <f t="shared" si="38"/>
        <v>0</v>
      </c>
      <c r="O301" s="193">
        <f t="shared" si="38"/>
        <v>59</v>
      </c>
      <c r="P301" s="194">
        <f t="shared" si="28"/>
        <v>219402.61000000002</v>
      </c>
      <c r="Q301" s="195">
        <f t="shared" si="29"/>
        <v>56</v>
      </c>
      <c r="R301" s="194">
        <f t="shared" si="30"/>
        <v>210923.11</v>
      </c>
      <c r="S301" s="194">
        <f t="shared" ref="S301:T301" si="39">SUMIF($G$9:$G$292,$F$301,T9:T292)</f>
        <v>210923.11</v>
      </c>
      <c r="T301" s="194">
        <f t="shared" si="39"/>
        <v>0</v>
      </c>
      <c r="U301" s="194">
        <f t="shared" si="32"/>
        <v>279166.61</v>
      </c>
      <c r="V301" s="196">
        <f t="shared" si="33"/>
        <v>9472.9800000000396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197">
        <f t="shared" ref="G302:V302" si="40">G301+G300+G299</f>
        <v>1668</v>
      </c>
      <c r="H302" s="197">
        <f t="shared" si="40"/>
        <v>1014</v>
      </c>
      <c r="I302" s="197">
        <f t="shared" si="40"/>
        <v>1258</v>
      </c>
      <c r="J302" s="198">
        <f t="shared" si="40"/>
        <v>2280190.6399999997</v>
      </c>
      <c r="K302" s="199">
        <f t="shared" si="40"/>
        <v>1093</v>
      </c>
      <c r="L302" s="198">
        <f t="shared" si="40"/>
        <v>1994353.5799999996</v>
      </c>
      <c r="M302" s="198">
        <f t="shared" si="40"/>
        <v>1994353.5799999996</v>
      </c>
      <c r="N302" s="198">
        <f t="shared" si="40"/>
        <v>0</v>
      </c>
      <c r="O302" s="197">
        <f t="shared" si="40"/>
        <v>1314</v>
      </c>
      <c r="P302" s="198">
        <f t="shared" si="40"/>
        <v>4406722.3000000007</v>
      </c>
      <c r="Q302" s="200">
        <f t="shared" si="40"/>
        <v>1239</v>
      </c>
      <c r="R302" s="198">
        <f t="shared" si="40"/>
        <v>4284942.3199999994</v>
      </c>
      <c r="S302" s="198">
        <f t="shared" si="40"/>
        <v>4284942.3199999994</v>
      </c>
      <c r="T302" s="198">
        <f t="shared" si="40"/>
        <v>0</v>
      </c>
      <c r="U302" s="198">
        <f t="shared" si="40"/>
        <v>6279295.8999999985</v>
      </c>
      <c r="V302" s="198">
        <f t="shared" si="40"/>
        <v>407617.04000000033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</sheetData>
  <mergeCells count="705">
    <mergeCell ref="A204:A206"/>
    <mergeCell ref="A207:A208"/>
    <mergeCell ref="B207:B208"/>
    <mergeCell ref="C207:C208"/>
    <mergeCell ref="A209:A210"/>
    <mergeCell ref="B209:B210"/>
    <mergeCell ref="C209:C210"/>
    <mergeCell ref="D225:D226"/>
    <mergeCell ref="E225:E226"/>
    <mergeCell ref="B225:B226"/>
    <mergeCell ref="C225:C226"/>
    <mergeCell ref="B204:B206"/>
    <mergeCell ref="C204:C206"/>
    <mergeCell ref="D207:D208"/>
    <mergeCell ref="D209:D210"/>
    <mergeCell ref="D200:D201"/>
    <mergeCell ref="E200:E201"/>
    <mergeCell ref="D202:D203"/>
    <mergeCell ref="E202:E203"/>
    <mergeCell ref="D204:D206"/>
    <mergeCell ref="E204:E206"/>
    <mergeCell ref="E207:E208"/>
    <mergeCell ref="E209:E210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A202:A203"/>
    <mergeCell ref="B202:B203"/>
    <mergeCell ref="C202:C203"/>
    <mergeCell ref="C196:C197"/>
    <mergeCell ref="D196:D197"/>
    <mergeCell ref="A194:A195"/>
    <mergeCell ref="B194:B195"/>
    <mergeCell ref="C194:C195"/>
    <mergeCell ref="D194:D195"/>
    <mergeCell ref="E194:E195"/>
    <mergeCell ref="B196:B197"/>
    <mergeCell ref="E196:E197"/>
    <mergeCell ref="A196:A197"/>
    <mergeCell ref="D180:D181"/>
    <mergeCell ref="E180:E181"/>
    <mergeCell ref="A182:A183"/>
    <mergeCell ref="B190:B191"/>
    <mergeCell ref="C190:C191"/>
    <mergeCell ref="A192:A193"/>
    <mergeCell ref="B192:B193"/>
    <mergeCell ref="C192:C193"/>
    <mergeCell ref="D192:D193"/>
    <mergeCell ref="E192:E193"/>
    <mergeCell ref="A176:A177"/>
    <mergeCell ref="B176:B177"/>
    <mergeCell ref="C176:C177"/>
    <mergeCell ref="B178:B179"/>
    <mergeCell ref="C178:C179"/>
    <mergeCell ref="A178:A179"/>
    <mergeCell ref="A180:A181"/>
    <mergeCell ref="B180:B181"/>
    <mergeCell ref="C180:C181"/>
    <mergeCell ref="A170:A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90:D191"/>
    <mergeCell ref="E190:E191"/>
    <mergeCell ref="A186:A187"/>
    <mergeCell ref="A188:A189"/>
    <mergeCell ref="B188:B189"/>
    <mergeCell ref="C188:C189"/>
    <mergeCell ref="D188:D189"/>
    <mergeCell ref="E188:E189"/>
    <mergeCell ref="A190:A191"/>
    <mergeCell ref="D186:D187"/>
    <mergeCell ref="E186:E187"/>
    <mergeCell ref="B182:B183"/>
    <mergeCell ref="C182:C183"/>
    <mergeCell ref="A184:A185"/>
    <mergeCell ref="B184:B185"/>
    <mergeCell ref="C184:C185"/>
    <mergeCell ref="B186:B187"/>
    <mergeCell ref="C186:C187"/>
    <mergeCell ref="A166:A167"/>
    <mergeCell ref="B166:B167"/>
    <mergeCell ref="C166:C167"/>
    <mergeCell ref="D166:D167"/>
    <mergeCell ref="E166:E167"/>
    <mergeCell ref="D182:D183"/>
    <mergeCell ref="E182:E183"/>
    <mergeCell ref="D184:D185"/>
    <mergeCell ref="E184:E185"/>
    <mergeCell ref="C170:C171"/>
    <mergeCell ref="D170:D171"/>
    <mergeCell ref="A168:A169"/>
    <mergeCell ref="B168:B169"/>
    <mergeCell ref="C168:C169"/>
    <mergeCell ref="D168:D169"/>
    <mergeCell ref="E168:E169"/>
    <mergeCell ref="B170:B171"/>
    <mergeCell ref="E170:E171"/>
    <mergeCell ref="D174:D175"/>
    <mergeCell ref="E174:E175"/>
    <mergeCell ref="D176:D177"/>
    <mergeCell ref="E176:E177"/>
    <mergeCell ref="D178:D179"/>
    <mergeCell ref="E178:E179"/>
    <mergeCell ref="A154:A155"/>
    <mergeCell ref="B154:B155"/>
    <mergeCell ref="C154:C155"/>
    <mergeCell ref="D154:D155"/>
    <mergeCell ref="E154:E155"/>
    <mergeCell ref="B148:B149"/>
    <mergeCell ref="C148:C149"/>
    <mergeCell ref="A150:A151"/>
    <mergeCell ref="B150:B151"/>
    <mergeCell ref="C150:C151"/>
    <mergeCell ref="B152:B153"/>
    <mergeCell ref="C152:C153"/>
    <mergeCell ref="D148:D149"/>
    <mergeCell ref="E148:E149"/>
    <mergeCell ref="D150:D151"/>
    <mergeCell ref="E150:E151"/>
    <mergeCell ref="D152:D153"/>
    <mergeCell ref="E152:E153"/>
    <mergeCell ref="A143:A144"/>
    <mergeCell ref="A145:A147"/>
    <mergeCell ref="B145:B147"/>
    <mergeCell ref="C145:C147"/>
    <mergeCell ref="D145:D147"/>
    <mergeCell ref="E145:E147"/>
    <mergeCell ref="A148:A149"/>
    <mergeCell ref="A152:A153"/>
    <mergeCell ref="C143:C144"/>
    <mergeCell ref="D143:D144"/>
    <mergeCell ref="A141:A142"/>
    <mergeCell ref="B141:B142"/>
    <mergeCell ref="C141:C142"/>
    <mergeCell ref="D141:D142"/>
    <mergeCell ref="E141:E142"/>
    <mergeCell ref="B143:B144"/>
    <mergeCell ref="E143:E144"/>
    <mergeCell ref="D164:D165"/>
    <mergeCell ref="E164:E165"/>
    <mergeCell ref="A159:A160"/>
    <mergeCell ref="A161:A163"/>
    <mergeCell ref="B161:B163"/>
    <mergeCell ref="C161:C163"/>
    <mergeCell ref="D161:D163"/>
    <mergeCell ref="E161:E163"/>
    <mergeCell ref="A164:A165"/>
    <mergeCell ref="B164:B165"/>
    <mergeCell ref="C164:C165"/>
    <mergeCell ref="D271:D272"/>
    <mergeCell ref="E271:E272"/>
    <mergeCell ref="A273:A274"/>
    <mergeCell ref="B281:B282"/>
    <mergeCell ref="C281:C282"/>
    <mergeCell ref="A283:A284"/>
    <mergeCell ref="B283:B284"/>
    <mergeCell ref="C283:C284"/>
    <mergeCell ref="D283:D284"/>
    <mergeCell ref="E283:E284"/>
    <mergeCell ref="A289:A290"/>
    <mergeCell ref="B289:B290"/>
    <mergeCell ref="C289:C290"/>
    <mergeCell ref="D289:D290"/>
    <mergeCell ref="E289:E290"/>
    <mergeCell ref="A291:A292"/>
    <mergeCell ref="C261:C262"/>
    <mergeCell ref="D261:D262"/>
    <mergeCell ref="A259:A260"/>
    <mergeCell ref="B259:B260"/>
    <mergeCell ref="C259:C260"/>
    <mergeCell ref="D259:D260"/>
    <mergeCell ref="E259:E260"/>
    <mergeCell ref="B261:B262"/>
    <mergeCell ref="E261:E262"/>
    <mergeCell ref="D265:D266"/>
    <mergeCell ref="E265:E266"/>
    <mergeCell ref="D267:D268"/>
    <mergeCell ref="E267:E268"/>
    <mergeCell ref="D269:D270"/>
    <mergeCell ref="E269:E270"/>
    <mergeCell ref="A261:A262"/>
    <mergeCell ref="A263:A264"/>
    <mergeCell ref="B263:B264"/>
    <mergeCell ref="B291:B292"/>
    <mergeCell ref="C291:C292"/>
    <mergeCell ref="D291:D292"/>
    <mergeCell ref="E291:E292"/>
    <mergeCell ref="F297:F298"/>
    <mergeCell ref="G297:N297"/>
    <mergeCell ref="O297:T297"/>
    <mergeCell ref="U297:U298"/>
    <mergeCell ref="V297:V298"/>
    <mergeCell ref="C287:C288"/>
    <mergeCell ref="D287:D288"/>
    <mergeCell ref="A285:A286"/>
    <mergeCell ref="B285:B286"/>
    <mergeCell ref="C285:C286"/>
    <mergeCell ref="D285:D286"/>
    <mergeCell ref="E285:E286"/>
    <mergeCell ref="B287:B288"/>
    <mergeCell ref="E287:E288"/>
    <mergeCell ref="A287:A288"/>
    <mergeCell ref="D281:D282"/>
    <mergeCell ref="E281:E282"/>
    <mergeCell ref="A277:A278"/>
    <mergeCell ref="A279:A280"/>
    <mergeCell ref="B279:B280"/>
    <mergeCell ref="C279:C280"/>
    <mergeCell ref="D279:D280"/>
    <mergeCell ref="E279:E280"/>
    <mergeCell ref="A281:A282"/>
    <mergeCell ref="D277:D278"/>
    <mergeCell ref="E277:E278"/>
    <mergeCell ref="B273:B274"/>
    <mergeCell ref="C273:C274"/>
    <mergeCell ref="A275:A276"/>
    <mergeCell ref="B275:B276"/>
    <mergeCell ref="C275:C276"/>
    <mergeCell ref="B277:B278"/>
    <mergeCell ref="C277:C278"/>
    <mergeCell ref="A257:A258"/>
    <mergeCell ref="B257:B258"/>
    <mergeCell ref="C257:C258"/>
    <mergeCell ref="D257:D258"/>
    <mergeCell ref="E257:E258"/>
    <mergeCell ref="D273:D274"/>
    <mergeCell ref="E273:E274"/>
    <mergeCell ref="D275:D276"/>
    <mergeCell ref="E275:E276"/>
    <mergeCell ref="C263:C264"/>
    <mergeCell ref="D263:D264"/>
    <mergeCell ref="E263:E264"/>
    <mergeCell ref="A265:A266"/>
    <mergeCell ref="B265:B266"/>
    <mergeCell ref="C265:C266"/>
    <mergeCell ref="A267:A268"/>
    <mergeCell ref="B267:B268"/>
    <mergeCell ref="C267:C268"/>
    <mergeCell ref="B269:B270"/>
    <mergeCell ref="C269:C270"/>
    <mergeCell ref="A269:A270"/>
    <mergeCell ref="A271:A272"/>
    <mergeCell ref="B271:B272"/>
    <mergeCell ref="C271:C272"/>
    <mergeCell ref="D243:D244"/>
    <mergeCell ref="E243:E244"/>
    <mergeCell ref="D245:D246"/>
    <mergeCell ref="E245:E246"/>
    <mergeCell ref="D247:D248"/>
    <mergeCell ref="E247:E248"/>
    <mergeCell ref="A239:A240"/>
    <mergeCell ref="A241:A242"/>
    <mergeCell ref="B241:B242"/>
    <mergeCell ref="C241:C242"/>
    <mergeCell ref="D241:D242"/>
    <mergeCell ref="E241:E242"/>
    <mergeCell ref="A243:A244"/>
    <mergeCell ref="B243:B244"/>
    <mergeCell ref="C243:C244"/>
    <mergeCell ref="B245:B246"/>
    <mergeCell ref="C245:C246"/>
    <mergeCell ref="A247:A248"/>
    <mergeCell ref="B247:B248"/>
    <mergeCell ref="C247:C248"/>
    <mergeCell ref="C239:C240"/>
    <mergeCell ref="D239:D240"/>
    <mergeCell ref="A237:A238"/>
    <mergeCell ref="B237:B238"/>
    <mergeCell ref="C237:C238"/>
    <mergeCell ref="D237:D238"/>
    <mergeCell ref="E237:E238"/>
    <mergeCell ref="B239:B240"/>
    <mergeCell ref="E239:E240"/>
    <mergeCell ref="A249:A250"/>
    <mergeCell ref="B249:B250"/>
    <mergeCell ref="C249:C250"/>
    <mergeCell ref="D249:D250"/>
    <mergeCell ref="E249:E250"/>
    <mergeCell ref="B251:B252"/>
    <mergeCell ref="E251:E252"/>
    <mergeCell ref="D255:D256"/>
    <mergeCell ref="E255:E256"/>
    <mergeCell ref="A251:A252"/>
    <mergeCell ref="A253:A254"/>
    <mergeCell ref="B253:B254"/>
    <mergeCell ref="C253:C254"/>
    <mergeCell ref="D253:D254"/>
    <mergeCell ref="E253:E254"/>
    <mergeCell ref="A255:A256"/>
    <mergeCell ref="C251:C252"/>
    <mergeCell ref="D251:D252"/>
    <mergeCell ref="B255:B256"/>
    <mergeCell ref="C255:C256"/>
    <mergeCell ref="A223:A224"/>
    <mergeCell ref="B223:B224"/>
    <mergeCell ref="C223:C224"/>
    <mergeCell ref="D223:D224"/>
    <mergeCell ref="E223:E224"/>
    <mergeCell ref="A225:A226"/>
    <mergeCell ref="B233:B234"/>
    <mergeCell ref="C233:C234"/>
    <mergeCell ref="A235:A236"/>
    <mergeCell ref="B235:B236"/>
    <mergeCell ref="C235:C236"/>
    <mergeCell ref="D235:D236"/>
    <mergeCell ref="E235:E236"/>
    <mergeCell ref="D227:D228"/>
    <mergeCell ref="E227:E228"/>
    <mergeCell ref="D229:D230"/>
    <mergeCell ref="E229:E230"/>
    <mergeCell ref="A227:A228"/>
    <mergeCell ref="B227:B228"/>
    <mergeCell ref="C227:C228"/>
    <mergeCell ref="B229:B230"/>
    <mergeCell ref="C229:C230"/>
    <mergeCell ref="D217:D218"/>
    <mergeCell ref="E217:E218"/>
    <mergeCell ref="D219:D220"/>
    <mergeCell ref="E219:E220"/>
    <mergeCell ref="D221:D222"/>
    <mergeCell ref="E221:E222"/>
    <mergeCell ref="A213:A214"/>
    <mergeCell ref="A215:A216"/>
    <mergeCell ref="B215:B216"/>
    <mergeCell ref="C215:C216"/>
    <mergeCell ref="D215:D216"/>
    <mergeCell ref="E215:E216"/>
    <mergeCell ref="A217:A218"/>
    <mergeCell ref="B217:B218"/>
    <mergeCell ref="C217:C218"/>
    <mergeCell ref="A219:A220"/>
    <mergeCell ref="B219:B220"/>
    <mergeCell ref="C219:C220"/>
    <mergeCell ref="B221:B222"/>
    <mergeCell ref="C221:C222"/>
    <mergeCell ref="A221:A222"/>
    <mergeCell ref="C213:C214"/>
    <mergeCell ref="D213:D214"/>
    <mergeCell ref="A211:A212"/>
    <mergeCell ref="B211:B212"/>
    <mergeCell ref="C211:C212"/>
    <mergeCell ref="D211:D212"/>
    <mergeCell ref="E211:E212"/>
    <mergeCell ref="B213:B214"/>
    <mergeCell ref="E213:E214"/>
    <mergeCell ref="D233:D234"/>
    <mergeCell ref="E233:E234"/>
    <mergeCell ref="A229:A230"/>
    <mergeCell ref="A231:A232"/>
    <mergeCell ref="B231:B232"/>
    <mergeCell ref="C231:C232"/>
    <mergeCell ref="D231:D232"/>
    <mergeCell ref="E231:E232"/>
    <mergeCell ref="A233:A234"/>
    <mergeCell ref="C159:C160"/>
    <mergeCell ref="D159:D160"/>
    <mergeCell ref="A156:A158"/>
    <mergeCell ref="B156:B158"/>
    <mergeCell ref="C156:C158"/>
    <mergeCell ref="D156:D158"/>
    <mergeCell ref="E156:E158"/>
    <mergeCell ref="B159:B160"/>
    <mergeCell ref="E159:E160"/>
    <mergeCell ref="A127:A128"/>
    <mergeCell ref="B127:B128"/>
    <mergeCell ref="C127:C128"/>
    <mergeCell ref="D127:D128"/>
    <mergeCell ref="E127:E128"/>
    <mergeCell ref="A129:A130"/>
    <mergeCell ref="B137:B138"/>
    <mergeCell ref="C137:C138"/>
    <mergeCell ref="A139:A140"/>
    <mergeCell ref="B139:B140"/>
    <mergeCell ref="C139:C140"/>
    <mergeCell ref="D139:D140"/>
    <mergeCell ref="E139:E140"/>
    <mergeCell ref="D120:D122"/>
    <mergeCell ref="E120:E122"/>
    <mergeCell ref="D123:D124"/>
    <mergeCell ref="E123:E124"/>
    <mergeCell ref="D125:D126"/>
    <mergeCell ref="E125:E126"/>
    <mergeCell ref="A116:A117"/>
    <mergeCell ref="A118:A119"/>
    <mergeCell ref="B118:B119"/>
    <mergeCell ref="C118:C119"/>
    <mergeCell ref="D118:D119"/>
    <mergeCell ref="E118:E119"/>
    <mergeCell ref="A120:A122"/>
    <mergeCell ref="B120:B122"/>
    <mergeCell ref="C120:C122"/>
    <mergeCell ref="A123:A124"/>
    <mergeCell ref="B123:B124"/>
    <mergeCell ref="C123:C124"/>
    <mergeCell ref="B125:B126"/>
    <mergeCell ref="C125:C126"/>
    <mergeCell ref="A125:A126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8"/>
    <mergeCell ref="E137:E138"/>
    <mergeCell ref="A133:A134"/>
    <mergeCell ref="A135:A136"/>
    <mergeCell ref="B135:B136"/>
    <mergeCell ref="C135:C136"/>
    <mergeCell ref="D135:D136"/>
    <mergeCell ref="E135:E136"/>
    <mergeCell ref="A137:A138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10</v>
      </c>
      <c r="I9" s="62">
        <v>6</v>
      </c>
      <c r="J9" s="62">
        <v>7</v>
      </c>
      <c r="K9" s="62">
        <v>12150.83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15</v>
      </c>
      <c r="Q9" s="30">
        <v>37105.93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12</v>
      </c>
      <c r="J13" s="266">
        <v>17</v>
      </c>
      <c r="K13" s="79">
        <v>50876.52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23</v>
      </c>
      <c r="I15" s="62">
        <v>23</v>
      </c>
      <c r="J15" s="62">
        <v>35</v>
      </c>
      <c r="K15" s="30">
        <v>86896.75</v>
      </c>
      <c r="L15" s="205">
        <v>29</v>
      </c>
      <c r="M15" s="26">
        <f t="shared" si="0"/>
        <v>76638.399999999994</v>
      </c>
      <c r="N15" s="30">
        <v>76638.399999999994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5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7</v>
      </c>
      <c r="Q18" s="209">
        <v>24148.51</v>
      </c>
      <c r="R18" s="290">
        <v>8</v>
      </c>
      <c r="S18" s="211">
        <f t="shared" si="1"/>
        <v>25990.969999999998</v>
      </c>
      <c r="T18" s="209">
        <f>7027.7+4418.3+7721.17+6823.8</f>
        <v>25990.969999999998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13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7</v>
      </c>
      <c r="I20" s="37">
        <v>1</v>
      </c>
      <c r="J20" s="37">
        <v>1</v>
      </c>
      <c r="K20" s="68">
        <v>1404.9</v>
      </c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10</v>
      </c>
      <c r="I21" s="266">
        <v>9</v>
      </c>
      <c r="J21" s="266">
        <v>13</v>
      </c>
      <c r="K21" s="79">
        <v>21314.18</v>
      </c>
      <c r="L21" s="268">
        <v>11</v>
      </c>
      <c r="M21" s="81">
        <f t="shared" si="0"/>
        <v>18693.64</v>
      </c>
      <c r="N21" s="79">
        <v>18693.64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16</v>
      </c>
      <c r="I23" s="203">
        <v>14</v>
      </c>
      <c r="J23" s="203">
        <v>24</v>
      </c>
      <c r="K23" s="65">
        <v>35816.92</v>
      </c>
      <c r="L23" s="224">
        <v>21</v>
      </c>
      <c r="M23" s="50">
        <f t="shared" si="0"/>
        <v>29082.57</v>
      </c>
      <c r="N23" s="65">
        <v>29082.57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15</v>
      </c>
      <c r="I25" s="62">
        <v>9</v>
      </c>
      <c r="J25" s="62">
        <v>9</v>
      </c>
      <c r="K25" s="62">
        <v>7020.53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8</v>
      </c>
      <c r="Q25" s="30">
        <v>13822.44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13</v>
      </c>
      <c r="I27" s="203">
        <v>12</v>
      </c>
      <c r="J27" s="203">
        <v>20</v>
      </c>
      <c r="K27" s="65">
        <v>38247.379999999997</v>
      </c>
      <c r="L27" s="224">
        <v>19</v>
      </c>
      <c r="M27" s="50">
        <f t="shared" si="0"/>
        <v>36183.18</v>
      </c>
      <c r="N27" s="65">
        <v>36183.18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8</v>
      </c>
      <c r="Q28" s="68">
        <v>25627.9</v>
      </c>
      <c r="R28" s="285">
        <v>8</v>
      </c>
      <c r="S28" s="39">
        <f t="shared" si="1"/>
        <v>26090.400000000001</v>
      </c>
      <c r="T28" s="68">
        <f>4302+3533.6+960.5+5240.8+4226.2+5820.3+2007</f>
        <v>26090.400000000001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6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12</v>
      </c>
      <c r="I33" s="203">
        <v>6</v>
      </c>
      <c r="J33" s="203">
        <v>7</v>
      </c>
      <c r="K33" s="65">
        <v>15270.19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8</v>
      </c>
      <c r="Q34" s="114">
        <v>28496.92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1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9</v>
      </c>
      <c r="J37" s="203">
        <v>9</v>
      </c>
      <c r="K37" s="65">
        <v>8715.08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3</v>
      </c>
      <c r="I43" s="62">
        <v>2</v>
      </c>
      <c r="J43" s="62">
        <v>4</v>
      </c>
      <c r="K43" s="30">
        <v>10338.120000000001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17</v>
      </c>
      <c r="I45" s="266">
        <v>16</v>
      </c>
      <c r="J45" s="266">
        <v>18</v>
      </c>
      <c r="K45" s="79">
        <v>29884.81</v>
      </c>
      <c r="L45" s="268">
        <v>15</v>
      </c>
      <c r="M45" s="81">
        <f t="shared" si="2"/>
        <v>22284.3</v>
      </c>
      <c r="N45" s="79">
        <v>22284.3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22</v>
      </c>
      <c r="I47" s="62">
        <v>8</v>
      </c>
      <c r="J47" s="62">
        <v>11</v>
      </c>
      <c r="K47" s="30">
        <v>14635.51</v>
      </c>
      <c r="L47" s="205">
        <v>10</v>
      </c>
      <c r="M47" s="26">
        <f t="shared" si="2"/>
        <v>11785.71</v>
      </c>
      <c r="N47" s="30">
        <v>11785.71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2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9</v>
      </c>
      <c r="I50" s="266">
        <v>4</v>
      </c>
      <c r="J50" s="266">
        <v>4</v>
      </c>
      <c r="K50" s="79">
        <v>5771.33</v>
      </c>
      <c r="L50" s="268">
        <v>4</v>
      </c>
      <c r="M50" s="81">
        <f t="shared" si="2"/>
        <v>5771.33</v>
      </c>
      <c r="N50" s="79">
        <v>5771.33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1</v>
      </c>
      <c r="I53" s="86"/>
      <c r="J53" s="86"/>
      <c r="K53" s="87"/>
      <c r="L53" s="88"/>
      <c r="M53" s="39">
        <f t="shared" si="2"/>
        <v>0</v>
      </c>
      <c r="N53" s="87"/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3</v>
      </c>
      <c r="I56" s="96"/>
      <c r="J56" s="96"/>
      <c r="K56" s="81"/>
      <c r="L56" s="80"/>
      <c r="M56" s="81">
        <f t="shared" si="2"/>
        <v>0</v>
      </c>
      <c r="N56" s="81"/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5</v>
      </c>
      <c r="I57" s="130">
        <v>3</v>
      </c>
      <c r="J57" s="130">
        <v>3</v>
      </c>
      <c r="K57" s="114">
        <v>5619.6</v>
      </c>
      <c r="L57" s="270">
        <v>2</v>
      </c>
      <c r="M57" s="43">
        <f t="shared" si="2"/>
        <v>3411.8999999999996</v>
      </c>
      <c r="N57" s="43">
        <f>1605.6+1806.3</f>
        <v>3411.8999999999996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3</v>
      </c>
      <c r="J58" s="62">
        <v>3</v>
      </c>
      <c r="K58" s="30">
        <v>4488.49</v>
      </c>
      <c r="L58" s="205">
        <v>2</v>
      </c>
      <c r="M58" s="26">
        <f t="shared" si="2"/>
        <v>1754.47</v>
      </c>
      <c r="N58" s="30">
        <v>1754.47</v>
      </c>
      <c r="O58" s="31"/>
      <c r="P58" s="108">
        <v>8</v>
      </c>
      <c r="Q58" s="65">
        <v>18110.38</v>
      </c>
      <c r="R58" s="224">
        <v>7</v>
      </c>
      <c r="S58" s="50">
        <f t="shared" si="3"/>
        <v>15242.58</v>
      </c>
      <c r="T58" s="65">
        <v>15242.58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5</v>
      </c>
      <c r="I59" s="37">
        <v>1</v>
      </c>
      <c r="J59" s="37">
        <v>1</v>
      </c>
      <c r="K59" s="68">
        <v>2007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8</v>
      </c>
      <c r="Q59" s="68">
        <v>16057.33</v>
      </c>
      <c r="R59" s="285">
        <v>12</v>
      </c>
      <c r="S59" s="39">
        <f t="shared" si="3"/>
        <v>26971.13</v>
      </c>
      <c r="T59" s="68">
        <f>2209.2+576.3+13639.1+1921+1921+3438.83+3265.7</f>
        <v>26971.13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4</v>
      </c>
      <c r="I60" s="203">
        <v>4</v>
      </c>
      <c r="J60" s="203">
        <v>6</v>
      </c>
      <c r="K60" s="65">
        <v>9306.16</v>
      </c>
      <c r="L60" s="224">
        <v>6</v>
      </c>
      <c r="M60" s="50">
        <f t="shared" si="2"/>
        <v>9306.16</v>
      </c>
      <c r="N60" s="65">
        <v>9306.16</v>
      </c>
      <c r="O60" s="31"/>
      <c r="P60" s="53">
        <v>4</v>
      </c>
      <c r="Q60" s="30">
        <v>12223.84</v>
      </c>
      <c r="R60" s="205">
        <v>4</v>
      </c>
      <c r="S60" s="26">
        <f t="shared" si="3"/>
        <v>12223.84</v>
      </c>
      <c r="T60" s="30">
        <v>12223.84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15</v>
      </c>
      <c r="I62" s="62">
        <v>13</v>
      </c>
      <c r="J62" s="62">
        <v>14</v>
      </c>
      <c r="K62" s="30">
        <v>26653.77</v>
      </c>
      <c r="L62" s="205">
        <v>13</v>
      </c>
      <c r="M62" s="26">
        <f t="shared" si="2"/>
        <v>23872.07</v>
      </c>
      <c r="N62" s="30">
        <v>23872.07</v>
      </c>
      <c r="O62" s="225"/>
      <c r="P62" s="53">
        <v>6</v>
      </c>
      <c r="Q62" s="30">
        <v>45189.01</v>
      </c>
      <c r="R62" s="205">
        <v>6</v>
      </c>
      <c r="S62" s="26">
        <f t="shared" si="3"/>
        <v>45189.01</v>
      </c>
      <c r="T62" s="30">
        <v>45189.01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5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27</v>
      </c>
      <c r="I64" s="203">
        <v>17</v>
      </c>
      <c r="J64" s="203">
        <v>25</v>
      </c>
      <c r="K64" s="65">
        <v>52150.75</v>
      </c>
      <c r="L64" s="224">
        <v>25</v>
      </c>
      <c r="M64" s="50">
        <f t="shared" si="2"/>
        <v>52150.75</v>
      </c>
      <c r="N64" s="65">
        <v>52150.75</v>
      </c>
      <c r="O64" s="225"/>
      <c r="P64" s="53">
        <v>34</v>
      </c>
      <c r="Q64" s="30">
        <v>83293.759999999995</v>
      </c>
      <c r="R64" s="205">
        <v>34</v>
      </c>
      <c r="S64" s="26">
        <f t="shared" si="3"/>
        <v>83293.759999999995</v>
      </c>
      <c r="T64" s="30">
        <v>83293.759999999995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13</v>
      </c>
      <c r="I66" s="62">
        <v>10</v>
      </c>
      <c r="J66" s="62">
        <v>11</v>
      </c>
      <c r="K66" s="30">
        <v>13349.42</v>
      </c>
      <c r="L66" s="205">
        <v>10</v>
      </c>
      <c r="M66" s="26">
        <f t="shared" si="2"/>
        <v>12787.46</v>
      </c>
      <c r="N66" s="30">
        <v>12787.46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6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7</v>
      </c>
      <c r="I68" s="62">
        <v>4</v>
      </c>
      <c r="J68" s="62">
        <v>5</v>
      </c>
      <c r="K68" s="30">
        <v>9142.82</v>
      </c>
      <c r="L68" s="205">
        <v>4</v>
      </c>
      <c r="M68" s="26">
        <f t="shared" si="2"/>
        <v>8451.36</v>
      </c>
      <c r="N68" s="30">
        <v>8451.36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7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8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7</v>
      </c>
      <c r="I71" s="130">
        <v>5</v>
      </c>
      <c r="J71" s="130">
        <v>5</v>
      </c>
      <c r="K71" s="114">
        <v>7705.03</v>
      </c>
      <c r="L71" s="316">
        <v>4</v>
      </c>
      <c r="M71" s="129">
        <f t="shared" si="2"/>
        <v>6601.18</v>
      </c>
      <c r="N71" s="43">
        <f>1344.7+1738.48+2113.1+1404.9</f>
        <v>6601.18</v>
      </c>
      <c r="O71" s="45"/>
      <c r="P71" s="113">
        <v>2</v>
      </c>
      <c r="Q71" s="114">
        <v>18827.099999999999</v>
      </c>
      <c r="R71" s="128"/>
      <c r="S71" s="129">
        <f t="shared" si="3"/>
        <v>0</v>
      </c>
      <c r="T71" s="43"/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6</v>
      </c>
      <c r="I74" s="203">
        <v>2</v>
      </c>
      <c r="J74" s="203">
        <v>2</v>
      </c>
      <c r="K74" s="65">
        <v>2391.54</v>
      </c>
      <c r="L74" s="51"/>
      <c r="M74" s="50">
        <f t="shared" si="2"/>
        <v>0</v>
      </c>
      <c r="N74" s="50"/>
      <c r="O74" s="31"/>
      <c r="P74" s="108">
        <v>19</v>
      </c>
      <c r="Q74" s="65">
        <v>88949.07</v>
      </c>
      <c r="R74" s="224">
        <v>15</v>
      </c>
      <c r="S74" s="50">
        <f t="shared" si="3"/>
        <v>73353.95</v>
      </c>
      <c r="T74" s="65">
        <v>73353.95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1</v>
      </c>
      <c r="S75" s="43">
        <f t="shared" si="3"/>
        <v>2881.5</v>
      </c>
      <c r="T75" s="114">
        <v>2881.5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14</v>
      </c>
      <c r="I76" s="62">
        <v>9</v>
      </c>
      <c r="J76" s="62">
        <v>12</v>
      </c>
      <c r="K76" s="30">
        <v>34420.35</v>
      </c>
      <c r="L76" s="205">
        <v>12</v>
      </c>
      <c r="M76" s="26">
        <f t="shared" si="2"/>
        <v>34420.35</v>
      </c>
      <c r="N76" s="30">
        <v>34420.35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8"/>
      <c r="J77" s="38"/>
      <c r="K77" s="39"/>
      <c r="L77" s="40"/>
      <c r="M77" s="39">
        <f t="shared" si="2"/>
        <v>0</v>
      </c>
      <c r="N77" s="39"/>
      <c r="O77" s="41"/>
      <c r="P77" s="69"/>
      <c r="Q77" s="39"/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10</v>
      </c>
      <c r="I80" s="62">
        <v>7</v>
      </c>
      <c r="J80" s="62">
        <v>11</v>
      </c>
      <c r="K80" s="30">
        <v>20059.55</v>
      </c>
      <c r="L80" s="205">
        <v>9</v>
      </c>
      <c r="M80" s="26">
        <f t="shared" si="2"/>
        <v>14971.8</v>
      </c>
      <c r="N80" s="30">
        <v>14971.8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34"/>
      <c r="G81" s="35" t="s">
        <v>25</v>
      </c>
      <c r="H81" s="117">
        <v>4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8</v>
      </c>
      <c r="J82" s="203">
        <v>13</v>
      </c>
      <c r="K82" s="158">
        <v>34489.42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11</v>
      </c>
      <c r="Q82" s="65">
        <v>42582.42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43</v>
      </c>
      <c r="I84" s="62">
        <v>32</v>
      </c>
      <c r="J84" s="62">
        <v>48</v>
      </c>
      <c r="K84" s="30">
        <v>91477.55</v>
      </c>
      <c r="L84" s="205">
        <v>48</v>
      </c>
      <c r="M84" s="26">
        <f t="shared" si="4"/>
        <v>91477.55</v>
      </c>
      <c r="N84" s="30">
        <v>91477.55</v>
      </c>
      <c r="O84" s="225"/>
      <c r="P84" s="29">
        <v>24</v>
      </c>
      <c r="Q84" s="30">
        <v>80699.88</v>
      </c>
      <c r="R84" s="205">
        <v>24</v>
      </c>
      <c r="S84" s="26">
        <f t="shared" si="5"/>
        <v>80699.88</v>
      </c>
      <c r="T84" s="30">
        <v>80699.88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7</v>
      </c>
      <c r="I86" s="62">
        <v>5</v>
      </c>
      <c r="J86" s="62">
        <v>5</v>
      </c>
      <c r="K86" s="30">
        <v>10994.95</v>
      </c>
      <c r="L86" s="205">
        <v>4</v>
      </c>
      <c r="M86" s="26">
        <f t="shared" si="4"/>
        <v>7783.75</v>
      </c>
      <c r="N86" s="30">
        <v>7783.75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5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1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14</v>
      </c>
      <c r="I90" s="266">
        <v>10</v>
      </c>
      <c r="J90" s="266">
        <v>18</v>
      </c>
      <c r="K90" s="79">
        <v>30900.22</v>
      </c>
      <c r="L90" s="268">
        <v>13</v>
      </c>
      <c r="M90" s="81">
        <f t="shared" si="4"/>
        <v>22197.56</v>
      </c>
      <c r="N90" s="79">
        <v>22197.56</v>
      </c>
      <c r="O90" s="269"/>
      <c r="P90" s="267">
        <v>13</v>
      </c>
      <c r="Q90" s="79">
        <v>30265.69</v>
      </c>
      <c r="R90" s="268">
        <v>9</v>
      </c>
      <c r="S90" s="81">
        <f t="shared" si="5"/>
        <v>22011.75</v>
      </c>
      <c r="T90" s="79">
        <v>22011.75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54"/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2</v>
      </c>
      <c r="I96" s="25"/>
      <c r="J96" s="25"/>
      <c r="K96" s="26"/>
      <c r="L96" s="27"/>
      <c r="M96" s="26">
        <f t="shared" si="4"/>
        <v>0</v>
      </c>
      <c r="N96" s="26"/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19</v>
      </c>
      <c r="I98" s="62">
        <v>13</v>
      </c>
      <c r="J98" s="62">
        <v>19</v>
      </c>
      <c r="K98" s="30">
        <v>32261.599999999999</v>
      </c>
      <c r="L98" s="205">
        <v>17</v>
      </c>
      <c r="M98" s="26">
        <f t="shared" si="4"/>
        <v>29987.31</v>
      </c>
      <c r="N98" s="30">
        <v>29987.31</v>
      </c>
      <c r="O98" s="31"/>
      <c r="P98" s="53">
        <v>11</v>
      </c>
      <c r="Q98" s="30">
        <v>39192.99</v>
      </c>
      <c r="R98" s="205">
        <v>10</v>
      </c>
      <c r="S98" s="26">
        <f t="shared" si="5"/>
        <v>37366.67</v>
      </c>
      <c r="T98" s="30">
        <v>37366.67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8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7</v>
      </c>
      <c r="Q99" s="68">
        <v>26943.26</v>
      </c>
      <c r="R99" s="285">
        <v>6</v>
      </c>
      <c r="S99" s="68">
        <v>19517.36</v>
      </c>
      <c r="T99" s="68">
        <v>19517.36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7</v>
      </c>
      <c r="I100" s="203">
        <v>2</v>
      </c>
      <c r="J100" s="203">
        <v>2</v>
      </c>
      <c r="K100" s="65">
        <v>2539.56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8</v>
      </c>
      <c r="Q100" s="65">
        <v>93924.24</v>
      </c>
      <c r="R100" s="224">
        <v>8</v>
      </c>
      <c r="S100" s="50">
        <f t="shared" ref="S100:S106" si="6">T100+U100</f>
        <v>93924.24</v>
      </c>
      <c r="T100" s="65">
        <v>93924.24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1</v>
      </c>
      <c r="M101" s="114">
        <v>1344.7</v>
      </c>
      <c r="N101" s="114">
        <v>1344.7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3</v>
      </c>
      <c r="K102" s="30">
        <v>7389.22</v>
      </c>
      <c r="L102" s="205">
        <v>3</v>
      </c>
      <c r="M102" s="26">
        <f t="shared" ref="M102:M106" si="7">N102+O102</f>
        <v>7389.22</v>
      </c>
      <c r="N102" s="30">
        <v>7389.22</v>
      </c>
      <c r="O102" s="31"/>
      <c r="P102" s="53">
        <v>8</v>
      </c>
      <c r="Q102" s="30">
        <v>39013.760000000002</v>
      </c>
      <c r="R102" s="205">
        <v>8</v>
      </c>
      <c r="S102" s="26">
        <f t="shared" si="6"/>
        <v>39013.760000000002</v>
      </c>
      <c r="T102" s="30">
        <v>39013.760000000002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03"/>
      <c r="Q103" s="43"/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4</v>
      </c>
      <c r="K104" s="30">
        <v>7949.83</v>
      </c>
      <c r="L104" s="205">
        <v>3</v>
      </c>
      <c r="M104" s="26">
        <f t="shared" si="7"/>
        <v>4738.63</v>
      </c>
      <c r="N104" s="30">
        <v>4738.63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5</v>
      </c>
      <c r="J106" s="62">
        <v>7</v>
      </c>
      <c r="K106" s="30">
        <v>19153.98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27</v>
      </c>
      <c r="Q106" s="30">
        <v>93034.72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8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6</v>
      </c>
      <c r="J108" s="62">
        <v>6</v>
      </c>
      <c r="K108" s="30">
        <v>4786.25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14</v>
      </c>
      <c r="I110" s="62">
        <v>10</v>
      </c>
      <c r="J110" s="62">
        <v>14</v>
      </c>
      <c r="K110" s="30" t="s">
        <v>483</v>
      </c>
      <c r="L110" s="205">
        <v>11</v>
      </c>
      <c r="M110" s="26">
        <f t="shared" si="8"/>
        <v>21963.53</v>
      </c>
      <c r="N110" s="30">
        <v>21963.53</v>
      </c>
      <c r="O110" s="241"/>
      <c r="P110" s="214">
        <v>13</v>
      </c>
      <c r="Q110" s="30">
        <v>57575.81</v>
      </c>
      <c r="R110" s="205">
        <v>13</v>
      </c>
      <c r="S110" s="26">
        <f t="shared" si="9"/>
        <v>57575.81</v>
      </c>
      <c r="T110" s="30">
        <v>57575.81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8</v>
      </c>
      <c r="I111" s="286">
        <v>6</v>
      </c>
      <c r="J111" s="286">
        <v>6</v>
      </c>
      <c r="K111" s="287">
        <v>13739.4</v>
      </c>
      <c r="L111" s="315">
        <v>5</v>
      </c>
      <c r="M111" s="39">
        <f t="shared" si="8"/>
        <v>11331</v>
      </c>
      <c r="N111" s="39">
        <f>1921+3073.6+1921+3010.5+1404.9</f>
        <v>11331</v>
      </c>
      <c r="O111" s="41"/>
      <c r="P111" s="217">
        <v>3</v>
      </c>
      <c r="Q111" s="37">
        <v>7587.95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10</v>
      </c>
      <c r="I114" s="203">
        <v>6</v>
      </c>
      <c r="J114" s="203">
        <v>7</v>
      </c>
      <c r="K114" s="65">
        <v>11419.72</v>
      </c>
      <c r="L114" s="224">
        <v>6</v>
      </c>
      <c r="M114" s="50">
        <f t="shared" si="8"/>
        <v>10235.59</v>
      </c>
      <c r="N114" s="65">
        <v>10235.59</v>
      </c>
      <c r="O114" s="225"/>
      <c r="P114" s="108">
        <v>9</v>
      </c>
      <c r="Q114" s="65">
        <v>19656.830000000002</v>
      </c>
      <c r="R114" s="224">
        <v>9</v>
      </c>
      <c r="S114" s="50">
        <f t="shared" si="9"/>
        <v>19656.830000000002</v>
      </c>
      <c r="T114" s="65">
        <v>19656.830000000002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9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7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6</v>
      </c>
      <c r="I117" s="37">
        <v>6</v>
      </c>
      <c r="J117" s="37">
        <v>7</v>
      </c>
      <c r="K117" s="68">
        <v>17745.900000000001</v>
      </c>
      <c r="L117" s="285">
        <v>5</v>
      </c>
      <c r="M117" s="39">
        <f t="shared" si="8"/>
        <v>11516.9</v>
      </c>
      <c r="N117" s="39">
        <f>1580.8+3353.7+4415.4+1404.9+762.1</f>
        <v>11516.9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24</v>
      </c>
      <c r="I118" s="203">
        <v>18</v>
      </c>
      <c r="J118" s="203">
        <v>21</v>
      </c>
      <c r="K118" s="65">
        <v>47812.95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21</v>
      </c>
      <c r="Q118" s="65">
        <v>73748.09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14</v>
      </c>
      <c r="I122" s="62">
        <v>12</v>
      </c>
      <c r="J122" s="62">
        <v>12</v>
      </c>
      <c r="K122" s="30">
        <v>11401.39</v>
      </c>
      <c r="L122" s="205">
        <v>9</v>
      </c>
      <c r="M122" s="26">
        <f t="shared" si="8"/>
        <v>8773.83</v>
      </c>
      <c r="N122" s="30">
        <v>8773.83</v>
      </c>
      <c r="O122" s="31"/>
      <c r="P122" s="53">
        <v>8</v>
      </c>
      <c r="Q122" s="30">
        <v>32433.51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6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7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145"/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3</v>
      </c>
      <c r="I125" s="203">
        <v>2</v>
      </c>
      <c r="J125" s="203">
        <v>3</v>
      </c>
      <c r="K125" s="65">
        <v>5015.66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38019.17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12</v>
      </c>
      <c r="I127" s="62">
        <v>8</v>
      </c>
      <c r="J127" s="62">
        <v>10</v>
      </c>
      <c r="K127" s="30">
        <v>27914.080000000002</v>
      </c>
      <c r="L127" s="205">
        <v>10</v>
      </c>
      <c r="M127" s="26">
        <f t="shared" si="10"/>
        <v>27914.080000000002</v>
      </c>
      <c r="N127" s="30">
        <v>27914.080000000002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18</v>
      </c>
      <c r="I129" s="62">
        <v>16</v>
      </c>
      <c r="J129" s="62">
        <v>22</v>
      </c>
      <c r="K129" s="30">
        <v>45233.25</v>
      </c>
      <c r="L129" s="205">
        <v>22</v>
      </c>
      <c r="M129" s="26">
        <f t="shared" si="10"/>
        <v>45233.25</v>
      </c>
      <c r="N129" s="30">
        <v>45233.25</v>
      </c>
      <c r="O129" s="225"/>
      <c r="P129" s="53">
        <v>10</v>
      </c>
      <c r="Q129" s="30">
        <v>25611.57</v>
      </c>
      <c r="R129" s="205">
        <v>10</v>
      </c>
      <c r="S129" s="26">
        <f t="shared" si="9"/>
        <v>25611.57</v>
      </c>
      <c r="T129" s="30">
        <v>25611.57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8</v>
      </c>
      <c r="I133" s="62">
        <v>7</v>
      </c>
      <c r="J133" s="62">
        <v>10</v>
      </c>
      <c r="K133" s="30">
        <v>15526.5</v>
      </c>
      <c r="L133" s="205">
        <v>8</v>
      </c>
      <c r="M133" s="26">
        <f t="shared" si="10"/>
        <v>12647.96</v>
      </c>
      <c r="N133" s="30">
        <v>12647.96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19</v>
      </c>
      <c r="I135" s="203">
        <v>12</v>
      </c>
      <c r="J135" s="203">
        <v>18</v>
      </c>
      <c r="K135" s="65">
        <v>44935.58</v>
      </c>
      <c r="L135" s="224">
        <v>18</v>
      </c>
      <c r="M135" s="50">
        <f t="shared" si="10"/>
        <v>44935.58</v>
      </c>
      <c r="N135" s="65">
        <v>44935.58</v>
      </c>
      <c r="O135" s="225"/>
      <c r="P135" s="108">
        <v>31</v>
      </c>
      <c r="Q135" s="65">
        <v>116106.08</v>
      </c>
      <c r="R135" s="224">
        <v>29</v>
      </c>
      <c r="S135" s="50">
        <f t="shared" si="9"/>
        <v>112352.1</v>
      </c>
      <c r="T135" s="65">
        <v>112352.1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15</v>
      </c>
      <c r="I137" s="62">
        <v>8</v>
      </c>
      <c r="J137" s="62">
        <v>11</v>
      </c>
      <c r="K137" s="30">
        <v>20338.259999999998</v>
      </c>
      <c r="L137" s="205">
        <v>10</v>
      </c>
      <c r="M137" s="26">
        <f t="shared" si="10"/>
        <v>20338.259999999998</v>
      </c>
      <c r="N137" s="30">
        <v>20338.259999999998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28</v>
      </c>
      <c r="I139" s="62">
        <v>17</v>
      </c>
      <c r="J139" s="62">
        <v>18</v>
      </c>
      <c r="K139" s="30">
        <v>26219.35</v>
      </c>
      <c r="L139" s="205">
        <v>16</v>
      </c>
      <c r="M139" s="26">
        <f t="shared" si="10"/>
        <v>23772.44</v>
      </c>
      <c r="N139" s="30">
        <v>23772.44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G140" s="227" t="s">
        <v>25</v>
      </c>
      <c r="H140" s="260">
        <v>6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56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23</v>
      </c>
      <c r="I145" s="266">
        <v>20</v>
      </c>
      <c r="J145" s="266">
        <v>29</v>
      </c>
      <c r="K145" s="79">
        <v>61472.14</v>
      </c>
      <c r="L145" s="268">
        <v>27</v>
      </c>
      <c r="M145" s="81">
        <f t="shared" si="11"/>
        <v>52653.62</v>
      </c>
      <c r="N145" s="79">
        <v>52653.62</v>
      </c>
      <c r="O145" s="269"/>
      <c r="P145" s="267">
        <v>19</v>
      </c>
      <c r="Q145" s="79">
        <v>80617.679999999993</v>
      </c>
      <c r="R145" s="268">
        <v>17</v>
      </c>
      <c r="S145" s="81">
        <f t="shared" si="12"/>
        <v>78992.92</v>
      </c>
      <c r="T145" s="79">
        <v>78992.92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18</v>
      </c>
      <c r="I147" s="203">
        <v>13</v>
      </c>
      <c r="J147" s="203">
        <v>16</v>
      </c>
      <c r="K147" s="65">
        <v>36210.6</v>
      </c>
      <c r="L147" s="224">
        <v>15</v>
      </c>
      <c r="M147" s="50">
        <f t="shared" si="11"/>
        <v>36210.6</v>
      </c>
      <c r="N147" s="65">
        <v>36210.6</v>
      </c>
      <c r="O147" s="225"/>
      <c r="P147" s="108">
        <v>56</v>
      </c>
      <c r="Q147" s="65">
        <v>335574.55</v>
      </c>
      <c r="R147" s="224">
        <v>56</v>
      </c>
      <c r="S147" s="50">
        <f t="shared" si="12"/>
        <v>335574.55</v>
      </c>
      <c r="T147" s="65">
        <v>335574.55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135"/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156"/>
      <c r="Q148" s="129"/>
      <c r="R148" s="128"/>
      <c r="S148" s="129">
        <f t="shared" si="12"/>
        <v>0</v>
      </c>
      <c r="T148" s="129"/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si="12"/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1</v>
      </c>
      <c r="J150" s="62">
        <v>1</v>
      </c>
      <c r="K150" s="30">
        <v>384.2</v>
      </c>
      <c r="L150" s="205">
        <v>1</v>
      </c>
      <c r="M150" s="26">
        <f t="shared" si="11"/>
        <v>384.2</v>
      </c>
      <c r="N150" s="30">
        <v>384.2</v>
      </c>
      <c r="O150" s="225"/>
      <c r="P150" s="53">
        <v>15</v>
      </c>
      <c r="Q150" s="30">
        <v>10414.84</v>
      </c>
      <c r="R150" s="205">
        <v>4</v>
      </c>
      <c r="S150" s="26">
        <f t="shared" si="12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6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3</v>
      </c>
      <c r="Q151" s="68">
        <v>7062.2</v>
      </c>
      <c r="R151" s="285">
        <v>3</v>
      </c>
      <c r="S151" s="39">
        <f t="shared" si="12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11</v>
      </c>
      <c r="I152" s="203">
        <v>10</v>
      </c>
      <c r="J152" s="203">
        <v>15</v>
      </c>
      <c r="K152" s="65">
        <v>31623.83</v>
      </c>
      <c r="L152" s="224">
        <v>14</v>
      </c>
      <c r="M152" s="50">
        <f t="shared" si="11"/>
        <v>28292.01</v>
      </c>
      <c r="N152" s="65">
        <v>28292.01</v>
      </c>
      <c r="O152" s="225"/>
      <c r="P152" s="108">
        <v>8</v>
      </c>
      <c r="Q152" s="65">
        <v>29582.03</v>
      </c>
      <c r="R152" s="224">
        <v>8</v>
      </c>
      <c r="S152" s="50">
        <f t="shared" si="12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4</v>
      </c>
      <c r="J153" s="37">
        <v>4</v>
      </c>
      <c r="K153" s="68">
        <v>5174.6000000000004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2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2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2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2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34"/>
      <c r="G157" s="229" t="s">
        <v>25</v>
      </c>
      <c r="H157" s="112">
        <v>7</v>
      </c>
      <c r="I157" s="130">
        <v>5</v>
      </c>
      <c r="J157" s="130">
        <v>5</v>
      </c>
      <c r="K157" s="114">
        <v>7800.08</v>
      </c>
      <c r="L157" s="270">
        <v>5</v>
      </c>
      <c r="M157" s="114">
        <v>7800.08</v>
      </c>
      <c r="N157" s="114">
        <v>7800.08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12</v>
      </c>
      <c r="I158" s="62">
        <v>9</v>
      </c>
      <c r="J158" s="62">
        <v>12</v>
      </c>
      <c r="K158" s="30">
        <v>17815.71</v>
      </c>
      <c r="L158" s="205">
        <v>11</v>
      </c>
      <c r="M158" s="26">
        <f t="shared" ref="M158:M229" si="13">N158+O158</f>
        <v>15812.22</v>
      </c>
      <c r="N158" s="30">
        <v>15812.22</v>
      </c>
      <c r="O158" s="225"/>
      <c r="P158" s="53">
        <v>12</v>
      </c>
      <c r="Q158" s="30">
        <v>49378.37</v>
      </c>
      <c r="R158" s="205">
        <v>12</v>
      </c>
      <c r="S158" s="26">
        <f t="shared" ref="S158:S190" si="14">T158+U158</f>
        <v>49378.37</v>
      </c>
      <c r="T158" s="30">
        <v>49378.37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15</v>
      </c>
      <c r="I159" s="271">
        <v>8</v>
      </c>
      <c r="J159" s="271">
        <v>8</v>
      </c>
      <c r="K159" s="239">
        <v>16036</v>
      </c>
      <c r="L159" s="316">
        <v>7</v>
      </c>
      <c r="M159" s="129">
        <f t="shared" si="13"/>
        <v>13627.599999999999</v>
      </c>
      <c r="N159" s="129">
        <f>1728.9+2305.2+576.3+4802.5+1404.9+1404.9+1404.9</f>
        <v>13627.599999999999</v>
      </c>
      <c r="O159" s="45"/>
      <c r="P159" s="238">
        <v>7</v>
      </c>
      <c r="Q159" s="239">
        <v>11775.73</v>
      </c>
      <c r="R159" s="316">
        <v>8</v>
      </c>
      <c r="S159" s="129">
        <f t="shared" si="14"/>
        <v>12985.960000000001</v>
      </c>
      <c r="T159" s="239">
        <f>288.15+6934.81+3073.6+1344.7+1344.7</f>
        <v>12985.960000000001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3"/>
        <v>0</v>
      </c>
      <c r="N160" s="43"/>
      <c r="O160" s="41"/>
      <c r="P160" s="103"/>
      <c r="Q160" s="43"/>
      <c r="R160" s="44"/>
      <c r="S160" s="43">
        <f t="shared" si="14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10</v>
      </c>
      <c r="I161" s="62">
        <v>7</v>
      </c>
      <c r="J161" s="62">
        <v>7</v>
      </c>
      <c r="K161" s="30">
        <v>17034.34</v>
      </c>
      <c r="L161" s="205">
        <v>6</v>
      </c>
      <c r="M161" s="26">
        <f t="shared" si="13"/>
        <v>16306.8</v>
      </c>
      <c r="N161" s="30">
        <v>16306.8</v>
      </c>
      <c r="O161" s="31"/>
      <c r="P161" s="53">
        <v>12</v>
      </c>
      <c r="Q161" s="30">
        <v>1415.78</v>
      </c>
      <c r="R161" s="205">
        <v>1</v>
      </c>
      <c r="S161" s="26">
        <f t="shared" si="14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3"/>
        <v>0</v>
      </c>
      <c r="N162" s="39"/>
      <c r="O162" s="41"/>
      <c r="P162" s="59"/>
      <c r="Q162" s="39"/>
      <c r="R162" s="40"/>
      <c r="S162" s="39">
        <f t="shared" si="14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12</v>
      </c>
      <c r="I163" s="203">
        <v>9</v>
      </c>
      <c r="J163" s="203">
        <v>9</v>
      </c>
      <c r="K163" s="65">
        <v>11430.48</v>
      </c>
      <c r="L163" s="224">
        <v>9</v>
      </c>
      <c r="M163" s="50">
        <f t="shared" si="13"/>
        <v>11430.48</v>
      </c>
      <c r="N163" s="65">
        <v>11430.48</v>
      </c>
      <c r="O163" s="225"/>
      <c r="P163" s="108">
        <v>6</v>
      </c>
      <c r="Q163" s="65">
        <v>33605.230000000003</v>
      </c>
      <c r="R163" s="224">
        <v>6</v>
      </c>
      <c r="S163" s="50">
        <f t="shared" si="14"/>
        <v>33605.230000000003</v>
      </c>
      <c r="T163" s="65">
        <v>33605.230000000003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4</v>
      </c>
      <c r="J164" s="246">
        <v>4</v>
      </c>
      <c r="K164" s="158">
        <v>8842.2999999999993</v>
      </c>
      <c r="L164" s="317">
        <v>4</v>
      </c>
      <c r="M164" s="142">
        <f t="shared" si="13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4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34"/>
      <c r="G165" s="229" t="s">
        <v>25</v>
      </c>
      <c r="H165" s="118"/>
      <c r="I165" s="57"/>
      <c r="J165" s="57"/>
      <c r="K165" s="43"/>
      <c r="L165" s="44"/>
      <c r="M165" s="43">
        <f t="shared" si="13"/>
        <v>0</v>
      </c>
      <c r="N165" s="43"/>
      <c r="O165" s="41"/>
      <c r="P165" s="103"/>
      <c r="Q165" s="43"/>
      <c r="R165" s="44"/>
      <c r="S165" s="43">
        <f t="shared" si="14"/>
        <v>0</v>
      </c>
      <c r="T165" s="43"/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15</v>
      </c>
      <c r="I166" s="62">
        <v>8</v>
      </c>
      <c r="J166" s="62">
        <v>10</v>
      </c>
      <c r="K166" s="30">
        <v>20039.89</v>
      </c>
      <c r="L166" s="205">
        <v>8</v>
      </c>
      <c r="M166" s="26">
        <f t="shared" si="13"/>
        <v>15213.58</v>
      </c>
      <c r="N166" s="30">
        <v>15213.58</v>
      </c>
      <c r="O166" s="31"/>
      <c r="P166" s="53">
        <v>2</v>
      </c>
      <c r="Q166" s="30">
        <v>3779.47</v>
      </c>
      <c r="R166" s="205">
        <v>2</v>
      </c>
      <c r="S166" s="26">
        <f t="shared" si="14"/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4</v>
      </c>
      <c r="J167" s="37">
        <v>4</v>
      </c>
      <c r="K167" s="68">
        <v>5042.7</v>
      </c>
      <c r="L167" s="285">
        <v>5</v>
      </c>
      <c r="M167" s="39">
        <f t="shared" si="13"/>
        <v>5042.7000000000007</v>
      </c>
      <c r="N167" s="39">
        <f>576.3+1716.8+1344.7+1404.9</f>
        <v>5042.7000000000007</v>
      </c>
      <c r="O167" s="41"/>
      <c r="P167" s="115">
        <v>2</v>
      </c>
      <c r="Q167" s="68">
        <v>3265.7</v>
      </c>
      <c r="R167" s="285">
        <v>2</v>
      </c>
      <c r="S167" s="39">
        <f t="shared" si="14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8</v>
      </c>
      <c r="J168" s="203">
        <v>9</v>
      </c>
      <c r="K168" s="65">
        <v>18805.77</v>
      </c>
      <c r="L168" s="224">
        <v>6</v>
      </c>
      <c r="M168" s="50">
        <f t="shared" si="13"/>
        <v>13186.17</v>
      </c>
      <c r="N168" s="65">
        <v>13186.17</v>
      </c>
      <c r="O168" s="31"/>
      <c r="P168" s="108">
        <v>9</v>
      </c>
      <c r="Q168" s="65">
        <v>21231.99</v>
      </c>
      <c r="R168" s="224">
        <v>8</v>
      </c>
      <c r="S168" s="50">
        <f t="shared" si="14"/>
        <v>16335.71</v>
      </c>
      <c r="T168" s="65">
        <v>16335.71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6</v>
      </c>
      <c r="I169" s="130">
        <v>5</v>
      </c>
      <c r="J169" s="130">
        <v>5</v>
      </c>
      <c r="K169" s="114">
        <v>18356.64</v>
      </c>
      <c r="L169" s="270">
        <v>5</v>
      </c>
      <c r="M169" s="43">
        <f t="shared" si="13"/>
        <v>8836.6</v>
      </c>
      <c r="N169" s="43">
        <f>3880.42+1344.7+1921+1690.48</f>
        <v>8836.6</v>
      </c>
      <c r="O169" s="41"/>
      <c r="P169" s="113">
        <v>5</v>
      </c>
      <c r="Q169" s="114">
        <v>11814.15</v>
      </c>
      <c r="R169" s="270">
        <v>4</v>
      </c>
      <c r="S169" s="43">
        <f t="shared" si="14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6</v>
      </c>
      <c r="M170" s="26">
        <f t="shared" si="13"/>
        <v>13798.74</v>
      </c>
      <c r="N170" s="30">
        <v>13798.74</v>
      </c>
      <c r="O170" s="225"/>
      <c r="P170" s="53">
        <v>15</v>
      </c>
      <c r="Q170" s="30">
        <v>52937.79</v>
      </c>
      <c r="R170" s="205">
        <v>15</v>
      </c>
      <c r="S170" s="26">
        <f t="shared" si="14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3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6</v>
      </c>
      <c r="S171" s="43">
        <f t="shared" si="14"/>
        <v>16062.800000000001</v>
      </c>
      <c r="T171" s="114">
        <f>6269.7+3984+2305.2+3503.9</f>
        <v>16062.800000000001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14</v>
      </c>
      <c r="I172" s="62">
        <v>10</v>
      </c>
      <c r="J172" s="62">
        <v>11</v>
      </c>
      <c r="K172" s="30">
        <v>24333.17</v>
      </c>
      <c r="L172" s="205">
        <v>10</v>
      </c>
      <c r="M172" s="26">
        <f t="shared" si="13"/>
        <v>23339.7</v>
      </c>
      <c r="N172" s="30">
        <v>23339.7</v>
      </c>
      <c r="O172" s="159"/>
      <c r="P172" s="53">
        <v>4</v>
      </c>
      <c r="Q172" s="30">
        <v>31835.37</v>
      </c>
      <c r="R172" s="205">
        <v>4</v>
      </c>
      <c r="S172" s="26">
        <f t="shared" si="14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8</v>
      </c>
      <c r="I173" s="208">
        <v>1</v>
      </c>
      <c r="J173" s="208">
        <v>1</v>
      </c>
      <c r="K173" s="209">
        <v>1728</v>
      </c>
      <c r="L173" s="210"/>
      <c r="M173" s="211">
        <f t="shared" si="13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4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4</v>
      </c>
      <c r="I174" s="62">
        <v>4</v>
      </c>
      <c r="J174" s="62">
        <v>7</v>
      </c>
      <c r="K174" s="30">
        <v>18567.810000000001</v>
      </c>
      <c r="L174" s="205">
        <v>6</v>
      </c>
      <c r="M174" s="26">
        <f t="shared" si="13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4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3"/>
        <v>0</v>
      </c>
      <c r="N175" s="39"/>
      <c r="O175" s="41"/>
      <c r="P175" s="217"/>
      <c r="Q175" s="68"/>
      <c r="R175" s="285"/>
      <c r="S175" s="39">
        <f t="shared" si="14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8</v>
      </c>
      <c r="I176" s="266">
        <v>5</v>
      </c>
      <c r="J176" s="266">
        <v>5</v>
      </c>
      <c r="K176" s="79">
        <v>11395.47</v>
      </c>
      <c r="L176" s="268">
        <v>5</v>
      </c>
      <c r="M176" s="81">
        <f t="shared" si="13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4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3"/>
        <v>0</v>
      </c>
      <c r="N177" s="43"/>
      <c r="O177" s="45"/>
      <c r="P177" s="103"/>
      <c r="Q177" s="43"/>
      <c r="R177" s="44"/>
      <c r="S177" s="43">
        <f t="shared" si="14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3"/>
        <v>524.91</v>
      </c>
      <c r="N178" s="30">
        <v>524.91</v>
      </c>
      <c r="O178" s="241"/>
      <c r="P178" s="53">
        <v>1</v>
      </c>
      <c r="Q178" s="30">
        <v>412.05</v>
      </c>
      <c r="R178" s="205">
        <v>1</v>
      </c>
      <c r="S178" s="26">
        <f t="shared" si="14"/>
        <v>412.05</v>
      </c>
      <c r="T178" s="30">
        <v>412.05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3"/>
        <v>0</v>
      </c>
      <c r="N179" s="211"/>
      <c r="O179" s="212"/>
      <c r="P179" s="273"/>
      <c r="Q179" s="211"/>
      <c r="R179" s="210"/>
      <c r="S179" s="211">
        <f t="shared" si="14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4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3"/>
        <v>9442.35</v>
      </c>
      <c r="N180" s="30">
        <v>9442.35</v>
      </c>
      <c r="O180" s="28"/>
      <c r="P180" s="214"/>
      <c r="Q180" s="30"/>
      <c r="R180" s="205"/>
      <c r="S180" s="26">
        <f t="shared" si="14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3"/>
        <v>0</v>
      </c>
      <c r="N181" s="39"/>
      <c r="O181" s="41"/>
      <c r="P181" s="217"/>
      <c r="Q181" s="68"/>
      <c r="R181" s="285"/>
      <c r="S181" s="39">
        <f t="shared" si="14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5</v>
      </c>
      <c r="I182" s="266">
        <v>4</v>
      </c>
      <c r="J182" s="266">
        <v>5</v>
      </c>
      <c r="K182" s="79">
        <v>14046.02</v>
      </c>
      <c r="L182" s="268">
        <v>3</v>
      </c>
      <c r="M182" s="81">
        <f t="shared" si="13"/>
        <v>3521.24</v>
      </c>
      <c r="N182" s="79">
        <v>3521.24</v>
      </c>
      <c r="O182" s="219"/>
      <c r="P182" s="267">
        <v>16</v>
      </c>
      <c r="Q182" s="79">
        <v>44811.49</v>
      </c>
      <c r="R182" s="268">
        <v>15</v>
      </c>
      <c r="S182" s="81">
        <f t="shared" si="14"/>
        <v>43575.18</v>
      </c>
      <c r="T182" s="79">
        <v>43575.18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4</v>
      </c>
      <c r="M183" s="50">
        <f t="shared" si="13"/>
        <v>14165.32</v>
      </c>
      <c r="N183" s="43">
        <f>2497.3+1152.6+5920.02+4595.4</f>
        <v>14165.32</v>
      </c>
      <c r="O183" s="41"/>
      <c r="P183" s="113">
        <v>2</v>
      </c>
      <c r="Q183" s="114">
        <v>7924</v>
      </c>
      <c r="R183" s="270">
        <v>3</v>
      </c>
      <c r="S183" s="43">
        <f t="shared" si="14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10</v>
      </c>
      <c r="I184" s="62">
        <v>8</v>
      </c>
      <c r="J184" s="62">
        <v>8</v>
      </c>
      <c r="K184" s="30">
        <v>26813.99</v>
      </c>
      <c r="L184" s="205">
        <v>6</v>
      </c>
      <c r="M184" s="26">
        <f t="shared" si="13"/>
        <v>22780.46</v>
      </c>
      <c r="N184" s="30">
        <v>22780.46</v>
      </c>
      <c r="O184" s="225"/>
      <c r="P184" s="53">
        <v>11</v>
      </c>
      <c r="Q184" s="30">
        <v>34917.42</v>
      </c>
      <c r="R184" s="205">
        <v>11</v>
      </c>
      <c r="S184" s="26">
        <f t="shared" si="14"/>
        <v>34917.42</v>
      </c>
      <c r="T184" s="30">
        <v>34917.42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57"/>
      <c r="J185" s="57"/>
      <c r="K185" s="43"/>
      <c r="L185" s="44"/>
      <c r="M185" s="43">
        <f t="shared" si="13"/>
        <v>0</v>
      </c>
      <c r="N185" s="43"/>
      <c r="O185" s="41"/>
      <c r="P185" s="115">
        <v>7</v>
      </c>
      <c r="Q185" s="68">
        <v>28978.07</v>
      </c>
      <c r="R185" s="285">
        <v>7</v>
      </c>
      <c r="S185" s="39">
        <f t="shared" si="14"/>
        <v>28978.07</v>
      </c>
      <c r="T185" s="68">
        <f>576.3+15944.3+1479.17+1344.7+8228.7+1404.9</f>
        <v>28978.07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21</v>
      </c>
      <c r="I186" s="62">
        <v>19</v>
      </c>
      <c r="J186" s="204">
        <v>25</v>
      </c>
      <c r="K186" s="30">
        <v>42730.94</v>
      </c>
      <c r="L186" s="205">
        <v>21</v>
      </c>
      <c r="M186" s="26">
        <f t="shared" si="13"/>
        <v>38411.870000000003</v>
      </c>
      <c r="N186" s="30">
        <v>38411.870000000003</v>
      </c>
      <c r="O186" s="225"/>
      <c r="P186" s="108">
        <v>22</v>
      </c>
      <c r="Q186" s="65">
        <v>79924.350000000006</v>
      </c>
      <c r="R186" s="224">
        <v>22</v>
      </c>
      <c r="S186" s="50">
        <f t="shared" si="14"/>
        <v>79924.350000000006</v>
      </c>
      <c r="T186" s="65">
        <v>79924.350000000006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2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3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4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1</v>
      </c>
      <c r="J188" s="62">
        <v>1</v>
      </c>
      <c r="K188" s="326">
        <v>662.31</v>
      </c>
      <c r="L188" s="327">
        <v>1</v>
      </c>
      <c r="M188" s="162">
        <f t="shared" si="13"/>
        <v>662.31</v>
      </c>
      <c r="N188" s="326">
        <v>662.31</v>
      </c>
      <c r="O188" s="28"/>
      <c r="P188" s="275"/>
      <c r="Q188" s="26"/>
      <c r="R188" s="27"/>
      <c r="S188" s="26">
        <f t="shared" si="14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4</v>
      </c>
      <c r="I189" s="37">
        <v>1</v>
      </c>
      <c r="J189" s="37">
        <v>1</v>
      </c>
      <c r="K189" s="318">
        <v>1056.22</v>
      </c>
      <c r="L189" s="343">
        <v>1</v>
      </c>
      <c r="M189" s="164">
        <f t="shared" si="13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4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3"/>
        <v>0</v>
      </c>
      <c r="N190" s="293"/>
      <c r="O190" s="82"/>
      <c r="P190" s="295"/>
      <c r="Q190" s="81"/>
      <c r="R190" s="80"/>
      <c r="S190" s="81">
        <f t="shared" si="14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06"/>
      <c r="I191" s="38"/>
      <c r="J191" s="38"/>
      <c r="K191" s="164"/>
      <c r="L191" s="165"/>
      <c r="M191" s="164">
        <f t="shared" si="13"/>
        <v>0</v>
      </c>
      <c r="N191" s="164"/>
      <c r="O191" s="41"/>
      <c r="P191" s="67">
        <v>4</v>
      </c>
      <c r="Q191" s="68">
        <v>19199.810000000001</v>
      </c>
      <c r="R191" s="285">
        <v>4</v>
      </c>
      <c r="S191" s="68">
        <v>19199.810000000001</v>
      </c>
      <c r="T191" s="68">
        <v>19199.810000000001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21</v>
      </c>
      <c r="I192" s="203">
        <v>20</v>
      </c>
      <c r="J192" s="203">
        <v>28</v>
      </c>
      <c r="K192" s="242">
        <v>59144.18</v>
      </c>
      <c r="L192" s="320">
        <v>25</v>
      </c>
      <c r="M192" s="166">
        <f t="shared" si="13"/>
        <v>50699.519999999997</v>
      </c>
      <c r="N192" s="242">
        <v>50699.519999999997</v>
      </c>
      <c r="O192" s="225"/>
      <c r="P192" s="108">
        <v>7</v>
      </c>
      <c r="Q192" s="65">
        <v>41813.410000000003</v>
      </c>
      <c r="R192" s="224">
        <v>7</v>
      </c>
      <c r="S192" s="50">
        <f t="shared" ref="S192:S211" si="15">T192+U192</f>
        <v>41813.410000000003</v>
      </c>
      <c r="T192" s="65">
        <v>41813.410000000003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3"/>
        <v>1152.5999999999999</v>
      </c>
      <c r="N193" s="43">
        <f>1152.6</f>
        <v>1152.5999999999999</v>
      </c>
      <c r="O193" s="41"/>
      <c r="P193" s="113">
        <v>3</v>
      </c>
      <c r="Q193" s="114">
        <v>19714.599999999999</v>
      </c>
      <c r="R193" s="270">
        <v>4</v>
      </c>
      <c r="S193" s="43">
        <f t="shared" si="15"/>
        <v>21635.599999999999</v>
      </c>
      <c r="T193" s="114">
        <f>1921+11718.1+5186.7+2809.8</f>
        <v>21635.599999999999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5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3"/>
        <v>5891.75</v>
      </c>
      <c r="N194" s="30">
        <v>5891.75</v>
      </c>
      <c r="O194" s="31"/>
      <c r="P194" s="53">
        <v>8</v>
      </c>
      <c r="Q194" s="30">
        <v>19951.68</v>
      </c>
      <c r="R194" s="205">
        <v>7</v>
      </c>
      <c r="S194" s="26">
        <f t="shared" si="15"/>
        <v>16748.509999999998</v>
      </c>
      <c r="T194" s="30">
        <v>16748.509999999998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3"/>
        <v>0</v>
      </c>
      <c r="N195" s="39"/>
      <c r="O195" s="41"/>
      <c r="P195" s="59"/>
      <c r="Q195" s="39"/>
      <c r="R195" s="40"/>
      <c r="S195" s="39">
        <f t="shared" si="15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3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5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1</v>
      </c>
      <c r="I197" s="57"/>
      <c r="J197" s="57"/>
      <c r="K197" s="43"/>
      <c r="L197" s="44"/>
      <c r="M197" s="43">
        <f t="shared" si="13"/>
        <v>0</v>
      </c>
      <c r="N197" s="43"/>
      <c r="O197" s="41"/>
      <c r="P197" s="113">
        <v>1</v>
      </c>
      <c r="Q197" s="114">
        <v>0</v>
      </c>
      <c r="R197" s="44"/>
      <c r="S197" s="43">
        <f t="shared" si="15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3"/>
        <v>0</v>
      </c>
      <c r="N198" s="26"/>
      <c r="O198" s="31"/>
      <c r="P198" s="120"/>
      <c r="Q198" s="26"/>
      <c r="R198" s="27"/>
      <c r="S198" s="26">
        <f t="shared" si="15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3"/>
        <v>0</v>
      </c>
      <c r="N199" s="39"/>
      <c r="O199" s="41"/>
      <c r="P199" s="69"/>
      <c r="Q199" s="39"/>
      <c r="R199" s="40"/>
      <c r="S199" s="39">
        <f t="shared" si="15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9</v>
      </c>
      <c r="J200" s="203">
        <v>10</v>
      </c>
      <c r="K200" s="65">
        <v>26045.17</v>
      </c>
      <c r="L200" s="224">
        <v>10</v>
      </c>
      <c r="M200" s="50">
        <f t="shared" si="13"/>
        <v>26045.17</v>
      </c>
      <c r="N200" s="65">
        <v>26045.17</v>
      </c>
      <c r="O200" s="225"/>
      <c r="P200" s="108">
        <v>10</v>
      </c>
      <c r="Q200" s="65">
        <v>22956.16</v>
      </c>
      <c r="R200" s="224">
        <v>10</v>
      </c>
      <c r="S200" s="50">
        <f t="shared" si="15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3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5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21</v>
      </c>
      <c r="I202" s="203">
        <v>19</v>
      </c>
      <c r="J202" s="203">
        <v>30</v>
      </c>
      <c r="K202" s="65">
        <v>55035.38</v>
      </c>
      <c r="L202" s="224">
        <v>27</v>
      </c>
      <c r="M202" s="50">
        <f t="shared" si="13"/>
        <v>50695.82</v>
      </c>
      <c r="N202" s="65">
        <v>50695.82</v>
      </c>
      <c r="O202" s="225"/>
      <c r="P202" s="108">
        <v>26</v>
      </c>
      <c r="Q202" s="65">
        <v>42356.26</v>
      </c>
      <c r="R202" s="224">
        <v>26</v>
      </c>
      <c r="S202" s="50">
        <f t="shared" si="15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6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3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5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14</v>
      </c>
      <c r="I204" s="62">
        <v>1</v>
      </c>
      <c r="J204" s="62">
        <v>2</v>
      </c>
      <c r="K204" s="30">
        <v>3016.65</v>
      </c>
      <c r="L204" s="205">
        <v>2</v>
      </c>
      <c r="M204" s="26">
        <f t="shared" si="13"/>
        <v>3016.65</v>
      </c>
      <c r="N204" s="30">
        <v>3016.65</v>
      </c>
      <c r="O204" s="31"/>
      <c r="P204" s="53">
        <v>11</v>
      </c>
      <c r="Q204" s="30">
        <v>35207.21</v>
      </c>
      <c r="R204" s="205">
        <v>11</v>
      </c>
      <c r="S204" s="26">
        <f t="shared" si="15"/>
        <v>35207.21</v>
      </c>
      <c r="T204" s="30">
        <v>35207.21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4</v>
      </c>
      <c r="I205" s="38"/>
      <c r="J205" s="38"/>
      <c r="K205" s="39"/>
      <c r="L205" s="40"/>
      <c r="M205" s="39">
        <f t="shared" si="13"/>
        <v>0</v>
      </c>
      <c r="N205" s="39"/>
      <c r="O205" s="41"/>
      <c r="P205" s="59"/>
      <c r="Q205" s="39"/>
      <c r="R205" s="40"/>
      <c r="S205" s="39">
        <f t="shared" si="15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3"/>
        <v>0</v>
      </c>
      <c r="N206" s="50"/>
      <c r="O206" s="31"/>
      <c r="P206" s="123"/>
      <c r="Q206" s="50"/>
      <c r="R206" s="51"/>
      <c r="S206" s="50">
        <f t="shared" si="15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3"/>
        <v>0</v>
      </c>
      <c r="N207" s="50"/>
      <c r="O207" s="45"/>
      <c r="P207" s="123"/>
      <c r="Q207" s="50"/>
      <c r="R207" s="51"/>
      <c r="S207" s="50">
        <f t="shared" si="15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5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5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4</v>
      </c>
      <c r="I210" s="57"/>
      <c r="J210" s="57"/>
      <c r="K210" s="43"/>
      <c r="L210" s="44"/>
      <c r="M210" s="43">
        <f t="shared" si="13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5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3"/>
        <v>0</v>
      </c>
      <c r="N211" s="26"/>
      <c r="O211" s="31"/>
      <c r="P211" s="99"/>
      <c r="Q211" s="26"/>
      <c r="R211" s="27"/>
      <c r="S211" s="26">
        <f t="shared" si="15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34"/>
      <c r="G212" s="35" t="s">
        <v>25</v>
      </c>
      <c r="H212" s="66">
        <v>2</v>
      </c>
      <c r="I212" s="38"/>
      <c r="J212" s="38"/>
      <c r="K212" s="39"/>
      <c r="L212" s="40"/>
      <c r="M212" s="39">
        <f t="shared" si="13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2</v>
      </c>
      <c r="I213" s="231">
        <v>1</v>
      </c>
      <c r="J213" s="231">
        <v>1</v>
      </c>
      <c r="K213" s="91">
        <v>301.05</v>
      </c>
      <c r="L213" s="92"/>
      <c r="M213" s="26">
        <f t="shared" si="13"/>
        <v>0</v>
      </c>
      <c r="N213" s="93"/>
      <c r="O213" s="94"/>
      <c r="P213" s="329"/>
      <c r="Q213" s="91"/>
      <c r="R213" s="330"/>
      <c r="S213" s="26">
        <f t="shared" ref="S213:S229" si="16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6</v>
      </c>
      <c r="I214" s="37">
        <v>1</v>
      </c>
      <c r="J214" s="37">
        <v>1</v>
      </c>
      <c r="K214" s="68">
        <v>2609.1</v>
      </c>
      <c r="L214" s="40"/>
      <c r="M214" s="87">
        <f t="shared" si="13"/>
        <v>0</v>
      </c>
      <c r="N214" s="39"/>
      <c r="O214" s="41"/>
      <c r="P214" s="217"/>
      <c r="Q214" s="68"/>
      <c r="R214" s="285"/>
      <c r="S214" s="87">
        <f t="shared" si="16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3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6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3"/>
        <v>0</v>
      </c>
      <c r="N216" s="43"/>
      <c r="O216" s="45"/>
      <c r="P216" s="273"/>
      <c r="Q216" s="211"/>
      <c r="R216" s="210"/>
      <c r="S216" s="211">
        <f t="shared" si="16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4</v>
      </c>
      <c r="I217" s="62">
        <v>4</v>
      </c>
      <c r="J217" s="62">
        <v>4</v>
      </c>
      <c r="K217" s="30">
        <v>6502.43</v>
      </c>
      <c r="L217" s="205">
        <v>3</v>
      </c>
      <c r="M217" s="26">
        <f t="shared" si="13"/>
        <v>2022.81</v>
      </c>
      <c r="N217" s="30">
        <v>2022.81</v>
      </c>
      <c r="O217" s="308"/>
      <c r="P217" s="99"/>
      <c r="Q217" s="26"/>
      <c r="R217" s="27"/>
      <c r="S217" s="26">
        <f t="shared" si="16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3"/>
        <v>19304.88</v>
      </c>
      <c r="N218" s="39">
        <f>1985.09+7101.24+2689.4+4418.3+1705.95+1404.9</f>
        <v>19304.88</v>
      </c>
      <c r="O218" s="309"/>
      <c r="P218" s="310">
        <v>6</v>
      </c>
      <c r="Q218" s="245">
        <v>28151.200000000001</v>
      </c>
      <c r="R218" s="285">
        <v>6</v>
      </c>
      <c r="S218" s="39">
        <f t="shared" si="16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3"/>
        <v>0</v>
      </c>
      <c r="N219" s="50"/>
      <c r="O219" s="31"/>
      <c r="P219" s="277"/>
      <c r="Q219" s="81"/>
      <c r="R219" s="80"/>
      <c r="S219" s="81">
        <f t="shared" si="16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57"/>
      <c r="J220" s="57"/>
      <c r="K220" s="43"/>
      <c r="L220" s="44"/>
      <c r="M220" s="43">
        <f t="shared" si="13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6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23</v>
      </c>
      <c r="I221" s="62">
        <v>18</v>
      </c>
      <c r="J221" s="62">
        <v>26</v>
      </c>
      <c r="K221" s="30">
        <v>60016.63</v>
      </c>
      <c r="L221" s="205">
        <v>22</v>
      </c>
      <c r="M221" s="26">
        <f t="shared" si="13"/>
        <v>49378.13</v>
      </c>
      <c r="N221" s="30">
        <v>49378.13</v>
      </c>
      <c r="O221" s="225"/>
      <c r="P221" s="53">
        <v>23</v>
      </c>
      <c r="Q221" s="30">
        <v>69064.09</v>
      </c>
      <c r="R221" s="205">
        <v>21</v>
      </c>
      <c r="S221" s="26">
        <f t="shared" si="16"/>
        <v>66092.33</v>
      </c>
      <c r="T221" s="30">
        <v>66092.33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3"/>
        <v>0</v>
      </c>
      <c r="N222" s="39"/>
      <c r="O222" s="41"/>
      <c r="P222" s="59"/>
      <c r="Q222" s="39"/>
      <c r="R222" s="40"/>
      <c r="S222" s="39">
        <f t="shared" si="16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3"/>
        <v>3169.65</v>
      </c>
      <c r="N223" s="65">
        <v>3169.65</v>
      </c>
      <c r="O223" s="31"/>
      <c r="P223" s="108">
        <v>6</v>
      </c>
      <c r="Q223" s="65">
        <v>16741.060000000001</v>
      </c>
      <c r="R223" s="224">
        <v>6</v>
      </c>
      <c r="S223" s="50">
        <f t="shared" si="16"/>
        <v>16741.060000000001</v>
      </c>
      <c r="T223" s="65">
        <v>16741.060000000001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3"/>
        <v>3457.8</v>
      </c>
      <c r="N224" s="39">
        <f>3457.8</f>
        <v>3457.8</v>
      </c>
      <c r="O224" s="41"/>
      <c r="P224" s="115">
        <v>2</v>
      </c>
      <c r="Q224" s="68">
        <v>7299.8</v>
      </c>
      <c r="R224" s="285">
        <v>2</v>
      </c>
      <c r="S224" s="39">
        <f t="shared" si="16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3"/>
        <v>0</v>
      </c>
      <c r="N225" s="91"/>
      <c r="O225" s="331"/>
      <c r="P225" s="329"/>
      <c r="Q225" s="91"/>
      <c r="R225" s="330"/>
      <c r="S225" s="142">
        <f t="shared" si="16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3"/>
        <v>0</v>
      </c>
      <c r="N226" s="209"/>
      <c r="O226" s="234"/>
      <c r="P226" s="262"/>
      <c r="Q226" s="209"/>
      <c r="R226" s="290"/>
      <c r="S226" s="87">
        <f t="shared" si="16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31</v>
      </c>
      <c r="I227" s="62">
        <v>15</v>
      </c>
      <c r="J227" s="62">
        <v>16</v>
      </c>
      <c r="K227" s="30">
        <v>15584.37</v>
      </c>
      <c r="L227" s="205">
        <v>10</v>
      </c>
      <c r="M227" s="26">
        <f t="shared" si="13"/>
        <v>7339.68</v>
      </c>
      <c r="N227" s="30">
        <v>7339.68</v>
      </c>
      <c r="O227" s="269"/>
      <c r="P227" s="53">
        <v>29</v>
      </c>
      <c r="Q227" s="30">
        <v>78523.929999999993</v>
      </c>
      <c r="R227" s="205">
        <v>26</v>
      </c>
      <c r="S227" s="26">
        <f t="shared" si="16"/>
        <v>73507.41</v>
      </c>
      <c r="T227" s="30">
        <v>73507.41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34"/>
      <c r="G228" s="229" t="s">
        <v>25</v>
      </c>
      <c r="H228" s="102"/>
      <c r="I228" s="57"/>
      <c r="J228" s="57"/>
      <c r="K228" s="43"/>
      <c r="L228" s="44"/>
      <c r="M228" s="43">
        <f t="shared" si="13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6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44</v>
      </c>
      <c r="I229" s="62">
        <v>11</v>
      </c>
      <c r="J229" s="62">
        <v>25</v>
      </c>
      <c r="K229" s="30">
        <v>14371.13</v>
      </c>
      <c r="L229" s="27"/>
      <c r="M229" s="26">
        <f t="shared" si="13"/>
        <v>0</v>
      </c>
      <c r="N229" s="26"/>
      <c r="O229" s="31"/>
      <c r="P229" s="53">
        <v>9</v>
      </c>
      <c r="Q229" s="30">
        <v>5292.88</v>
      </c>
      <c r="R229" s="205">
        <v>5</v>
      </c>
      <c r="S229" s="26">
        <f t="shared" si="16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13</v>
      </c>
      <c r="I230" s="37">
        <v>7</v>
      </c>
      <c r="J230" s="37">
        <v>7</v>
      </c>
      <c r="K230" s="68">
        <v>5056.28</v>
      </c>
      <c r="L230" s="285">
        <v>6</v>
      </c>
      <c r="M230" s="68">
        <v>5056.28</v>
      </c>
      <c r="N230" s="68">
        <v>5056.28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21</v>
      </c>
      <c r="I231" s="203">
        <v>15</v>
      </c>
      <c r="J231" s="203">
        <v>18</v>
      </c>
      <c r="K231" s="65">
        <v>31994.6</v>
      </c>
      <c r="L231" s="224">
        <v>18</v>
      </c>
      <c r="M231" s="50">
        <f>N231+O231</f>
        <v>31994.6</v>
      </c>
      <c r="N231" s="65">
        <v>31994.6</v>
      </c>
      <c r="O231" s="225"/>
      <c r="P231" s="108">
        <v>19</v>
      </c>
      <c r="Q231" s="65">
        <v>64564.39</v>
      </c>
      <c r="R231" s="224">
        <v>19</v>
      </c>
      <c r="S231" s="50">
        <f>T231+U231</f>
        <v>64564.39</v>
      </c>
      <c r="T231" s="65">
        <v>64564.39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10</v>
      </c>
      <c r="Q232" s="114">
        <v>46701.760000000002</v>
      </c>
      <c r="R232" s="270">
        <v>10</v>
      </c>
      <c r="S232" s="114">
        <v>46701.760000000002</v>
      </c>
      <c r="T232" s="114">
        <v>46701.760000000002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7</v>
      </c>
      <c r="I233" s="62">
        <v>3</v>
      </c>
      <c r="J233" s="62">
        <v>3</v>
      </c>
      <c r="K233" s="30">
        <v>1969.94</v>
      </c>
      <c r="L233" s="205">
        <v>3</v>
      </c>
      <c r="M233" s="26">
        <f t="shared" ref="M233:M259" si="17">N233+O233</f>
        <v>1969.94</v>
      </c>
      <c r="N233" s="30">
        <v>1969.94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18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7"/>
        <v>0</v>
      </c>
      <c r="N234" s="43"/>
      <c r="O234" s="41"/>
      <c r="P234" s="103"/>
      <c r="Q234" s="43"/>
      <c r="R234" s="44"/>
      <c r="S234" s="43">
        <f t="shared" si="18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7</v>
      </c>
      <c r="J235" s="62">
        <v>7</v>
      </c>
      <c r="K235" s="30">
        <v>7436.01</v>
      </c>
      <c r="L235" s="205">
        <v>5</v>
      </c>
      <c r="M235" s="26">
        <f t="shared" si="17"/>
        <v>5349.73</v>
      </c>
      <c r="N235" s="30">
        <v>5349.73</v>
      </c>
      <c r="O235" s="31"/>
      <c r="P235" s="29">
        <v>1</v>
      </c>
      <c r="Q235" s="30">
        <v>2466.56</v>
      </c>
      <c r="R235" s="205">
        <v>1</v>
      </c>
      <c r="S235" s="26">
        <f t="shared" si="18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7"/>
        <v>0</v>
      </c>
      <c r="N236" s="39"/>
      <c r="O236" s="41"/>
      <c r="P236" s="69"/>
      <c r="Q236" s="39"/>
      <c r="R236" s="40"/>
      <c r="S236" s="39">
        <f t="shared" si="18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7"/>
        <v>0</v>
      </c>
      <c r="N237" s="81"/>
      <c r="O237" s="82"/>
      <c r="P237" s="295"/>
      <c r="Q237" s="81"/>
      <c r="R237" s="80"/>
      <c r="S237" s="142">
        <f t="shared" si="18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7"/>
        <v>0</v>
      </c>
      <c r="N238" s="211"/>
      <c r="O238" s="212"/>
      <c r="P238" s="284"/>
      <c r="Q238" s="211"/>
      <c r="R238" s="210"/>
      <c r="S238" s="39">
        <f t="shared" si="18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7"/>
        <v>0</v>
      </c>
      <c r="N239" s="26"/>
      <c r="O239" s="28"/>
      <c r="P239" s="29">
        <v>4</v>
      </c>
      <c r="Q239" s="30">
        <v>0</v>
      </c>
      <c r="R239" s="27"/>
      <c r="S239" s="26">
        <f t="shared" si="18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7"/>
        <v>0</v>
      </c>
      <c r="N240" s="211"/>
      <c r="O240" s="212"/>
      <c r="P240" s="284"/>
      <c r="Q240" s="211"/>
      <c r="R240" s="210"/>
      <c r="S240" s="211">
        <f t="shared" si="18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18</v>
      </c>
      <c r="I241" s="62">
        <v>12</v>
      </c>
      <c r="J241" s="62">
        <v>14</v>
      </c>
      <c r="K241" s="30">
        <v>28033.45</v>
      </c>
      <c r="L241" s="205">
        <v>8</v>
      </c>
      <c r="M241" s="26">
        <f t="shared" si="17"/>
        <v>8606.68</v>
      </c>
      <c r="N241" s="30">
        <v>8606.68</v>
      </c>
      <c r="O241" s="28"/>
      <c r="P241" s="214"/>
      <c r="Q241" s="30"/>
      <c r="R241" s="205"/>
      <c r="S241" s="26">
        <f t="shared" si="18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5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7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18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16</v>
      </c>
      <c r="I243" s="266">
        <v>10</v>
      </c>
      <c r="J243" s="266">
        <v>11</v>
      </c>
      <c r="K243" s="79">
        <v>18573.689999999999</v>
      </c>
      <c r="L243" s="268">
        <v>11</v>
      </c>
      <c r="M243" s="81">
        <f t="shared" si="17"/>
        <v>18573.689999999999</v>
      </c>
      <c r="N243" s="79">
        <v>18573.689999999999</v>
      </c>
      <c r="O243" s="219"/>
      <c r="P243" s="267">
        <v>15</v>
      </c>
      <c r="Q243" s="79">
        <v>67448.800000000003</v>
      </c>
      <c r="R243" s="268">
        <v>15</v>
      </c>
      <c r="S243" s="26">
        <f t="shared" si="18"/>
        <v>67448.800000000003</v>
      </c>
      <c r="T243" s="79">
        <v>67448.800000000003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7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18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18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7"/>
        <v>27137.19</v>
      </c>
      <c r="N245" s="30">
        <v>27137.19</v>
      </c>
      <c r="O245" s="31"/>
      <c r="P245" s="53">
        <v>12</v>
      </c>
      <c r="Q245" s="30">
        <v>75520.89</v>
      </c>
      <c r="R245" s="205">
        <v>12</v>
      </c>
      <c r="S245" s="26">
        <f t="shared" si="18"/>
        <v>75520.89</v>
      </c>
      <c r="T245" s="30">
        <v>75520.89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7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18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7"/>
        <v>0</v>
      </c>
      <c r="N247" s="79"/>
      <c r="O247" s="82"/>
      <c r="P247" s="267"/>
      <c r="Q247" s="79"/>
      <c r="R247" s="268"/>
      <c r="S247" s="142">
        <f t="shared" si="18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4</v>
      </c>
      <c r="I248" s="338"/>
      <c r="J248" s="338"/>
      <c r="K248" s="339"/>
      <c r="L248" s="340"/>
      <c r="M248" s="39">
        <f t="shared" si="17"/>
        <v>0</v>
      </c>
      <c r="N248" s="339"/>
      <c r="O248" s="89"/>
      <c r="P248" s="357"/>
      <c r="Q248" s="339"/>
      <c r="R248" s="340"/>
      <c r="S248" s="39">
        <f t="shared" si="18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12</v>
      </c>
      <c r="I249" s="266">
        <v>4</v>
      </c>
      <c r="J249" s="266">
        <v>5</v>
      </c>
      <c r="K249" s="79">
        <v>6598</v>
      </c>
      <c r="L249" s="268">
        <v>5</v>
      </c>
      <c r="M249" s="81">
        <f t="shared" si="17"/>
        <v>6598</v>
      </c>
      <c r="N249" s="79">
        <v>6598</v>
      </c>
      <c r="O249" s="219"/>
      <c r="P249" s="267">
        <v>12</v>
      </c>
      <c r="Q249" s="79">
        <v>23530.12</v>
      </c>
      <c r="R249" s="268">
        <v>12</v>
      </c>
      <c r="S249" s="81">
        <f t="shared" si="18"/>
        <v>23530.12</v>
      </c>
      <c r="T249" s="79">
        <v>23530.12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1</v>
      </c>
      <c r="J250" s="208">
        <v>1</v>
      </c>
      <c r="K250" s="209">
        <v>3073.6</v>
      </c>
      <c r="L250" s="290">
        <v>2</v>
      </c>
      <c r="M250" s="211">
        <f t="shared" si="17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18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11</v>
      </c>
      <c r="I251" s="62">
        <v>7</v>
      </c>
      <c r="J251" s="62">
        <v>10</v>
      </c>
      <c r="K251" s="30">
        <v>11857.32</v>
      </c>
      <c r="L251" s="205">
        <v>6</v>
      </c>
      <c r="M251" s="26">
        <f t="shared" si="17"/>
        <v>7502.13</v>
      </c>
      <c r="N251" s="30">
        <v>7502.13</v>
      </c>
      <c r="O251" s="28"/>
      <c r="P251" s="275"/>
      <c r="Q251" s="26"/>
      <c r="R251" s="27"/>
      <c r="S251" s="26">
        <f t="shared" si="18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7"/>
        <v>0</v>
      </c>
      <c r="N252" s="39"/>
      <c r="O252" s="41"/>
      <c r="P252" s="276"/>
      <c r="Q252" s="39"/>
      <c r="R252" s="40"/>
      <c r="S252" s="39">
        <f t="shared" si="18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3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7"/>
        <v>3158.6</v>
      </c>
      <c r="N253" s="79">
        <v>3158.6</v>
      </c>
      <c r="O253" s="219"/>
      <c r="P253" s="277"/>
      <c r="Q253" s="81"/>
      <c r="R253" s="80"/>
      <c r="S253" s="81">
        <f t="shared" si="18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4</v>
      </c>
      <c r="I254" s="130">
        <v>3</v>
      </c>
      <c r="J254" s="130">
        <v>3</v>
      </c>
      <c r="K254" s="114">
        <v>8675.82</v>
      </c>
      <c r="L254" s="270">
        <v>3</v>
      </c>
      <c r="M254" s="43">
        <f t="shared" si="17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18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7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18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4</v>
      </c>
      <c r="I256" s="57"/>
      <c r="J256" s="57"/>
      <c r="K256" s="43"/>
      <c r="L256" s="44"/>
      <c r="M256" s="43">
        <f t="shared" si="17"/>
        <v>0</v>
      </c>
      <c r="N256" s="43"/>
      <c r="O256" s="41"/>
      <c r="P256" s="113">
        <v>3</v>
      </c>
      <c r="Q256" s="114">
        <v>15773.67</v>
      </c>
      <c r="R256" s="270">
        <v>3</v>
      </c>
      <c r="S256" s="43">
        <f t="shared" si="18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14</v>
      </c>
      <c r="I257" s="62">
        <v>6</v>
      </c>
      <c r="J257" s="62">
        <v>9</v>
      </c>
      <c r="K257" s="30">
        <v>20964.32</v>
      </c>
      <c r="L257" s="205">
        <v>8</v>
      </c>
      <c r="M257" s="26">
        <f t="shared" si="17"/>
        <v>19970.849999999999</v>
      </c>
      <c r="N257" s="30">
        <v>19970.849999999999</v>
      </c>
      <c r="O257" s="31"/>
      <c r="P257" s="53">
        <v>13</v>
      </c>
      <c r="Q257" s="30">
        <v>34864.89</v>
      </c>
      <c r="R257" s="205">
        <v>13</v>
      </c>
      <c r="S257" s="26">
        <f t="shared" si="18"/>
        <v>34864.89</v>
      </c>
      <c r="T257" s="30">
        <v>34864.89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9</v>
      </c>
      <c r="I258" s="38"/>
      <c r="J258" s="38"/>
      <c r="K258" s="39"/>
      <c r="L258" s="40"/>
      <c r="M258" s="39">
        <f t="shared" si="17"/>
        <v>0</v>
      </c>
      <c r="N258" s="39"/>
      <c r="O258" s="41"/>
      <c r="P258" s="59"/>
      <c r="Q258" s="39"/>
      <c r="R258" s="40"/>
      <c r="S258" s="39">
        <f t="shared" si="18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17</v>
      </c>
      <c r="I259" s="203">
        <v>14</v>
      </c>
      <c r="J259" s="203">
        <v>19</v>
      </c>
      <c r="K259" s="65">
        <v>34674.93</v>
      </c>
      <c r="L259" s="224">
        <v>17</v>
      </c>
      <c r="M259" s="50">
        <f t="shared" si="17"/>
        <v>33407.07</v>
      </c>
      <c r="N259" s="65">
        <v>33407.07</v>
      </c>
      <c r="O259" s="225"/>
      <c r="P259" s="108">
        <v>20</v>
      </c>
      <c r="Q259" s="65">
        <v>57304.18</v>
      </c>
      <c r="R259" s="224">
        <v>19</v>
      </c>
      <c r="S259" s="50">
        <f t="shared" si="18"/>
        <v>55867.27</v>
      </c>
      <c r="T259" s="65">
        <v>55867.27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47"/>
      <c r="G260" s="227" t="s">
        <v>25</v>
      </c>
      <c r="H260" s="153">
        <v>3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94" si="19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0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19"/>
        <v>0</v>
      </c>
      <c r="N262" s="43"/>
      <c r="O262" s="41"/>
      <c r="P262" s="113"/>
      <c r="Q262" s="114"/>
      <c r="R262" s="44"/>
      <c r="S262" s="43">
        <f t="shared" si="20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3</v>
      </c>
      <c r="I263" s="62">
        <v>1</v>
      </c>
      <c r="J263" s="62">
        <v>2</v>
      </c>
      <c r="K263" s="30">
        <v>642.24</v>
      </c>
      <c r="L263" s="205">
        <v>1</v>
      </c>
      <c r="M263" s="26">
        <f t="shared" si="19"/>
        <v>642.24</v>
      </c>
      <c r="N263" s="30">
        <v>642.24</v>
      </c>
      <c r="O263" s="219"/>
      <c r="P263" s="53">
        <v>2</v>
      </c>
      <c r="Q263" s="30">
        <v>3649.9</v>
      </c>
      <c r="R263" s="205">
        <v>1</v>
      </c>
      <c r="S263" s="26">
        <f t="shared" si="20"/>
        <v>3649.9</v>
      </c>
      <c r="T263" s="30">
        <v>3649.9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4</v>
      </c>
      <c r="I264" s="130">
        <v>1</v>
      </c>
      <c r="J264" s="130">
        <v>1</v>
      </c>
      <c r="K264" s="114">
        <v>1052.5999999999999</v>
      </c>
      <c r="L264" s="44"/>
      <c r="M264" s="43">
        <f t="shared" si="19"/>
        <v>0</v>
      </c>
      <c r="N264" s="43"/>
      <c r="O264" s="222">
        <v>0</v>
      </c>
      <c r="P264" s="113">
        <v>18</v>
      </c>
      <c r="Q264" s="114">
        <v>28406.3</v>
      </c>
      <c r="R264" s="44"/>
      <c r="S264" s="43">
        <f t="shared" si="20"/>
        <v>4050.2</v>
      </c>
      <c r="T264" s="114">
        <v>4050.2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12</v>
      </c>
      <c r="J265" s="62">
        <v>16</v>
      </c>
      <c r="K265" s="30">
        <v>30275.46</v>
      </c>
      <c r="L265" s="205">
        <v>16</v>
      </c>
      <c r="M265" s="26">
        <f t="shared" si="19"/>
        <v>30275.46</v>
      </c>
      <c r="N265" s="30">
        <v>30275.46</v>
      </c>
      <c r="O265" s="241"/>
      <c r="P265" s="29">
        <v>2</v>
      </c>
      <c r="Q265" s="30">
        <v>1870.81</v>
      </c>
      <c r="R265" s="205">
        <v>2</v>
      </c>
      <c r="S265" s="26">
        <f t="shared" si="20"/>
        <v>1870.81</v>
      </c>
      <c r="T265" s="30">
        <v>1870.81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1</v>
      </c>
      <c r="J266" s="37">
        <v>1</v>
      </c>
      <c r="K266" s="68">
        <v>1921</v>
      </c>
      <c r="L266" s="285">
        <v>1</v>
      </c>
      <c r="M266" s="39">
        <f t="shared" si="19"/>
        <v>1921</v>
      </c>
      <c r="N266" s="39">
        <f>1921</f>
        <v>1921</v>
      </c>
      <c r="O266" s="41"/>
      <c r="P266" s="69"/>
      <c r="Q266" s="39"/>
      <c r="R266" s="40"/>
      <c r="S266" s="39">
        <f t="shared" si="20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19"/>
        <v>0</v>
      </c>
      <c r="N267" s="50"/>
      <c r="O267" s="31"/>
      <c r="P267" s="123"/>
      <c r="Q267" s="50"/>
      <c r="R267" s="51"/>
      <c r="S267" s="50">
        <f t="shared" si="20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19"/>
        <v>0</v>
      </c>
      <c r="N268" s="43"/>
      <c r="O268" s="45"/>
      <c r="P268" s="115">
        <v>4</v>
      </c>
      <c r="Q268" s="68">
        <v>5106.7</v>
      </c>
      <c r="R268" s="285">
        <v>5</v>
      </c>
      <c r="S268" s="39">
        <f t="shared" si="20"/>
        <v>6739.58</v>
      </c>
      <c r="T268" s="68">
        <f>3818+2921.58</f>
        <v>6739.58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20</v>
      </c>
      <c r="I269" s="62">
        <v>19</v>
      </c>
      <c r="J269" s="62">
        <v>21</v>
      </c>
      <c r="K269" s="30">
        <v>31160.87</v>
      </c>
      <c r="L269" s="205">
        <v>17</v>
      </c>
      <c r="M269" s="26">
        <f t="shared" si="19"/>
        <v>18277.259999999998</v>
      </c>
      <c r="N269" s="30">
        <v>18277.259999999998</v>
      </c>
      <c r="O269" s="100"/>
      <c r="P269" s="64">
        <v>20</v>
      </c>
      <c r="Q269" s="65">
        <v>52584.43</v>
      </c>
      <c r="R269" s="224">
        <v>20</v>
      </c>
      <c r="S269" s="50">
        <f t="shared" si="20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19"/>
        <v>1728.9</v>
      </c>
      <c r="N270" s="39">
        <f>1728.9</f>
        <v>1728.9</v>
      </c>
      <c r="O270" s="41"/>
      <c r="P270" s="42"/>
      <c r="Q270" s="43"/>
      <c r="R270" s="44"/>
      <c r="S270" s="43">
        <f t="shared" si="20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5</v>
      </c>
      <c r="J271" s="203">
        <v>5</v>
      </c>
      <c r="K271" s="65">
        <v>5617.57</v>
      </c>
      <c r="L271" s="316">
        <v>5</v>
      </c>
      <c r="M271" s="129">
        <f t="shared" si="19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0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5</v>
      </c>
      <c r="I272" s="37"/>
      <c r="J272" s="37"/>
      <c r="K272" s="39"/>
      <c r="L272" s="44"/>
      <c r="M272" s="43">
        <f t="shared" si="19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0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3</v>
      </c>
      <c r="I273" s="25"/>
      <c r="J273" s="25"/>
      <c r="K273" s="26"/>
      <c r="L273" s="205"/>
      <c r="M273" s="26">
        <f t="shared" si="19"/>
        <v>0</v>
      </c>
      <c r="N273" s="26"/>
      <c r="O273" s="31"/>
      <c r="P273" s="64">
        <v>7</v>
      </c>
      <c r="Q273" s="65">
        <v>46859.35</v>
      </c>
      <c r="R273" s="224">
        <v>7</v>
      </c>
      <c r="S273" s="50">
        <f t="shared" si="20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7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19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10</v>
      </c>
      <c r="S274" s="43">
        <f t="shared" si="20"/>
        <v>34770.1</v>
      </c>
      <c r="T274" s="114">
        <f>4994.6+12678.6+576.3+6915.6+6915.6+576.3+2113.1</f>
        <v>34770.1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19"/>
        <v>0</v>
      </c>
      <c r="N275" s="26"/>
      <c r="O275" s="28"/>
      <c r="P275" s="120"/>
      <c r="Q275" s="26"/>
      <c r="R275" s="27"/>
      <c r="S275" s="26">
        <f t="shared" si="20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9</v>
      </c>
      <c r="I276" s="38"/>
      <c r="J276" s="38"/>
      <c r="K276" s="39"/>
      <c r="L276" s="40"/>
      <c r="M276" s="39">
        <f t="shared" si="19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0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19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0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2</v>
      </c>
      <c r="M278" s="43">
        <f t="shared" si="19"/>
        <v>2977.55</v>
      </c>
      <c r="N278" s="43">
        <f>1056.55+1921</f>
        <v>2977.55</v>
      </c>
      <c r="O278" s="41"/>
      <c r="P278" s="103"/>
      <c r="Q278" s="43"/>
      <c r="R278" s="270">
        <v>2</v>
      </c>
      <c r="S278" s="43">
        <f t="shared" si="20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10</v>
      </c>
      <c r="I279" s="62">
        <v>10</v>
      </c>
      <c r="J279" s="62">
        <v>11</v>
      </c>
      <c r="K279" s="30">
        <v>13403.98</v>
      </c>
      <c r="L279" s="205">
        <v>7</v>
      </c>
      <c r="M279" s="26">
        <f t="shared" si="19"/>
        <v>4666.33</v>
      </c>
      <c r="N279" s="30">
        <v>4666.33</v>
      </c>
      <c r="O279" s="31"/>
      <c r="P279" s="53">
        <v>13</v>
      </c>
      <c r="Q279" s="30">
        <v>48930.55</v>
      </c>
      <c r="R279" s="205">
        <v>13</v>
      </c>
      <c r="S279" s="26">
        <f t="shared" si="20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1</v>
      </c>
      <c r="M280" s="39">
        <f t="shared" si="19"/>
        <v>602.1</v>
      </c>
      <c r="N280" s="39">
        <f>602.1</f>
        <v>602.1</v>
      </c>
      <c r="O280" s="41"/>
      <c r="P280" s="59"/>
      <c r="Q280" s="39"/>
      <c r="R280" s="40"/>
      <c r="S280" s="39">
        <f t="shared" si="20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19"/>
        <v>0</v>
      </c>
      <c r="N281" s="50"/>
      <c r="O281" s="31"/>
      <c r="P281" s="123"/>
      <c r="Q281" s="50"/>
      <c r="R281" s="51"/>
      <c r="S281" s="50">
        <f t="shared" si="20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19"/>
        <v>0</v>
      </c>
      <c r="N282" s="43"/>
      <c r="O282" s="41"/>
      <c r="P282" s="103"/>
      <c r="Q282" s="43"/>
      <c r="R282" s="44"/>
      <c r="S282" s="43">
        <f t="shared" si="20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7</v>
      </c>
      <c r="I283" s="62">
        <v>4</v>
      </c>
      <c r="J283" s="62">
        <v>5</v>
      </c>
      <c r="K283" s="30">
        <v>6859.34</v>
      </c>
      <c r="L283" s="205">
        <v>5</v>
      </c>
      <c r="M283" s="26">
        <f t="shared" si="19"/>
        <v>6859.34</v>
      </c>
      <c r="N283" s="30">
        <v>6859.34</v>
      </c>
      <c r="O283" s="31"/>
      <c r="P283" s="29">
        <v>6</v>
      </c>
      <c r="Q283" s="30">
        <v>21652.240000000002</v>
      </c>
      <c r="R283" s="205">
        <v>6</v>
      </c>
      <c r="S283" s="26">
        <f t="shared" si="20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2</v>
      </c>
      <c r="M284" s="211">
        <f t="shared" si="19"/>
        <v>3364.6000000000004</v>
      </c>
      <c r="N284" s="211">
        <f>1056.55+2308.05</f>
        <v>3364.6000000000004</v>
      </c>
      <c r="O284" s="212"/>
      <c r="P284" s="284"/>
      <c r="Q284" s="211"/>
      <c r="R284" s="290">
        <v>1</v>
      </c>
      <c r="S284" s="211">
        <f t="shared" si="20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2</v>
      </c>
      <c r="I285" s="62"/>
      <c r="J285" s="62"/>
      <c r="K285" s="30"/>
      <c r="L285" s="27"/>
      <c r="M285" s="26">
        <f t="shared" si="19"/>
        <v>0</v>
      </c>
      <c r="N285" s="26"/>
      <c r="O285" s="241"/>
      <c r="P285" s="214"/>
      <c r="Q285" s="30"/>
      <c r="R285" s="205"/>
      <c r="S285" s="26">
        <f t="shared" si="20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19"/>
        <v>0</v>
      </c>
      <c r="N286" s="39"/>
      <c r="O286" s="234"/>
      <c r="P286" s="217"/>
      <c r="Q286" s="68"/>
      <c r="R286" s="285"/>
      <c r="S286" s="39">
        <f t="shared" si="20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17</v>
      </c>
      <c r="I287" s="266">
        <v>15</v>
      </c>
      <c r="J287" s="266">
        <v>23</v>
      </c>
      <c r="K287" s="79">
        <v>32173.64</v>
      </c>
      <c r="L287" s="268">
        <v>19</v>
      </c>
      <c r="M287" s="81">
        <f t="shared" si="19"/>
        <v>27305.66</v>
      </c>
      <c r="N287" s="79">
        <v>27305.66</v>
      </c>
      <c r="O287" s="313"/>
      <c r="P287" s="267">
        <v>2</v>
      </c>
      <c r="Q287" s="79">
        <v>4356.83</v>
      </c>
      <c r="R287" s="268">
        <v>2</v>
      </c>
      <c r="S287" s="81">
        <f t="shared" si="20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105"/>
      <c r="G288" s="35" t="s">
        <v>25</v>
      </c>
      <c r="H288" s="117">
        <v>1</v>
      </c>
      <c r="I288" s="38"/>
      <c r="J288" s="38"/>
      <c r="K288" s="39"/>
      <c r="L288" s="40"/>
      <c r="M288" s="39">
        <f t="shared" si="19"/>
        <v>0</v>
      </c>
      <c r="N288" s="39"/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3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si="19"/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1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4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19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1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2</v>
      </c>
      <c r="I291" s="25"/>
      <c r="J291" s="25"/>
      <c r="K291" s="26"/>
      <c r="L291" s="27"/>
      <c r="M291" s="26">
        <f t="shared" si="19"/>
        <v>0</v>
      </c>
      <c r="N291" s="26"/>
      <c r="O291" s="28"/>
      <c r="P291" s="29">
        <v>6</v>
      </c>
      <c r="Q291" s="30">
        <v>0</v>
      </c>
      <c r="R291" s="27"/>
      <c r="S291" s="26">
        <f t="shared" si="21"/>
        <v>0</v>
      </c>
      <c r="T291" s="26"/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19"/>
        <v>0</v>
      </c>
      <c r="N292" s="39"/>
      <c r="O292" s="41"/>
      <c r="P292" s="69"/>
      <c r="Q292" s="39"/>
      <c r="R292" s="40"/>
      <c r="S292" s="39">
        <f t="shared" si="21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11</v>
      </c>
      <c r="I293" s="203">
        <v>7</v>
      </c>
      <c r="J293" s="203">
        <v>8</v>
      </c>
      <c r="K293" s="65">
        <v>10146.15</v>
      </c>
      <c r="L293" s="224">
        <v>6</v>
      </c>
      <c r="M293" s="50">
        <f t="shared" si="19"/>
        <v>8254.93</v>
      </c>
      <c r="N293" s="65">
        <v>8254.93</v>
      </c>
      <c r="O293" s="225"/>
      <c r="P293" s="108">
        <v>4</v>
      </c>
      <c r="Q293" s="65">
        <v>3363.11</v>
      </c>
      <c r="R293" s="224">
        <v>4</v>
      </c>
      <c r="S293" s="50">
        <f t="shared" si="21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34"/>
      <c r="G294" s="35" t="s">
        <v>25</v>
      </c>
      <c r="H294" s="111"/>
      <c r="I294" s="38"/>
      <c r="J294" s="38"/>
      <c r="K294" s="39"/>
      <c r="L294" s="40"/>
      <c r="M294" s="39">
        <f t="shared" si="19"/>
        <v>0</v>
      </c>
      <c r="N294" s="39"/>
      <c r="O294" s="41"/>
      <c r="P294" s="115">
        <v>1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2">SUM(H9:H294)</f>
        <v>1720</v>
      </c>
      <c r="I295" s="183">
        <f t="shared" si="22"/>
        <v>1037</v>
      </c>
      <c r="J295" s="183">
        <f t="shared" si="22"/>
        <v>1295</v>
      </c>
      <c r="K295" s="184">
        <f t="shared" si="22"/>
        <v>2336939.4499999997</v>
      </c>
      <c r="L295" s="185">
        <f t="shared" si="22"/>
        <v>1131</v>
      </c>
      <c r="M295" s="184">
        <f t="shared" si="22"/>
        <v>2067202.31</v>
      </c>
      <c r="N295" s="184">
        <f t="shared" si="22"/>
        <v>2067202.31</v>
      </c>
      <c r="O295" s="186">
        <f t="shared" si="22"/>
        <v>0</v>
      </c>
      <c r="P295" s="187">
        <f t="shared" si="22"/>
        <v>1322</v>
      </c>
      <c r="Q295" s="188">
        <f t="shared" si="22"/>
        <v>4433778.4500000011</v>
      </c>
      <c r="R295" s="185">
        <f t="shared" si="22"/>
        <v>1250</v>
      </c>
      <c r="S295" s="188">
        <f t="shared" si="22"/>
        <v>4363395.9999999981</v>
      </c>
      <c r="T295" s="188">
        <f t="shared" si="22"/>
        <v>4363395.9999999981</v>
      </c>
      <c r="U295" s="189">
        <f t="shared" si="22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3">SUMIF($G$9:$G$294,$F$301,H9:H294)</f>
        <v>1255</v>
      </c>
      <c r="H301" s="193">
        <f t="shared" si="23"/>
        <v>862</v>
      </c>
      <c r="I301" s="193">
        <f t="shared" si="23"/>
        <v>1119</v>
      </c>
      <c r="J301" s="194">
        <f t="shared" ref="J301:J303" si="24">SUMIF($G$9:$G$294,F301,$K$9:$K$294)</f>
        <v>2011438.4099999992</v>
      </c>
      <c r="K301" s="195">
        <f t="shared" ref="K301:K303" si="25">SUMIF($G$9:$G$294,F301,$L$9:$L$294)</f>
        <v>970</v>
      </c>
      <c r="L301" s="194">
        <f t="shared" ref="L301:L303" si="26">SUMIF($G$9:$G$294,F301,$M$9:$M$294)</f>
        <v>1770147.1999999997</v>
      </c>
      <c r="M301" s="194">
        <f t="shared" ref="M301:O301" si="27">SUMIF($G$9:$G$294,$F$301,N9:N294)</f>
        <v>1770147.1999999997</v>
      </c>
      <c r="N301" s="194">
        <f t="shared" si="27"/>
        <v>0</v>
      </c>
      <c r="O301" s="193">
        <f t="shared" si="27"/>
        <v>1066</v>
      </c>
      <c r="P301" s="194">
        <f t="shared" ref="P301:P303" si="28">SUMIF($G$9:$G$294,F301,$Q$9:$Q$294)</f>
        <v>3633310.1000000006</v>
      </c>
      <c r="Q301" s="195">
        <f t="shared" ref="Q301:Q303" si="29">SUMIF($G$9:$G$294,F301,$R$9:$R$294)</f>
        <v>996</v>
      </c>
      <c r="R301" s="194">
        <f t="shared" ref="R301:R303" si="30">SUMIF($G$9:$G$294,F301,$S$9:$S$294)</f>
        <v>3570702.1</v>
      </c>
      <c r="S301" s="194">
        <f t="shared" ref="S301:T301" si="31">SUMIF($G$9:$G$294,$F$301,T9:T294)</f>
        <v>3570702.1</v>
      </c>
      <c r="T301" s="194">
        <f t="shared" si="31"/>
        <v>0</v>
      </c>
      <c r="U301" s="194">
        <f t="shared" ref="U301:U303" si="32">S301+M301</f>
        <v>5340849.3</v>
      </c>
      <c r="V301" s="196">
        <f t="shared" ref="V301:V303" si="33">J301-M301+P301-S301</f>
        <v>303899.20999999996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4">SUMIF($G$9:$G$294,$F$302,H9:H294)</f>
        <v>388</v>
      </c>
      <c r="H302" s="193">
        <f t="shared" si="34"/>
        <v>134</v>
      </c>
      <c r="I302" s="193">
        <f t="shared" si="34"/>
        <v>135</v>
      </c>
      <c r="J302" s="194">
        <f t="shared" si="24"/>
        <v>256264.06000000006</v>
      </c>
      <c r="K302" s="195">
        <f t="shared" si="25"/>
        <v>121</v>
      </c>
      <c r="L302" s="194">
        <f t="shared" si="26"/>
        <v>227818.13</v>
      </c>
      <c r="M302" s="194">
        <f t="shared" ref="M302:O302" si="35">SUMIF($G$9:$G$294,$F$302,N9:N294)</f>
        <v>227818.13</v>
      </c>
      <c r="N302" s="194">
        <f t="shared" si="35"/>
        <v>0</v>
      </c>
      <c r="O302" s="193">
        <f t="shared" si="35"/>
        <v>196</v>
      </c>
      <c r="P302" s="194">
        <f t="shared" si="28"/>
        <v>579660.84000000008</v>
      </c>
      <c r="Q302" s="195">
        <f t="shared" si="29"/>
        <v>197</v>
      </c>
      <c r="R302" s="194">
        <f t="shared" si="30"/>
        <v>580717.19000000018</v>
      </c>
      <c r="S302" s="194">
        <f t="shared" ref="S302:T302" si="36">SUMIF($G$9:$G$294,$F$302,T9:T294)</f>
        <v>580717.19000000018</v>
      </c>
      <c r="T302" s="194">
        <f t="shared" si="36"/>
        <v>0</v>
      </c>
      <c r="U302" s="194">
        <f t="shared" si="32"/>
        <v>808535.32000000018</v>
      </c>
      <c r="V302" s="196">
        <f t="shared" si="33"/>
        <v>27389.579999999958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37">SUMIF($G$9:$G$294,$F$303,H9:H294)</f>
        <v>77</v>
      </c>
      <c r="H303" s="193">
        <f t="shared" si="37"/>
        <v>41</v>
      </c>
      <c r="I303" s="193">
        <f t="shared" si="37"/>
        <v>41</v>
      </c>
      <c r="J303" s="194">
        <f t="shared" si="24"/>
        <v>69236.98</v>
      </c>
      <c r="K303" s="195">
        <f t="shared" si="25"/>
        <v>40</v>
      </c>
      <c r="L303" s="194">
        <f t="shared" si="26"/>
        <v>69236.98</v>
      </c>
      <c r="M303" s="194">
        <f t="shared" ref="M303:O303" si="38">SUMIF($G$9:$G$294,$F$303,N9:N294)</f>
        <v>69236.98</v>
      </c>
      <c r="N303" s="194">
        <f t="shared" si="38"/>
        <v>0</v>
      </c>
      <c r="O303" s="193">
        <f t="shared" si="38"/>
        <v>60</v>
      </c>
      <c r="P303" s="194">
        <f t="shared" si="28"/>
        <v>220807.51</v>
      </c>
      <c r="Q303" s="195">
        <f t="shared" si="29"/>
        <v>57</v>
      </c>
      <c r="R303" s="194">
        <f t="shared" si="30"/>
        <v>211976.71</v>
      </c>
      <c r="S303" s="194">
        <f t="shared" ref="S303:T303" si="39">SUMIF($G$9:$G$294,$F$303,T9:T294)</f>
        <v>211976.71</v>
      </c>
      <c r="T303" s="194">
        <f t="shared" si="39"/>
        <v>0</v>
      </c>
      <c r="U303" s="194">
        <f t="shared" si="32"/>
        <v>281213.69</v>
      </c>
      <c r="V303" s="196">
        <f t="shared" si="33"/>
        <v>8830.8000000000175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0">G303+G302+G301</f>
        <v>1720</v>
      </c>
      <c r="H304" s="197">
        <f t="shared" si="40"/>
        <v>1037</v>
      </c>
      <c r="I304" s="197">
        <f t="shared" si="40"/>
        <v>1295</v>
      </c>
      <c r="J304" s="198">
        <f t="shared" si="40"/>
        <v>2336939.4499999993</v>
      </c>
      <c r="K304" s="199">
        <f t="shared" si="40"/>
        <v>1131</v>
      </c>
      <c r="L304" s="198">
        <f t="shared" si="40"/>
        <v>2067202.3099999996</v>
      </c>
      <c r="M304" s="198">
        <f t="shared" si="40"/>
        <v>2067202.3099999996</v>
      </c>
      <c r="N304" s="198">
        <f t="shared" si="40"/>
        <v>0</v>
      </c>
      <c r="O304" s="197">
        <f t="shared" si="40"/>
        <v>1322</v>
      </c>
      <c r="P304" s="198">
        <f t="shared" si="40"/>
        <v>4433778.4500000011</v>
      </c>
      <c r="Q304" s="200">
        <f t="shared" si="40"/>
        <v>1250</v>
      </c>
      <c r="R304" s="198">
        <f t="shared" si="40"/>
        <v>4363396</v>
      </c>
      <c r="S304" s="198">
        <f t="shared" si="40"/>
        <v>4363396</v>
      </c>
      <c r="T304" s="198">
        <f t="shared" si="40"/>
        <v>0</v>
      </c>
      <c r="U304" s="198">
        <f t="shared" si="40"/>
        <v>6430598.3100000005</v>
      </c>
      <c r="V304" s="198">
        <f t="shared" si="40"/>
        <v>340119.58999999997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1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9</v>
      </c>
      <c r="I9" s="62">
        <v>6</v>
      </c>
      <c r="J9" s="62">
        <v>6</v>
      </c>
      <c r="K9" s="62">
        <v>7306.03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13</v>
      </c>
      <c r="Q9" s="30">
        <v>33280.559999999998</v>
      </c>
      <c r="R9" s="205">
        <v>13</v>
      </c>
      <c r="S9" s="26">
        <f t="shared" ref="S9:S33" si="1">T9+U9</f>
        <v>33280.589999999997</v>
      </c>
      <c r="T9" s="30">
        <v>33280.589999999997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7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12</v>
      </c>
      <c r="I13" s="266">
        <v>11</v>
      </c>
      <c r="J13" s="266">
        <v>14</v>
      </c>
      <c r="K13" s="79">
        <v>28664.04</v>
      </c>
      <c r="L13" s="268">
        <v>14</v>
      </c>
      <c r="M13" s="81">
        <f t="shared" si="0"/>
        <v>28664.04</v>
      </c>
      <c r="N13" s="79">
        <v>28664.04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23</v>
      </c>
      <c r="I15" s="62">
        <v>21</v>
      </c>
      <c r="J15" s="62">
        <v>30</v>
      </c>
      <c r="K15" s="30">
        <v>78577.16</v>
      </c>
      <c r="L15" s="205">
        <v>29</v>
      </c>
      <c r="M15" s="26">
        <f t="shared" si="0"/>
        <v>76638.399999999994</v>
      </c>
      <c r="N15" s="30">
        <v>76638.399999999994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5</v>
      </c>
      <c r="I16" s="37">
        <v>1</v>
      </c>
      <c r="J16" s="37">
        <v>1</v>
      </c>
      <c r="K16" s="68">
        <v>1344.7</v>
      </c>
      <c r="L16" s="285">
        <v>1</v>
      </c>
      <c r="M16" s="39">
        <f t="shared" si="0"/>
        <v>1344.7</v>
      </c>
      <c r="N16" s="68">
        <v>1344.7</v>
      </c>
      <c r="O16" s="41"/>
      <c r="P16" s="67">
        <v>4</v>
      </c>
      <c r="Q16" s="68">
        <v>24204.6</v>
      </c>
      <c r="R16" s="285">
        <v>4</v>
      </c>
      <c r="S16" s="39">
        <f t="shared" si="1"/>
        <v>24204.400000000001</v>
      </c>
      <c r="T16" s="68">
        <f>15752.2+1921+5378.6+1152.6</f>
        <v>24204.400000000001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3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7</v>
      </c>
      <c r="Q18" s="209">
        <v>24148.51</v>
      </c>
      <c r="R18" s="290">
        <v>8</v>
      </c>
      <c r="S18" s="211">
        <f t="shared" si="1"/>
        <v>25990.969999999998</v>
      </c>
      <c r="T18" s="209">
        <f>7027.7+4418.3+7721.17+6823.8</f>
        <v>25990.969999999998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13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7</v>
      </c>
      <c r="I20" s="37">
        <v>1</v>
      </c>
      <c r="J20" s="37">
        <v>1</v>
      </c>
      <c r="K20" s="68">
        <v>1404.9</v>
      </c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9</v>
      </c>
      <c r="I21" s="266">
        <v>9</v>
      </c>
      <c r="J21" s="266">
        <v>12</v>
      </c>
      <c r="K21" s="79">
        <v>19687.11</v>
      </c>
      <c r="L21" s="268">
        <v>11</v>
      </c>
      <c r="M21" s="81">
        <f t="shared" si="0"/>
        <v>18693.64</v>
      </c>
      <c r="N21" s="79">
        <v>18693.64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15</v>
      </c>
      <c r="I23" s="203">
        <v>13</v>
      </c>
      <c r="J23" s="203">
        <v>21</v>
      </c>
      <c r="K23" s="65">
        <v>29082.57</v>
      </c>
      <c r="L23" s="224">
        <v>21</v>
      </c>
      <c r="M23" s="50">
        <f t="shared" si="0"/>
        <v>29082.57</v>
      </c>
      <c r="N23" s="65">
        <v>29082.57</v>
      </c>
      <c r="O23" s="225"/>
      <c r="P23" s="53">
        <v>14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13</v>
      </c>
      <c r="I25" s="62">
        <v>9</v>
      </c>
      <c r="J25" s="62">
        <v>9</v>
      </c>
      <c r="K25" s="62">
        <v>7020.53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8</v>
      </c>
      <c r="Q25" s="30">
        <v>13822.44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12</v>
      </c>
      <c r="I27" s="203">
        <v>12</v>
      </c>
      <c r="J27" s="203">
        <v>20</v>
      </c>
      <c r="K27" s="65">
        <v>38247.379999999997</v>
      </c>
      <c r="L27" s="224">
        <v>19</v>
      </c>
      <c r="M27" s="50">
        <f t="shared" si="0"/>
        <v>36183.18</v>
      </c>
      <c r="N27" s="65">
        <v>36183.18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7</v>
      </c>
      <c r="Q28" s="68">
        <v>24423.7</v>
      </c>
      <c r="R28" s="285">
        <v>8</v>
      </c>
      <c r="S28" s="39">
        <f t="shared" si="1"/>
        <v>26090.400000000001</v>
      </c>
      <c r="T28" s="68">
        <f>4302+3533.6+960.5+5240.8+4226.2+5820.3+2007</f>
        <v>26090.400000000001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5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9</v>
      </c>
      <c r="I33" s="203">
        <v>4</v>
      </c>
      <c r="J33" s="203">
        <v>5</v>
      </c>
      <c r="K33" s="65">
        <v>8549.15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7</v>
      </c>
      <c r="Q34" s="114">
        <v>27092.02</v>
      </c>
      <c r="R34" s="270">
        <v>7</v>
      </c>
      <c r="S34" s="114">
        <v>27092.02</v>
      </c>
      <c r="T34" s="114">
        <v>27092.02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119"/>
      <c r="I35" s="25"/>
      <c r="J35" s="25"/>
      <c r="K35" s="26"/>
      <c r="L35" s="27"/>
      <c r="M35" s="26">
        <f t="shared" ref="M35:M78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78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10</v>
      </c>
      <c r="I37" s="203">
        <v>9</v>
      </c>
      <c r="J37" s="203">
        <v>9</v>
      </c>
      <c r="K37" s="65">
        <v>8313.68</v>
      </c>
      <c r="L37" s="224">
        <v>6</v>
      </c>
      <c r="M37" s="50">
        <f t="shared" si="2"/>
        <v>7209.83</v>
      </c>
      <c r="N37" s="65">
        <v>7209.83</v>
      </c>
      <c r="O37" s="31"/>
      <c r="P37" s="64">
        <v>5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1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2</v>
      </c>
      <c r="I43" s="62">
        <v>2</v>
      </c>
      <c r="J43" s="62">
        <v>3</v>
      </c>
      <c r="K43" s="30">
        <v>7453.76</v>
      </c>
      <c r="L43" s="205">
        <v>3</v>
      </c>
      <c r="M43" s="26">
        <f t="shared" si="2"/>
        <v>7453.76</v>
      </c>
      <c r="N43" s="30">
        <v>7453.76</v>
      </c>
      <c r="O43" s="100"/>
      <c r="P43" s="53">
        <v>2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15</v>
      </c>
      <c r="I45" s="266">
        <v>15</v>
      </c>
      <c r="J45" s="266">
        <v>17</v>
      </c>
      <c r="K45" s="79">
        <v>27836.47</v>
      </c>
      <c r="L45" s="268">
        <v>15</v>
      </c>
      <c r="M45" s="81">
        <f t="shared" si="2"/>
        <v>22284.3</v>
      </c>
      <c r="N45" s="79">
        <v>22284.3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21</v>
      </c>
      <c r="I47" s="62">
        <v>8</v>
      </c>
      <c r="J47" s="62">
        <v>10</v>
      </c>
      <c r="K47" s="30">
        <v>11785.71</v>
      </c>
      <c r="L47" s="205">
        <v>10</v>
      </c>
      <c r="M47" s="26">
        <f t="shared" si="2"/>
        <v>11785.71</v>
      </c>
      <c r="N47" s="30">
        <v>11785.71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1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8</v>
      </c>
      <c r="I50" s="266">
        <v>4</v>
      </c>
      <c r="J50" s="266">
        <v>4</v>
      </c>
      <c r="K50" s="79">
        <v>5771.33</v>
      </c>
      <c r="L50" s="268">
        <v>1</v>
      </c>
      <c r="M50" s="81">
        <f t="shared" si="2"/>
        <v>1324.62</v>
      </c>
      <c r="N50" s="79">
        <v>1324.62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358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81">
        <f t="shared" si="2"/>
        <v>0</v>
      </c>
      <c r="N52" s="81"/>
      <c r="O52" s="82"/>
      <c r="P52" s="303"/>
      <c r="Q52" s="81"/>
      <c r="R52" s="80"/>
      <c r="S52" s="81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34"/>
      <c r="G53" s="215" t="s">
        <v>28</v>
      </c>
      <c r="H53" s="117">
        <v>1</v>
      </c>
      <c r="I53" s="37">
        <v>1</v>
      </c>
      <c r="J53" s="37">
        <v>1</v>
      </c>
      <c r="K53" s="68">
        <v>576.29999999999995</v>
      </c>
      <c r="L53" s="40"/>
      <c r="M53" s="39">
        <f t="shared" si="2"/>
        <v>0</v>
      </c>
      <c r="N53" s="39"/>
      <c r="O53" s="41"/>
      <c r="P53" s="276"/>
      <c r="Q53" s="39"/>
      <c r="R53" s="40"/>
      <c r="S53" s="39">
        <f t="shared" si="3"/>
        <v>0</v>
      </c>
      <c r="T53" s="39"/>
      <c r="U53" s="4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2"/>
      <c r="B54" s="374" t="s">
        <v>60</v>
      </c>
      <c r="C54" s="374" t="s">
        <v>39</v>
      </c>
      <c r="D54" s="374" t="s">
        <v>61</v>
      </c>
      <c r="E54" s="383" t="s">
        <v>27</v>
      </c>
      <c r="F54" s="204" t="s">
        <v>463</v>
      </c>
      <c r="G54" s="176" t="s">
        <v>24</v>
      </c>
      <c r="H54" s="265">
        <v>2</v>
      </c>
      <c r="I54" s="96"/>
      <c r="J54" s="96"/>
      <c r="K54" s="81"/>
      <c r="L54" s="80"/>
      <c r="M54" s="81">
        <f t="shared" si="2"/>
        <v>0</v>
      </c>
      <c r="N54" s="81"/>
      <c r="O54" s="97"/>
      <c r="P54" s="277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401"/>
      <c r="F55" s="34"/>
      <c r="G55" s="229" t="s">
        <v>28</v>
      </c>
      <c r="H55" s="112">
        <v>5</v>
      </c>
      <c r="I55" s="130">
        <v>2</v>
      </c>
      <c r="J55" s="130">
        <v>2</v>
      </c>
      <c r="K55" s="114">
        <v>3411.9</v>
      </c>
      <c r="L55" s="270">
        <v>2</v>
      </c>
      <c r="M55" s="43">
        <f t="shared" si="2"/>
        <v>3411.8999999999996</v>
      </c>
      <c r="N55" s="43">
        <f>1605.6+1806.3</f>
        <v>3411.8999999999996</v>
      </c>
      <c r="O55" s="58"/>
      <c r="P55" s="59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62</v>
      </c>
      <c r="C56" s="374" t="s">
        <v>39</v>
      </c>
      <c r="D56" s="374" t="s">
        <v>63</v>
      </c>
      <c r="E56" s="374" t="s">
        <v>27</v>
      </c>
      <c r="F56" s="232" t="s">
        <v>359</v>
      </c>
      <c r="G56" s="23" t="s">
        <v>24</v>
      </c>
      <c r="H56" s="24">
        <v>6</v>
      </c>
      <c r="I56" s="62">
        <v>2</v>
      </c>
      <c r="J56" s="62">
        <v>2</v>
      </c>
      <c r="K56" s="30">
        <v>1754.47</v>
      </c>
      <c r="L56" s="205">
        <v>2</v>
      </c>
      <c r="M56" s="26">
        <f t="shared" si="2"/>
        <v>1754.47</v>
      </c>
      <c r="N56" s="30">
        <v>1754.47</v>
      </c>
      <c r="O56" s="31"/>
      <c r="P56" s="108">
        <v>7</v>
      </c>
      <c r="Q56" s="65">
        <v>15242.58</v>
      </c>
      <c r="R56" s="224">
        <v>7</v>
      </c>
      <c r="S56" s="50">
        <f t="shared" si="3"/>
        <v>15242.58</v>
      </c>
      <c r="T56" s="65">
        <v>15242.58</v>
      </c>
      <c r="U56" s="3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375"/>
      <c r="F57" s="34"/>
      <c r="G57" s="35" t="s">
        <v>28</v>
      </c>
      <c r="H57" s="66">
        <v>5</v>
      </c>
      <c r="I57" s="37">
        <v>1</v>
      </c>
      <c r="J57" s="37">
        <v>1</v>
      </c>
      <c r="K57" s="68">
        <v>2007</v>
      </c>
      <c r="L57" s="285">
        <v>1</v>
      </c>
      <c r="M57" s="39">
        <f t="shared" si="2"/>
        <v>2007</v>
      </c>
      <c r="N57" s="39">
        <f>2007</f>
        <v>2007</v>
      </c>
      <c r="O57" s="41"/>
      <c r="P57" s="115">
        <v>8</v>
      </c>
      <c r="Q57" s="68">
        <v>16057.33</v>
      </c>
      <c r="R57" s="285">
        <v>12</v>
      </c>
      <c r="S57" s="39">
        <f t="shared" si="3"/>
        <v>26971.13</v>
      </c>
      <c r="T57" s="68">
        <f>2209.2+576.3+13639.1+1921+1921+3438.83+3265.7</f>
        <v>26971.13</v>
      </c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66</v>
      </c>
      <c r="C58" s="374" t="s">
        <v>22</v>
      </c>
      <c r="D58" s="374"/>
      <c r="E58" s="374" t="s">
        <v>67</v>
      </c>
      <c r="F58" s="223" t="s">
        <v>360</v>
      </c>
      <c r="G58" s="176" t="s">
        <v>24</v>
      </c>
      <c r="H58" s="278">
        <v>4</v>
      </c>
      <c r="I58" s="203">
        <v>4</v>
      </c>
      <c r="J58" s="203">
        <v>6</v>
      </c>
      <c r="K58" s="65">
        <v>9306.16</v>
      </c>
      <c r="L58" s="224">
        <v>6</v>
      </c>
      <c r="M58" s="50">
        <f t="shared" si="2"/>
        <v>9306.16</v>
      </c>
      <c r="N58" s="65">
        <v>9306.16</v>
      </c>
      <c r="O58" s="31"/>
      <c r="P58" s="53">
        <v>4</v>
      </c>
      <c r="Q58" s="30">
        <v>12223.84</v>
      </c>
      <c r="R58" s="205">
        <v>4</v>
      </c>
      <c r="S58" s="26">
        <f t="shared" si="3"/>
        <v>12223.84</v>
      </c>
      <c r="T58" s="30">
        <v>12223.84</v>
      </c>
      <c r="U58" s="243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105"/>
      <c r="G59" s="229" t="s">
        <v>28</v>
      </c>
      <c r="H59" s="230"/>
      <c r="I59" s="57"/>
      <c r="J59" s="57"/>
      <c r="K59" s="43"/>
      <c r="L59" s="44"/>
      <c r="M59" s="43">
        <f t="shared" si="2"/>
        <v>0</v>
      </c>
      <c r="N59" s="43"/>
      <c r="O59" s="41"/>
      <c r="P59" s="59"/>
      <c r="Q59" s="39"/>
      <c r="R59" s="40"/>
      <c r="S59" s="39">
        <f t="shared" si="3"/>
        <v>0</v>
      </c>
      <c r="T59" s="39"/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6"/>
      <c r="B60" s="377" t="s">
        <v>68</v>
      </c>
      <c r="C60" s="377" t="s">
        <v>39</v>
      </c>
      <c r="D60" s="377" t="s">
        <v>69</v>
      </c>
      <c r="E60" s="377" t="s">
        <v>65</v>
      </c>
      <c r="F60" s="223" t="s">
        <v>263</v>
      </c>
      <c r="G60" s="95" t="s">
        <v>24</v>
      </c>
      <c r="H60" s="61">
        <v>15</v>
      </c>
      <c r="I60" s="62">
        <v>13</v>
      </c>
      <c r="J60" s="62">
        <v>14</v>
      </c>
      <c r="K60" s="30">
        <v>26653.77</v>
      </c>
      <c r="L60" s="205">
        <v>13</v>
      </c>
      <c r="M60" s="26">
        <f t="shared" si="2"/>
        <v>23872.07</v>
      </c>
      <c r="N60" s="30">
        <v>23872.07</v>
      </c>
      <c r="O60" s="225"/>
      <c r="P60" s="53">
        <v>6</v>
      </c>
      <c r="Q60" s="30">
        <v>45189.01</v>
      </c>
      <c r="R60" s="205">
        <v>6</v>
      </c>
      <c r="S60" s="26">
        <f t="shared" si="3"/>
        <v>45189.01</v>
      </c>
      <c r="T60" s="30">
        <v>45189.01</v>
      </c>
      <c r="U60" s="225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305" t="s">
        <v>222</v>
      </c>
      <c r="G61" s="35" t="s">
        <v>28</v>
      </c>
      <c r="H61" s="117">
        <v>4</v>
      </c>
      <c r="I61" s="37">
        <v>3</v>
      </c>
      <c r="J61" s="37">
        <v>3</v>
      </c>
      <c r="K61" s="68">
        <v>3099.46</v>
      </c>
      <c r="L61" s="285">
        <v>3</v>
      </c>
      <c r="M61" s="39">
        <f t="shared" si="2"/>
        <v>3099.4</v>
      </c>
      <c r="N61" s="39">
        <f>1921+576.3+602.1</f>
        <v>3099.4</v>
      </c>
      <c r="O61" s="41"/>
      <c r="P61" s="115">
        <v>1</v>
      </c>
      <c r="Q61" s="68">
        <v>576.29999999999995</v>
      </c>
      <c r="R61" s="285">
        <v>1</v>
      </c>
      <c r="S61" s="39">
        <f t="shared" si="3"/>
        <v>144.08000000000001</v>
      </c>
      <c r="T61" s="39">
        <f>144.08</f>
        <v>144.08000000000001</v>
      </c>
      <c r="U61" s="45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2"/>
      <c r="B62" s="374" t="s">
        <v>70</v>
      </c>
      <c r="C62" s="374" t="s">
        <v>39</v>
      </c>
      <c r="D62" s="374" t="s">
        <v>284</v>
      </c>
      <c r="E62" s="374" t="s">
        <v>55</v>
      </c>
      <c r="F62" s="204" t="s">
        <v>285</v>
      </c>
      <c r="G62" s="176" t="s">
        <v>24</v>
      </c>
      <c r="H62" s="48">
        <v>27</v>
      </c>
      <c r="I62" s="203">
        <v>17</v>
      </c>
      <c r="J62" s="203">
        <v>25</v>
      </c>
      <c r="K62" s="65">
        <v>52150.75</v>
      </c>
      <c r="L62" s="224">
        <v>25</v>
      </c>
      <c r="M62" s="50">
        <f t="shared" si="2"/>
        <v>52150.75</v>
      </c>
      <c r="N62" s="65">
        <v>52150.75</v>
      </c>
      <c r="O62" s="225"/>
      <c r="P62" s="53">
        <v>34</v>
      </c>
      <c r="Q62" s="30">
        <v>83293.759999999995</v>
      </c>
      <c r="R62" s="205">
        <v>34</v>
      </c>
      <c r="S62" s="26">
        <f t="shared" si="3"/>
        <v>83293.759999999995</v>
      </c>
      <c r="T62" s="30">
        <v>83293.759999999995</v>
      </c>
      <c r="U62" s="243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105"/>
      <c r="G63" s="229" t="s">
        <v>25</v>
      </c>
      <c r="H63" s="272"/>
      <c r="I63" s="261"/>
      <c r="J63" s="261"/>
      <c r="K63" s="211"/>
      <c r="L63" s="210"/>
      <c r="M63" s="211">
        <f t="shared" si="2"/>
        <v>0</v>
      </c>
      <c r="N63" s="211"/>
      <c r="O63" s="212"/>
      <c r="P63" s="273"/>
      <c r="Q63" s="211"/>
      <c r="R63" s="210"/>
      <c r="S63" s="211">
        <f t="shared" si="3"/>
        <v>0</v>
      </c>
      <c r="T63" s="211"/>
      <c r="U63" s="212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361</v>
      </c>
      <c r="C64" s="374" t="s">
        <v>39</v>
      </c>
      <c r="D64" s="374" t="s">
        <v>393</v>
      </c>
      <c r="E64" s="377" t="s">
        <v>27</v>
      </c>
      <c r="F64" s="204" t="s">
        <v>394</v>
      </c>
      <c r="G64" s="213" t="s">
        <v>24</v>
      </c>
      <c r="H64" s="24">
        <v>13</v>
      </c>
      <c r="I64" s="62">
        <v>10</v>
      </c>
      <c r="J64" s="62">
        <v>11</v>
      </c>
      <c r="K64" s="30">
        <v>13630.4</v>
      </c>
      <c r="L64" s="205">
        <v>10</v>
      </c>
      <c r="M64" s="26">
        <f t="shared" si="2"/>
        <v>12787.46</v>
      </c>
      <c r="N64" s="30">
        <v>12787.46</v>
      </c>
      <c r="O64" s="28"/>
      <c r="P64" s="214"/>
      <c r="Q64" s="30"/>
      <c r="R64" s="27"/>
      <c r="S64" s="26">
        <f t="shared" si="3"/>
        <v>0</v>
      </c>
      <c r="T64" s="26"/>
      <c r="U64" s="2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80"/>
      <c r="F65" s="247"/>
      <c r="G65" s="279" t="s">
        <v>28</v>
      </c>
      <c r="H65" s="207">
        <v>5</v>
      </c>
      <c r="I65" s="208"/>
      <c r="J65" s="208"/>
      <c r="K65" s="209"/>
      <c r="L65" s="210"/>
      <c r="M65" s="211">
        <f t="shared" si="2"/>
        <v>0</v>
      </c>
      <c r="N65" s="211"/>
      <c r="O65" s="212"/>
      <c r="P65" s="280"/>
      <c r="Q65" s="209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362</v>
      </c>
      <c r="C66" s="374" t="s">
        <v>39</v>
      </c>
      <c r="D66" s="374" t="s">
        <v>395</v>
      </c>
      <c r="E66" s="374" t="s">
        <v>27</v>
      </c>
      <c r="F66" s="204" t="s">
        <v>396</v>
      </c>
      <c r="G66" s="176" t="s">
        <v>24</v>
      </c>
      <c r="H66" s="248">
        <v>7</v>
      </c>
      <c r="I66" s="62">
        <v>4</v>
      </c>
      <c r="J66" s="62">
        <v>5</v>
      </c>
      <c r="K66" s="30">
        <v>9142.82</v>
      </c>
      <c r="L66" s="205">
        <v>4</v>
      </c>
      <c r="M66" s="26">
        <f t="shared" si="2"/>
        <v>8451.36</v>
      </c>
      <c r="N66" s="30">
        <v>8451.36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75"/>
      <c r="F67" s="34"/>
      <c r="G67" s="229" t="s">
        <v>28</v>
      </c>
      <c r="H67" s="258">
        <v>6</v>
      </c>
      <c r="I67" s="37">
        <v>1</v>
      </c>
      <c r="J67" s="37">
        <v>1</v>
      </c>
      <c r="K67" s="68">
        <v>2207.6999999999998</v>
      </c>
      <c r="L67" s="285">
        <v>1</v>
      </c>
      <c r="M67" s="39">
        <f t="shared" si="2"/>
        <v>2207.6999999999998</v>
      </c>
      <c r="N67" s="39">
        <f>2207.7</f>
        <v>2207.6999999999998</v>
      </c>
      <c r="O67" s="41"/>
      <c r="P67" s="217"/>
      <c r="Q67" s="68"/>
      <c r="R67" s="40"/>
      <c r="S67" s="39">
        <f t="shared" si="3"/>
        <v>0</v>
      </c>
      <c r="T67" s="39"/>
      <c r="U67" s="4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6"/>
      <c r="B68" s="377" t="s">
        <v>72</v>
      </c>
      <c r="C68" s="377" t="s">
        <v>39</v>
      </c>
      <c r="D68" s="377" t="s">
        <v>363</v>
      </c>
      <c r="E68" s="377" t="s">
        <v>27</v>
      </c>
      <c r="F68" s="232" t="s">
        <v>364</v>
      </c>
      <c r="G68" s="95" t="s">
        <v>24</v>
      </c>
      <c r="H68" s="281">
        <v>8</v>
      </c>
      <c r="I68" s="266">
        <v>4</v>
      </c>
      <c r="J68" s="266">
        <v>4</v>
      </c>
      <c r="K68" s="79">
        <v>11251.64</v>
      </c>
      <c r="L68" s="268">
        <v>4</v>
      </c>
      <c r="M68" s="81">
        <f t="shared" si="2"/>
        <v>11251.64</v>
      </c>
      <c r="N68" s="79">
        <v>11251.64</v>
      </c>
      <c r="O68" s="219"/>
      <c r="P68" s="267">
        <v>3</v>
      </c>
      <c r="Q68" s="79">
        <v>4835.93</v>
      </c>
      <c r="R68" s="268">
        <v>3</v>
      </c>
      <c r="S68" s="81">
        <f t="shared" si="3"/>
        <v>4835.93</v>
      </c>
      <c r="T68" s="79">
        <v>4835.93</v>
      </c>
      <c r="U68" s="269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9"/>
      <c r="B69" s="380"/>
      <c r="C69" s="380"/>
      <c r="D69" s="380"/>
      <c r="E69" s="380"/>
      <c r="F69" s="233" t="s">
        <v>223</v>
      </c>
      <c r="G69" s="227" t="s">
        <v>28</v>
      </c>
      <c r="H69" s="112">
        <v>6</v>
      </c>
      <c r="I69" s="130">
        <v>4</v>
      </c>
      <c r="J69" s="130">
        <v>4</v>
      </c>
      <c r="K69" s="114">
        <v>6601.18</v>
      </c>
      <c r="L69" s="316">
        <v>4</v>
      </c>
      <c r="M69" s="129">
        <f t="shared" si="2"/>
        <v>6601.18</v>
      </c>
      <c r="N69" s="43">
        <f>1344.7+1738.48+2113.1+1404.9</f>
        <v>6601.18</v>
      </c>
      <c r="O69" s="45"/>
      <c r="P69" s="113">
        <v>1</v>
      </c>
      <c r="Q69" s="114">
        <v>5380.2</v>
      </c>
      <c r="R69" s="128"/>
      <c r="S69" s="129">
        <f t="shared" si="3"/>
        <v>0</v>
      </c>
      <c r="T69" s="43"/>
      <c r="U69" s="45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2"/>
      <c r="B70" s="374" t="s">
        <v>73</v>
      </c>
      <c r="C70" s="374" t="s">
        <v>22</v>
      </c>
      <c r="D70" s="374"/>
      <c r="E70" s="374" t="s">
        <v>27</v>
      </c>
      <c r="F70" s="204" t="s">
        <v>209</v>
      </c>
      <c r="G70" s="176" t="s">
        <v>24</v>
      </c>
      <c r="H70" s="61">
        <v>5</v>
      </c>
      <c r="I70" s="62">
        <v>4</v>
      </c>
      <c r="J70" s="62">
        <v>4</v>
      </c>
      <c r="K70" s="30">
        <v>5904.82</v>
      </c>
      <c r="L70" s="205">
        <v>4</v>
      </c>
      <c r="M70" s="26">
        <f t="shared" si="2"/>
        <v>5904.82</v>
      </c>
      <c r="N70" s="30">
        <v>5904.82</v>
      </c>
      <c r="O70" s="28"/>
      <c r="P70" s="29">
        <v>9</v>
      </c>
      <c r="Q70" s="30">
        <v>16995.990000000002</v>
      </c>
      <c r="R70" s="205">
        <v>9</v>
      </c>
      <c r="S70" s="26">
        <f t="shared" si="3"/>
        <v>16995.990000000002</v>
      </c>
      <c r="T70" s="30">
        <v>16995.990000000002</v>
      </c>
      <c r="U70" s="2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3"/>
      <c r="B71" s="375"/>
      <c r="C71" s="375"/>
      <c r="D71" s="375"/>
      <c r="E71" s="375"/>
      <c r="F71" s="105"/>
      <c r="G71" s="229" t="s">
        <v>28</v>
      </c>
      <c r="H71" s="106"/>
      <c r="I71" s="38"/>
      <c r="J71" s="38"/>
      <c r="K71" s="39"/>
      <c r="L71" s="40"/>
      <c r="M71" s="39">
        <f t="shared" si="2"/>
        <v>0</v>
      </c>
      <c r="N71" s="39"/>
      <c r="O71" s="41"/>
      <c r="P71" s="69"/>
      <c r="Q71" s="39"/>
      <c r="R71" s="40"/>
      <c r="S71" s="39">
        <f t="shared" si="3"/>
        <v>0</v>
      </c>
      <c r="T71" s="39"/>
      <c r="U71" s="4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74</v>
      </c>
      <c r="C72" s="374" t="s">
        <v>39</v>
      </c>
      <c r="D72" s="374" t="s">
        <v>264</v>
      </c>
      <c r="E72" s="374" t="s">
        <v>27</v>
      </c>
      <c r="F72" s="204" t="s">
        <v>265</v>
      </c>
      <c r="G72" s="176" t="s">
        <v>24</v>
      </c>
      <c r="H72" s="48">
        <v>5</v>
      </c>
      <c r="I72" s="49"/>
      <c r="J72" s="49"/>
      <c r="K72" s="50"/>
      <c r="L72" s="51"/>
      <c r="M72" s="50">
        <f t="shared" si="2"/>
        <v>0</v>
      </c>
      <c r="N72" s="50"/>
      <c r="O72" s="31"/>
      <c r="P72" s="108">
        <v>19</v>
      </c>
      <c r="Q72" s="65">
        <v>106685.07</v>
      </c>
      <c r="R72" s="224">
        <v>15</v>
      </c>
      <c r="S72" s="50">
        <f t="shared" si="3"/>
        <v>73353.95</v>
      </c>
      <c r="T72" s="65">
        <v>73353.95</v>
      </c>
      <c r="U72" s="225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220" t="s">
        <v>286</v>
      </c>
      <c r="G73" s="229" t="s">
        <v>28</v>
      </c>
      <c r="H73" s="56">
        <v>5</v>
      </c>
      <c r="I73" s="130">
        <v>1</v>
      </c>
      <c r="J73" s="130">
        <v>1</v>
      </c>
      <c r="K73" s="114">
        <v>1056.5999999999999</v>
      </c>
      <c r="L73" s="270">
        <v>1</v>
      </c>
      <c r="M73" s="43">
        <f t="shared" si="2"/>
        <v>1152.5999999999999</v>
      </c>
      <c r="N73" s="43">
        <f>1152.6</f>
        <v>1152.5999999999999</v>
      </c>
      <c r="O73" s="41"/>
      <c r="P73" s="113">
        <v>1</v>
      </c>
      <c r="Q73" s="114">
        <v>2881.5</v>
      </c>
      <c r="R73" s="270">
        <v>1</v>
      </c>
      <c r="S73" s="43">
        <f t="shared" si="3"/>
        <v>2881.5</v>
      </c>
      <c r="T73" s="114">
        <v>2881.5</v>
      </c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76</v>
      </c>
      <c r="C74" s="374" t="s">
        <v>39</v>
      </c>
      <c r="D74" s="374" t="s">
        <v>397</v>
      </c>
      <c r="E74" s="374" t="s">
        <v>77</v>
      </c>
      <c r="F74" s="232" t="s">
        <v>398</v>
      </c>
      <c r="G74" s="23" t="s">
        <v>24</v>
      </c>
      <c r="H74" s="61">
        <v>10</v>
      </c>
      <c r="I74" s="62">
        <v>9</v>
      </c>
      <c r="J74" s="62">
        <v>12</v>
      </c>
      <c r="K74" s="30">
        <v>34420.35</v>
      </c>
      <c r="L74" s="205">
        <v>12</v>
      </c>
      <c r="M74" s="26">
        <f t="shared" si="2"/>
        <v>34420.35</v>
      </c>
      <c r="N74" s="30">
        <v>34420.35</v>
      </c>
      <c r="O74" s="225"/>
      <c r="P74" s="29">
        <v>5</v>
      </c>
      <c r="Q74" s="30">
        <v>10539.19</v>
      </c>
      <c r="R74" s="205">
        <v>5</v>
      </c>
      <c r="S74" s="26">
        <f t="shared" si="3"/>
        <v>10539.19</v>
      </c>
      <c r="T74" s="30">
        <v>10539.19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287</v>
      </c>
      <c r="G75" s="35" t="s">
        <v>28</v>
      </c>
      <c r="H75" s="117">
        <v>4</v>
      </c>
      <c r="I75" s="38"/>
      <c r="J75" s="38"/>
      <c r="K75" s="39"/>
      <c r="L75" s="40"/>
      <c r="M75" s="39">
        <f t="shared" si="2"/>
        <v>0</v>
      </c>
      <c r="N75" s="39"/>
      <c r="O75" s="41"/>
      <c r="P75" s="69"/>
      <c r="Q75" s="39"/>
      <c r="R75" s="40"/>
      <c r="S75" s="39">
        <f t="shared" si="3"/>
        <v>0</v>
      </c>
      <c r="T75" s="39"/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82"/>
      <c r="B76" s="381" t="s">
        <v>78</v>
      </c>
      <c r="C76" s="381" t="s">
        <v>22</v>
      </c>
      <c r="D76" s="381"/>
      <c r="E76" s="374" t="s">
        <v>77</v>
      </c>
      <c r="F76" s="204" t="s">
        <v>408</v>
      </c>
      <c r="G76" s="47" t="s">
        <v>24</v>
      </c>
      <c r="H76" s="48">
        <v>2</v>
      </c>
      <c r="I76" s="203">
        <v>2</v>
      </c>
      <c r="J76" s="203">
        <v>3</v>
      </c>
      <c r="K76" s="65">
        <v>1661.67</v>
      </c>
      <c r="L76" s="224">
        <v>1</v>
      </c>
      <c r="M76" s="50">
        <f t="shared" si="2"/>
        <v>633.92999999999995</v>
      </c>
      <c r="N76" s="65">
        <v>633.92999999999995</v>
      </c>
      <c r="O76" s="225"/>
      <c r="P76" s="123"/>
      <c r="Q76" s="50"/>
      <c r="R76" s="51"/>
      <c r="S76" s="50">
        <f t="shared" si="3"/>
        <v>0</v>
      </c>
      <c r="T76" s="50"/>
      <c r="U76" s="3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126"/>
      <c r="G77" s="55" t="s">
        <v>28</v>
      </c>
      <c r="H77" s="131"/>
      <c r="I77" s="57"/>
      <c r="J77" s="57"/>
      <c r="K77" s="43"/>
      <c r="L77" s="44"/>
      <c r="M77" s="43">
        <f t="shared" si="2"/>
        <v>0</v>
      </c>
      <c r="N77" s="43"/>
      <c r="O77" s="41"/>
      <c r="P77" s="103"/>
      <c r="Q77" s="43"/>
      <c r="R77" s="44"/>
      <c r="S77" s="43">
        <f t="shared" si="3"/>
        <v>0</v>
      </c>
      <c r="T77" s="43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2"/>
      <c r="B78" s="374" t="s">
        <v>79</v>
      </c>
      <c r="C78" s="374" t="s">
        <v>22</v>
      </c>
      <c r="D78" s="374"/>
      <c r="E78" s="374" t="s">
        <v>50</v>
      </c>
      <c r="F78" s="204" t="s">
        <v>444</v>
      </c>
      <c r="G78" s="23" t="s">
        <v>24</v>
      </c>
      <c r="H78" s="61">
        <v>9</v>
      </c>
      <c r="I78" s="62">
        <v>6</v>
      </c>
      <c r="J78" s="62">
        <v>9</v>
      </c>
      <c r="K78" s="30">
        <v>14971.8</v>
      </c>
      <c r="L78" s="205">
        <v>9</v>
      </c>
      <c r="M78" s="26">
        <f t="shared" si="2"/>
        <v>14971.8</v>
      </c>
      <c r="N78" s="30">
        <v>14971.8</v>
      </c>
      <c r="O78" s="31"/>
      <c r="P78" s="53">
        <v>3</v>
      </c>
      <c r="Q78" s="30">
        <v>6335.58</v>
      </c>
      <c r="R78" s="205">
        <v>3</v>
      </c>
      <c r="S78" s="26">
        <f t="shared" si="3"/>
        <v>6335.58</v>
      </c>
      <c r="T78" s="30">
        <v>6335.58</v>
      </c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34"/>
      <c r="G79" s="35" t="s">
        <v>25</v>
      </c>
      <c r="H79" s="117">
        <v>3</v>
      </c>
      <c r="I79" s="37">
        <v>2</v>
      </c>
      <c r="J79" s="37">
        <v>2</v>
      </c>
      <c r="K79" s="68">
        <v>1479.45</v>
      </c>
      <c r="L79" s="285">
        <v>2</v>
      </c>
      <c r="M79" s="68">
        <v>1479.45</v>
      </c>
      <c r="N79" s="68">
        <v>1479.45</v>
      </c>
      <c r="O79" s="41"/>
      <c r="P79" s="115">
        <v>1</v>
      </c>
      <c r="Q79" s="68">
        <v>6823.8</v>
      </c>
      <c r="R79" s="285">
        <v>1</v>
      </c>
      <c r="S79" s="68">
        <v>6823.8</v>
      </c>
      <c r="T79" s="68">
        <v>6823.8</v>
      </c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82"/>
      <c r="B80" s="381" t="s">
        <v>80</v>
      </c>
      <c r="C80" s="381" t="s">
        <v>22</v>
      </c>
      <c r="D80" s="381"/>
      <c r="E80" s="381" t="s">
        <v>67</v>
      </c>
      <c r="F80" s="223" t="s">
        <v>399</v>
      </c>
      <c r="G80" s="47" t="s">
        <v>24</v>
      </c>
      <c r="H80" s="48">
        <v>11</v>
      </c>
      <c r="I80" s="203">
        <v>6</v>
      </c>
      <c r="J80" s="203">
        <v>9</v>
      </c>
      <c r="K80" s="158">
        <v>12064.84</v>
      </c>
      <c r="L80" s="224">
        <v>9</v>
      </c>
      <c r="M80" s="50">
        <f t="shared" ref="M80:M96" si="4">N80+O80</f>
        <v>12064.84</v>
      </c>
      <c r="N80" s="65">
        <v>12064.84</v>
      </c>
      <c r="O80" s="225"/>
      <c r="P80" s="108">
        <v>10</v>
      </c>
      <c r="Q80" s="65">
        <v>40632.5</v>
      </c>
      <c r="R80" s="224">
        <v>10</v>
      </c>
      <c r="S80" s="50">
        <f t="shared" ref="S80:S96" si="5">T80+U80</f>
        <v>40632.5</v>
      </c>
      <c r="T80" s="65">
        <v>40632.5</v>
      </c>
      <c r="U80" s="225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9"/>
      <c r="B81" s="380"/>
      <c r="C81" s="380"/>
      <c r="D81" s="380"/>
      <c r="E81" s="380"/>
      <c r="F81" s="226"/>
      <c r="G81" s="227" t="s">
        <v>28</v>
      </c>
      <c r="H81" s="118"/>
      <c r="I81" s="57"/>
      <c r="J81" s="57"/>
      <c r="L81" s="44"/>
      <c r="M81" s="43">
        <f t="shared" si="4"/>
        <v>0</v>
      </c>
      <c r="N81" s="43"/>
      <c r="O81" s="41"/>
      <c r="P81" s="103"/>
      <c r="Q81" s="43"/>
      <c r="R81" s="44"/>
      <c r="S81" s="43">
        <f t="shared" si="5"/>
        <v>0</v>
      </c>
      <c r="T81" s="43"/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2"/>
      <c r="B82" s="374" t="s">
        <v>81</v>
      </c>
      <c r="C82" s="374" t="s">
        <v>39</v>
      </c>
      <c r="D82" s="374" t="s">
        <v>224</v>
      </c>
      <c r="E82" s="374" t="s">
        <v>65</v>
      </c>
      <c r="F82" s="204" t="s">
        <v>225</v>
      </c>
      <c r="G82" s="176" t="s">
        <v>24</v>
      </c>
      <c r="H82" s="248">
        <v>39</v>
      </c>
      <c r="I82" s="62">
        <v>32</v>
      </c>
      <c r="J82" s="62">
        <v>48</v>
      </c>
      <c r="K82" s="30">
        <v>91477.55</v>
      </c>
      <c r="L82" s="205">
        <v>48</v>
      </c>
      <c r="M82" s="26">
        <f t="shared" si="4"/>
        <v>91477.55</v>
      </c>
      <c r="N82" s="30">
        <v>91477.55</v>
      </c>
      <c r="O82" s="225"/>
      <c r="P82" s="29">
        <v>24</v>
      </c>
      <c r="Q82" s="30">
        <v>80699.88</v>
      </c>
      <c r="R82" s="205">
        <v>24</v>
      </c>
      <c r="S82" s="26">
        <f t="shared" si="5"/>
        <v>80699.88</v>
      </c>
      <c r="T82" s="30">
        <v>80699.88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3"/>
      <c r="B83" s="375"/>
      <c r="C83" s="375"/>
      <c r="D83" s="375"/>
      <c r="E83" s="375"/>
      <c r="F83" s="34"/>
      <c r="G83" s="282" t="s">
        <v>28</v>
      </c>
      <c r="H83" s="283"/>
      <c r="I83" s="261"/>
      <c r="J83" s="261"/>
      <c r="K83" s="211"/>
      <c r="L83" s="210"/>
      <c r="M83" s="211">
        <f t="shared" si="4"/>
        <v>0</v>
      </c>
      <c r="N83" s="211"/>
      <c r="O83" s="212"/>
      <c r="P83" s="284"/>
      <c r="Q83" s="211"/>
      <c r="R83" s="210"/>
      <c r="S83" s="211">
        <f t="shared" si="5"/>
        <v>0</v>
      </c>
      <c r="T83" s="211"/>
      <c r="U83" s="212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365</v>
      </c>
      <c r="C84" s="374" t="s">
        <v>39</v>
      </c>
      <c r="D84" s="378" t="s">
        <v>409</v>
      </c>
      <c r="E84" s="374" t="s">
        <v>65</v>
      </c>
      <c r="F84" s="232" t="s">
        <v>410</v>
      </c>
      <c r="G84" s="213" t="s">
        <v>24</v>
      </c>
      <c r="H84" s="24">
        <v>6</v>
      </c>
      <c r="I84" s="62">
        <v>4</v>
      </c>
      <c r="J84" s="62">
        <v>4</v>
      </c>
      <c r="K84" s="30">
        <v>7783.75</v>
      </c>
      <c r="L84" s="205">
        <v>4</v>
      </c>
      <c r="M84" s="26">
        <f t="shared" si="4"/>
        <v>7783.75</v>
      </c>
      <c r="N84" s="30">
        <v>7783.75</v>
      </c>
      <c r="O84" s="28"/>
      <c r="P84" s="214"/>
      <c r="Q84" s="30"/>
      <c r="R84" s="27"/>
      <c r="S84" s="26">
        <f t="shared" si="5"/>
        <v>0</v>
      </c>
      <c r="T84" s="26"/>
      <c r="U84" s="2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247"/>
      <c r="G85" s="279" t="s">
        <v>28</v>
      </c>
      <c r="H85" s="207">
        <v>5</v>
      </c>
      <c r="I85" s="208">
        <v>1</v>
      </c>
      <c r="J85" s="208">
        <v>1</v>
      </c>
      <c r="K85" s="209">
        <v>2305.1999999999998</v>
      </c>
      <c r="L85" s="290">
        <v>1</v>
      </c>
      <c r="M85" s="211">
        <f t="shared" si="4"/>
        <v>2305.1999999999998</v>
      </c>
      <c r="N85" s="211">
        <f>2305.2</f>
        <v>2305.1999999999998</v>
      </c>
      <c r="O85" s="212"/>
      <c r="P85" s="280"/>
      <c r="Q85" s="209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400</v>
      </c>
      <c r="C86" s="374" t="s">
        <v>22</v>
      </c>
      <c r="D86" s="378"/>
      <c r="E86" s="374" t="s">
        <v>401</v>
      </c>
      <c r="F86" s="204" t="s">
        <v>402</v>
      </c>
      <c r="G86" s="213" t="s">
        <v>24</v>
      </c>
      <c r="H86" s="24"/>
      <c r="I86" s="62"/>
      <c r="J86" s="62"/>
      <c r="K86" s="30"/>
      <c r="L86" s="27"/>
      <c r="M86" s="26">
        <f t="shared" si="4"/>
        <v>0</v>
      </c>
      <c r="N86" s="26"/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34"/>
      <c r="G87" s="215" t="s">
        <v>28</v>
      </c>
      <c r="H87" s="66"/>
      <c r="I87" s="37"/>
      <c r="J87" s="37"/>
      <c r="K87" s="68"/>
      <c r="L87" s="40"/>
      <c r="M87" s="39">
        <f t="shared" si="4"/>
        <v>0</v>
      </c>
      <c r="N87" s="39"/>
      <c r="O87" s="41"/>
      <c r="P87" s="217"/>
      <c r="Q87" s="68"/>
      <c r="R87" s="40"/>
      <c r="S87" s="39">
        <f t="shared" si="5"/>
        <v>0</v>
      </c>
      <c r="T87" s="39"/>
      <c r="U87" s="4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6"/>
      <c r="B88" s="377" t="s">
        <v>82</v>
      </c>
      <c r="C88" s="377" t="s">
        <v>22</v>
      </c>
      <c r="D88" s="400"/>
      <c r="E88" s="377" t="s">
        <v>83</v>
      </c>
      <c r="F88" s="223" t="s">
        <v>404</v>
      </c>
      <c r="G88" s="95" t="s">
        <v>24</v>
      </c>
      <c r="H88" s="281">
        <v>11</v>
      </c>
      <c r="I88" s="266">
        <v>8</v>
      </c>
      <c r="J88" s="266">
        <v>13</v>
      </c>
      <c r="K88" s="79">
        <v>22197.56</v>
      </c>
      <c r="L88" s="268">
        <v>13</v>
      </c>
      <c r="M88" s="81">
        <f t="shared" si="4"/>
        <v>22197.56</v>
      </c>
      <c r="N88" s="79">
        <v>22197.56</v>
      </c>
      <c r="O88" s="269"/>
      <c r="P88" s="267">
        <v>9</v>
      </c>
      <c r="Q88" s="79">
        <v>22011.75</v>
      </c>
      <c r="R88" s="268">
        <v>9</v>
      </c>
      <c r="S88" s="81">
        <f t="shared" si="5"/>
        <v>22011.75</v>
      </c>
      <c r="T88" s="79">
        <v>22011.75</v>
      </c>
      <c r="U88" s="269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54"/>
      <c r="G89" s="55" t="s">
        <v>25</v>
      </c>
      <c r="H89" s="121">
        <v>3</v>
      </c>
      <c r="I89" s="130">
        <v>1</v>
      </c>
      <c r="J89" s="130">
        <v>1</v>
      </c>
      <c r="K89" s="114">
        <v>1344.7</v>
      </c>
      <c r="L89" s="270">
        <v>1</v>
      </c>
      <c r="M89" s="43">
        <f t="shared" si="4"/>
        <v>1344.7</v>
      </c>
      <c r="N89" s="114">
        <v>1344.7</v>
      </c>
      <c r="O89" s="234"/>
      <c r="P89" s="103"/>
      <c r="Q89" s="43"/>
      <c r="R89" s="44"/>
      <c r="S89" s="43">
        <f t="shared" si="5"/>
        <v>0</v>
      </c>
      <c r="T89" s="43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2"/>
      <c r="B90" s="374" t="s">
        <v>84</v>
      </c>
      <c r="C90" s="374"/>
      <c r="D90" s="378"/>
      <c r="E90" s="374"/>
      <c r="F90" s="60"/>
      <c r="G90" s="23" t="s">
        <v>24</v>
      </c>
      <c r="H90" s="119"/>
      <c r="I90" s="25"/>
      <c r="J90" s="25"/>
      <c r="K90" s="26"/>
      <c r="L90" s="27"/>
      <c r="M90" s="26">
        <f t="shared" si="4"/>
        <v>0</v>
      </c>
      <c r="N90" s="26"/>
      <c r="O90" s="31"/>
      <c r="P90" s="120"/>
      <c r="Q90" s="26"/>
      <c r="R90" s="27"/>
      <c r="S90" s="26">
        <f t="shared" si="5"/>
        <v>0</v>
      </c>
      <c r="T90" s="26"/>
      <c r="U90" s="3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132"/>
      <c r="G91" s="35" t="s">
        <v>28</v>
      </c>
      <c r="H91" s="36"/>
      <c r="I91" s="38"/>
      <c r="J91" s="38"/>
      <c r="K91" s="39"/>
      <c r="L91" s="40"/>
      <c r="M91" s="39">
        <f t="shared" si="4"/>
        <v>0</v>
      </c>
      <c r="N91" s="39"/>
      <c r="O91" s="41"/>
      <c r="P91" s="69"/>
      <c r="Q91" s="39"/>
      <c r="R91" s="40"/>
      <c r="S91" s="39">
        <f t="shared" si="5"/>
        <v>0</v>
      </c>
      <c r="T91" s="39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82"/>
      <c r="B92" s="381" t="s">
        <v>85</v>
      </c>
      <c r="C92" s="381" t="s">
        <v>22</v>
      </c>
      <c r="D92" s="385"/>
      <c r="E92" s="381" t="s">
        <v>27</v>
      </c>
      <c r="F92" s="127"/>
      <c r="G92" s="47" t="s">
        <v>24</v>
      </c>
      <c r="H92" s="98"/>
      <c r="I92" s="49"/>
      <c r="J92" s="49"/>
      <c r="K92" s="50"/>
      <c r="L92" s="51"/>
      <c r="M92" s="50">
        <f t="shared" si="4"/>
        <v>0</v>
      </c>
      <c r="N92" s="50"/>
      <c r="O92" s="31"/>
      <c r="P92" s="108">
        <v>1</v>
      </c>
      <c r="Q92" s="65">
        <v>405.02</v>
      </c>
      <c r="R92" s="51"/>
      <c r="S92" s="50">
        <f t="shared" si="5"/>
        <v>0</v>
      </c>
      <c r="T92" s="50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9"/>
      <c r="B93" s="380"/>
      <c r="C93" s="380"/>
      <c r="D93" s="380"/>
      <c r="E93" s="380"/>
      <c r="F93" s="226"/>
      <c r="G93" s="227" t="s">
        <v>28</v>
      </c>
      <c r="H93" s="116"/>
      <c r="I93" s="57"/>
      <c r="J93" s="57"/>
      <c r="K93" s="43"/>
      <c r="L93" s="44"/>
      <c r="M93" s="43">
        <f t="shared" si="4"/>
        <v>0</v>
      </c>
      <c r="N93" s="43"/>
      <c r="O93" s="41"/>
      <c r="P93" s="103"/>
      <c r="Q93" s="43"/>
      <c r="R93" s="44"/>
      <c r="S93" s="43">
        <f t="shared" si="5"/>
        <v>0</v>
      </c>
      <c r="T93" s="43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2"/>
      <c r="B94" s="374" t="s">
        <v>86</v>
      </c>
      <c r="C94" s="374" t="s">
        <v>39</v>
      </c>
      <c r="D94" s="374" t="s">
        <v>266</v>
      </c>
      <c r="E94" s="374" t="s">
        <v>23</v>
      </c>
      <c r="F94" s="204" t="s">
        <v>267</v>
      </c>
      <c r="G94" s="176" t="s">
        <v>24</v>
      </c>
      <c r="H94" s="151">
        <v>2</v>
      </c>
      <c r="I94" s="25"/>
      <c r="J94" s="25"/>
      <c r="K94" s="26"/>
      <c r="L94" s="27"/>
      <c r="M94" s="26">
        <f t="shared" si="4"/>
        <v>0</v>
      </c>
      <c r="N94" s="26"/>
      <c r="O94" s="31"/>
      <c r="P94" s="53">
        <v>8</v>
      </c>
      <c r="Q94" s="30">
        <v>23413.73</v>
      </c>
      <c r="R94" s="205">
        <v>8</v>
      </c>
      <c r="S94" s="26">
        <f t="shared" si="5"/>
        <v>23413.73</v>
      </c>
      <c r="T94" s="30">
        <v>23413.73</v>
      </c>
      <c r="U94" s="225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3"/>
      <c r="B95" s="375"/>
      <c r="C95" s="375"/>
      <c r="D95" s="375"/>
      <c r="E95" s="375"/>
      <c r="F95" s="105"/>
      <c r="G95" s="229" t="s">
        <v>25</v>
      </c>
      <c r="H95" s="118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87</v>
      </c>
      <c r="C96" s="374" t="s">
        <v>39</v>
      </c>
      <c r="D96" s="374" t="s">
        <v>88</v>
      </c>
      <c r="E96" s="374" t="s">
        <v>89</v>
      </c>
      <c r="F96" s="232" t="s">
        <v>268</v>
      </c>
      <c r="G96" s="23" t="s">
        <v>24</v>
      </c>
      <c r="H96" s="61">
        <v>15</v>
      </c>
      <c r="I96" s="62">
        <v>12</v>
      </c>
      <c r="J96" s="62">
        <v>17</v>
      </c>
      <c r="K96" s="30">
        <v>29987.31</v>
      </c>
      <c r="L96" s="205">
        <v>17</v>
      </c>
      <c r="M96" s="26">
        <f t="shared" si="4"/>
        <v>29987.31</v>
      </c>
      <c r="N96" s="30">
        <v>29987.31</v>
      </c>
      <c r="O96" s="31"/>
      <c r="P96" s="53">
        <v>10</v>
      </c>
      <c r="Q96" s="30">
        <v>37366.67</v>
      </c>
      <c r="R96" s="205">
        <v>10</v>
      </c>
      <c r="S96" s="26">
        <f t="shared" si="5"/>
        <v>37366.67</v>
      </c>
      <c r="T96" s="30">
        <v>37366.67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220" t="s">
        <v>290</v>
      </c>
      <c r="G97" s="35" t="s">
        <v>25</v>
      </c>
      <c r="H97" s="117">
        <v>8</v>
      </c>
      <c r="I97" s="37">
        <v>5</v>
      </c>
      <c r="J97" s="37">
        <v>5</v>
      </c>
      <c r="K97" s="68">
        <v>8538.9599999999991</v>
      </c>
      <c r="L97" s="285">
        <v>5</v>
      </c>
      <c r="M97" s="68">
        <v>8538.9599999999991</v>
      </c>
      <c r="N97" s="68">
        <v>8538.9599999999991</v>
      </c>
      <c r="O97" s="234"/>
      <c r="P97" s="115">
        <v>7</v>
      </c>
      <c r="Q97" s="68">
        <v>19517.39</v>
      </c>
      <c r="R97" s="285">
        <v>7</v>
      </c>
      <c r="S97" s="68">
        <v>19517.39</v>
      </c>
      <c r="T97" s="68">
        <v>19517.39</v>
      </c>
      <c r="U97" s="23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90</v>
      </c>
      <c r="C98" s="374" t="s">
        <v>39</v>
      </c>
      <c r="D98" s="374" t="s">
        <v>91</v>
      </c>
      <c r="E98" s="374" t="s">
        <v>27</v>
      </c>
      <c r="F98" s="204" t="s">
        <v>291</v>
      </c>
      <c r="G98" s="176" t="s">
        <v>24</v>
      </c>
      <c r="H98" s="48">
        <v>5</v>
      </c>
      <c r="I98" s="203">
        <v>2</v>
      </c>
      <c r="J98" s="203">
        <v>2</v>
      </c>
      <c r="K98" s="65">
        <v>2539.56</v>
      </c>
      <c r="L98" s="224">
        <v>2</v>
      </c>
      <c r="M98" s="50">
        <f>N98+O98</f>
        <v>2539.56</v>
      </c>
      <c r="N98" s="65">
        <v>2539.56</v>
      </c>
      <c r="O98" s="31"/>
      <c r="P98" s="108">
        <v>8</v>
      </c>
      <c r="Q98" s="65">
        <v>93924.24</v>
      </c>
      <c r="R98" s="224">
        <v>8</v>
      </c>
      <c r="S98" s="50">
        <f t="shared" ref="S98:S104" si="6">T98+U98</f>
        <v>93924.24</v>
      </c>
      <c r="T98" s="65">
        <v>93924.24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229</v>
      </c>
      <c r="G99" s="229" t="s">
        <v>28</v>
      </c>
      <c r="H99" s="133">
        <v>4</v>
      </c>
      <c r="I99" s="130">
        <v>1</v>
      </c>
      <c r="J99" s="130">
        <v>1</v>
      </c>
      <c r="K99" s="114">
        <v>1344.7</v>
      </c>
      <c r="L99" s="270">
        <v>1</v>
      </c>
      <c r="M99" s="114">
        <v>1344.7</v>
      </c>
      <c r="N99" s="114">
        <v>1344.7</v>
      </c>
      <c r="O99" s="41"/>
      <c r="P99" s="113">
        <v>1</v>
      </c>
      <c r="Q99" s="114">
        <v>1404.9</v>
      </c>
      <c r="R99" s="270">
        <v>1</v>
      </c>
      <c r="S99" s="43">
        <f t="shared" si="6"/>
        <v>1404.9</v>
      </c>
      <c r="T99" s="43">
        <f>1404.9</f>
        <v>1404.9</v>
      </c>
      <c r="U99" s="4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92</v>
      </c>
      <c r="C100" s="374" t="s">
        <v>22</v>
      </c>
      <c r="D100" s="374"/>
      <c r="E100" s="374" t="s">
        <v>27</v>
      </c>
      <c r="F100" s="232" t="s">
        <v>269</v>
      </c>
      <c r="G100" s="23" t="s">
        <v>24</v>
      </c>
      <c r="H100" s="151">
        <v>4</v>
      </c>
      <c r="I100" s="62">
        <v>3</v>
      </c>
      <c r="J100" s="62">
        <v>3</v>
      </c>
      <c r="K100" s="30">
        <v>7389.22</v>
      </c>
      <c r="L100" s="205">
        <v>3</v>
      </c>
      <c r="M100" s="26">
        <f t="shared" ref="M100:M104" si="7">N100+O100</f>
        <v>7389.22</v>
      </c>
      <c r="N100" s="30">
        <v>7389.22</v>
      </c>
      <c r="O100" s="31"/>
      <c r="P100" s="53">
        <v>8</v>
      </c>
      <c r="Q100" s="30">
        <v>39013.760000000002</v>
      </c>
      <c r="R100" s="205">
        <v>8</v>
      </c>
      <c r="S100" s="26">
        <f t="shared" si="6"/>
        <v>39013.760000000002</v>
      </c>
      <c r="T100" s="30">
        <v>39013.760000000002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9"/>
      <c r="B101" s="380"/>
      <c r="C101" s="380"/>
      <c r="D101" s="380"/>
      <c r="E101" s="380"/>
      <c r="F101" s="233" t="s">
        <v>230</v>
      </c>
      <c r="G101" s="227" t="s">
        <v>28</v>
      </c>
      <c r="H101" s="133">
        <v>2</v>
      </c>
      <c r="I101" s="130">
        <v>2</v>
      </c>
      <c r="J101" s="130">
        <v>2</v>
      </c>
      <c r="K101" s="114">
        <v>1756.5</v>
      </c>
      <c r="L101" s="270">
        <v>2</v>
      </c>
      <c r="M101" s="43">
        <f t="shared" si="7"/>
        <v>1780.5</v>
      </c>
      <c r="N101" s="43">
        <f>576.3+1204.2</f>
        <v>1780.5</v>
      </c>
      <c r="O101" s="41"/>
      <c r="P101" s="103"/>
      <c r="Q101" s="43"/>
      <c r="R101" s="270">
        <v>1</v>
      </c>
      <c r="S101" s="43">
        <f t="shared" si="6"/>
        <v>2408.4</v>
      </c>
      <c r="T101" s="43">
        <f>2408.4</f>
        <v>2408.4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93</v>
      </c>
      <c r="C102" s="374" t="s">
        <v>22</v>
      </c>
      <c r="D102" s="374"/>
      <c r="E102" s="374" t="s">
        <v>27</v>
      </c>
      <c r="F102" s="204" t="s">
        <v>412</v>
      </c>
      <c r="G102" s="176" t="s">
        <v>24</v>
      </c>
      <c r="H102" s="151">
        <v>3</v>
      </c>
      <c r="I102" s="62">
        <v>2</v>
      </c>
      <c r="J102" s="62">
        <v>3</v>
      </c>
      <c r="K102" s="30">
        <v>4738.63</v>
      </c>
      <c r="L102" s="205">
        <v>3</v>
      </c>
      <c r="M102" s="26">
        <f t="shared" si="7"/>
        <v>4738.63</v>
      </c>
      <c r="N102" s="30">
        <v>4738.63</v>
      </c>
      <c r="O102" s="225"/>
      <c r="P102" s="53">
        <v>3</v>
      </c>
      <c r="Q102" s="30">
        <v>15479.57</v>
      </c>
      <c r="R102" s="205">
        <v>3</v>
      </c>
      <c r="S102" s="26">
        <f t="shared" si="6"/>
        <v>15479.57</v>
      </c>
      <c r="T102" s="30">
        <v>15479.57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3"/>
      <c r="B103" s="375"/>
      <c r="C103" s="375"/>
      <c r="D103" s="375"/>
      <c r="E103" s="375"/>
      <c r="F103" s="105"/>
      <c r="G103" s="229" t="s">
        <v>28</v>
      </c>
      <c r="H103" s="116"/>
      <c r="I103" s="57"/>
      <c r="J103" s="57"/>
      <c r="K103" s="43"/>
      <c r="L103" s="44"/>
      <c r="M103" s="43">
        <f t="shared" si="7"/>
        <v>0</v>
      </c>
      <c r="N103" s="43"/>
      <c r="O103" s="41"/>
      <c r="P103" s="103"/>
      <c r="Q103" s="43"/>
      <c r="R103" s="44"/>
      <c r="S103" s="43">
        <f t="shared" si="6"/>
        <v>0</v>
      </c>
      <c r="T103" s="43"/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94</v>
      </c>
      <c r="C104" s="374" t="s">
        <v>39</v>
      </c>
      <c r="D104" s="374" t="s">
        <v>95</v>
      </c>
      <c r="E104" s="374" t="s">
        <v>96</v>
      </c>
      <c r="F104" s="204" t="s">
        <v>292</v>
      </c>
      <c r="G104" s="176" t="s">
        <v>24</v>
      </c>
      <c r="H104" s="48">
        <v>7</v>
      </c>
      <c r="I104" s="62">
        <v>5</v>
      </c>
      <c r="J104" s="62">
        <v>6</v>
      </c>
      <c r="K104" s="30">
        <v>16261.19</v>
      </c>
      <c r="L104" s="205">
        <v>5</v>
      </c>
      <c r="M104" s="26">
        <f t="shared" si="7"/>
        <v>15598.88</v>
      </c>
      <c r="N104" s="30">
        <v>15598.88</v>
      </c>
      <c r="O104" s="31"/>
      <c r="P104" s="53">
        <v>24</v>
      </c>
      <c r="Q104" s="30">
        <v>62843.82</v>
      </c>
      <c r="R104" s="205">
        <v>23</v>
      </c>
      <c r="S104" s="26">
        <f t="shared" si="6"/>
        <v>58950.239999999998</v>
      </c>
      <c r="T104" s="30">
        <v>58950.239999999998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220" t="s">
        <v>293</v>
      </c>
      <c r="G105" s="307" t="s">
        <v>25</v>
      </c>
      <c r="H105" s="112">
        <v>8</v>
      </c>
      <c r="I105" s="130">
        <v>8</v>
      </c>
      <c r="J105" s="130">
        <v>8</v>
      </c>
      <c r="K105" s="114">
        <v>10899.4</v>
      </c>
      <c r="L105" s="270">
        <v>8</v>
      </c>
      <c r="M105" s="114">
        <v>10899.4</v>
      </c>
      <c r="N105" s="114">
        <v>10899.4</v>
      </c>
      <c r="O105" s="234"/>
      <c r="P105" s="113">
        <v>10</v>
      </c>
      <c r="Q105" s="114">
        <v>23572.240000000002</v>
      </c>
      <c r="R105" s="270">
        <v>10</v>
      </c>
      <c r="S105" s="114">
        <v>23572.240000000002</v>
      </c>
      <c r="T105" s="114">
        <v>23572.240000000002</v>
      </c>
      <c r="U105" s="23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97</v>
      </c>
      <c r="C106" s="374" t="s">
        <v>22</v>
      </c>
      <c r="D106" s="374"/>
      <c r="E106" s="374" t="s">
        <v>27</v>
      </c>
      <c r="F106" s="232" t="s">
        <v>406</v>
      </c>
      <c r="G106" s="176" t="s">
        <v>24</v>
      </c>
      <c r="H106" s="248">
        <v>7</v>
      </c>
      <c r="I106" s="62">
        <v>6</v>
      </c>
      <c r="J106" s="62">
        <v>6</v>
      </c>
      <c r="K106" s="30">
        <v>4786.25</v>
      </c>
      <c r="L106" s="205">
        <v>6</v>
      </c>
      <c r="M106" s="26">
        <f t="shared" ref="M106:M121" si="8">N106+O106</f>
        <v>4786.25</v>
      </c>
      <c r="N106" s="30">
        <v>4786.25</v>
      </c>
      <c r="O106" s="225"/>
      <c r="P106" s="53">
        <v>7</v>
      </c>
      <c r="Q106" s="30">
        <v>12035.94</v>
      </c>
      <c r="R106" s="205">
        <v>7</v>
      </c>
      <c r="S106" s="26">
        <f t="shared" ref="S106:S137" si="9">T106+U106</f>
        <v>12035.94</v>
      </c>
      <c r="T106" s="30">
        <v>12035.94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294</v>
      </c>
      <c r="G107" s="229" t="s">
        <v>28</v>
      </c>
      <c r="H107" s="251">
        <v>6</v>
      </c>
      <c r="I107" s="208">
        <v>4</v>
      </c>
      <c r="J107" s="208">
        <v>4</v>
      </c>
      <c r="K107" s="209">
        <v>5955.1</v>
      </c>
      <c r="L107" s="290">
        <v>4</v>
      </c>
      <c r="M107" s="211">
        <f t="shared" si="8"/>
        <v>5955.0999999999995</v>
      </c>
      <c r="N107" s="209">
        <f>1344.7+3265.7+1344.7</f>
        <v>5955.0999999999995</v>
      </c>
      <c r="O107" s="212"/>
      <c r="P107" s="103"/>
      <c r="Q107" s="43"/>
      <c r="R107" s="270">
        <v>1</v>
      </c>
      <c r="S107" s="43">
        <f t="shared" si="9"/>
        <v>2209.15</v>
      </c>
      <c r="T107" s="114">
        <v>2209.15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6"/>
      <c r="B108" s="377" t="s">
        <v>98</v>
      </c>
      <c r="C108" s="377" t="s">
        <v>39</v>
      </c>
      <c r="D108" s="377" t="s">
        <v>270</v>
      </c>
      <c r="E108" s="377" t="s">
        <v>99</v>
      </c>
      <c r="F108" s="232" t="s">
        <v>271</v>
      </c>
      <c r="G108" s="73" t="s">
        <v>24</v>
      </c>
      <c r="H108" s="24">
        <v>11</v>
      </c>
      <c r="I108" s="62">
        <v>8</v>
      </c>
      <c r="J108" s="62">
        <v>11</v>
      </c>
      <c r="K108" s="30">
        <v>21963.53</v>
      </c>
      <c r="L108" s="205">
        <v>11</v>
      </c>
      <c r="M108" s="26">
        <f t="shared" si="8"/>
        <v>21963.53</v>
      </c>
      <c r="N108" s="30">
        <v>21963.53</v>
      </c>
      <c r="O108" s="241"/>
      <c r="P108" s="214">
        <v>13</v>
      </c>
      <c r="Q108" s="30">
        <v>57575.81</v>
      </c>
      <c r="R108" s="205">
        <v>13</v>
      </c>
      <c r="S108" s="26">
        <f t="shared" si="9"/>
        <v>57575.81</v>
      </c>
      <c r="T108" s="30">
        <v>57575.81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295</v>
      </c>
      <c r="G109" s="215" t="s">
        <v>28</v>
      </c>
      <c r="H109" s="66">
        <v>8</v>
      </c>
      <c r="I109" s="286">
        <v>5</v>
      </c>
      <c r="J109" s="286">
        <v>5</v>
      </c>
      <c r="K109" s="287">
        <v>11331</v>
      </c>
      <c r="L109" s="315">
        <v>5</v>
      </c>
      <c r="M109" s="39">
        <f t="shared" si="8"/>
        <v>11331</v>
      </c>
      <c r="N109" s="39">
        <f>1921+3073.6+1921+3010.5+1404.9</f>
        <v>11331</v>
      </c>
      <c r="O109" s="41"/>
      <c r="P109" s="217">
        <v>3</v>
      </c>
      <c r="Q109" s="37">
        <v>7587.95</v>
      </c>
      <c r="R109" s="285">
        <v>3</v>
      </c>
      <c r="S109" s="39">
        <f t="shared" si="9"/>
        <v>8740.5499999999993</v>
      </c>
      <c r="T109" s="68">
        <f>1056.55+3457.8+4226.2</f>
        <v>8740.5499999999993</v>
      </c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82"/>
      <c r="B110" s="381" t="s">
        <v>100</v>
      </c>
      <c r="C110" s="374" t="s">
        <v>39</v>
      </c>
      <c r="D110" s="381" t="s">
        <v>296</v>
      </c>
      <c r="E110" s="381" t="s">
        <v>27</v>
      </c>
      <c r="F110" s="223" t="s">
        <v>297</v>
      </c>
      <c r="G110" s="47" t="s">
        <v>24</v>
      </c>
      <c r="H110" s="218"/>
      <c r="I110" s="96"/>
      <c r="J110" s="96"/>
      <c r="K110" s="81"/>
      <c r="L110" s="80"/>
      <c r="M110" s="81">
        <f t="shared" si="8"/>
        <v>0</v>
      </c>
      <c r="N110" s="81"/>
      <c r="O110" s="219"/>
      <c r="P110" s="108">
        <v>4</v>
      </c>
      <c r="Q110" s="65">
        <v>17684.7</v>
      </c>
      <c r="R110" s="224">
        <v>4</v>
      </c>
      <c r="S110" s="50">
        <f t="shared" si="9"/>
        <v>17684.7</v>
      </c>
      <c r="T110" s="65">
        <v>17684.7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298</v>
      </c>
      <c r="G111" s="35" t="s">
        <v>28</v>
      </c>
      <c r="H111" s="133">
        <v>5</v>
      </c>
      <c r="I111" s="37">
        <v>1</v>
      </c>
      <c r="J111" s="37">
        <v>1</v>
      </c>
      <c r="K111" s="68">
        <v>864.45</v>
      </c>
      <c r="L111" s="285">
        <v>1</v>
      </c>
      <c r="M111" s="39">
        <f t="shared" si="8"/>
        <v>864.15</v>
      </c>
      <c r="N111" s="39">
        <f>864.15</f>
        <v>864.15</v>
      </c>
      <c r="O111" s="41"/>
      <c r="P111" s="115">
        <v>1</v>
      </c>
      <c r="Q111" s="68">
        <v>1152.5999999999999</v>
      </c>
      <c r="R111" s="40"/>
      <c r="S111" s="39">
        <f t="shared" si="9"/>
        <v>0</v>
      </c>
      <c r="T111" s="39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102</v>
      </c>
      <c r="C112" s="381" t="s">
        <v>22</v>
      </c>
      <c r="D112" s="381"/>
      <c r="E112" s="381" t="s">
        <v>67</v>
      </c>
      <c r="F112" s="223" t="s">
        <v>272</v>
      </c>
      <c r="G112" s="23" t="s">
        <v>24</v>
      </c>
      <c r="H112" s="48">
        <v>8</v>
      </c>
      <c r="I112" s="203">
        <v>5</v>
      </c>
      <c r="J112" s="203">
        <v>6</v>
      </c>
      <c r="K112" s="65">
        <v>10235.59</v>
      </c>
      <c r="L112" s="224">
        <v>6</v>
      </c>
      <c r="M112" s="50">
        <f t="shared" si="8"/>
        <v>10235.59</v>
      </c>
      <c r="N112" s="65">
        <v>10235.59</v>
      </c>
      <c r="O112" s="225"/>
      <c r="P112" s="108">
        <v>9</v>
      </c>
      <c r="Q112" s="65">
        <v>19656.830000000002</v>
      </c>
      <c r="R112" s="224">
        <v>9</v>
      </c>
      <c r="S112" s="50">
        <f t="shared" si="9"/>
        <v>19656.830000000002</v>
      </c>
      <c r="T112" s="65">
        <v>19656.830000000002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9"/>
      <c r="B113" s="380"/>
      <c r="C113" s="380"/>
      <c r="D113" s="380"/>
      <c r="E113" s="380"/>
      <c r="F113" s="220" t="s">
        <v>299</v>
      </c>
      <c r="G113" s="55" t="s">
        <v>28</v>
      </c>
      <c r="H113" s="153">
        <v>8</v>
      </c>
      <c r="I113" s="130">
        <v>4</v>
      </c>
      <c r="J113" s="130">
        <v>4</v>
      </c>
      <c r="K113" s="114">
        <v>3785.4</v>
      </c>
      <c r="L113" s="316">
        <v>6</v>
      </c>
      <c r="M113" s="50">
        <f t="shared" si="8"/>
        <v>5770.3</v>
      </c>
      <c r="N113" s="43">
        <f>1290.6+1152.6+1290.6+694.3+602.1+740.1</f>
        <v>5770.3</v>
      </c>
      <c r="O113" s="41"/>
      <c r="P113" s="113">
        <v>3</v>
      </c>
      <c r="Q113" s="114">
        <v>14347.1</v>
      </c>
      <c r="R113" s="270">
        <v>4</v>
      </c>
      <c r="S113" s="43">
        <f t="shared" si="9"/>
        <v>19149.900000000001</v>
      </c>
      <c r="T113" s="114">
        <f>4358.2+3649.9+4802.5+6339.3</f>
        <v>19149.900000000001</v>
      </c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103</v>
      </c>
      <c r="C114" s="374" t="s">
        <v>22</v>
      </c>
      <c r="D114" s="374"/>
      <c r="E114" s="374" t="s">
        <v>67</v>
      </c>
      <c r="F114" s="232" t="s">
        <v>407</v>
      </c>
      <c r="G114" s="23" t="s">
        <v>24</v>
      </c>
      <c r="H114" s="48">
        <v>7</v>
      </c>
      <c r="I114" s="62">
        <v>4</v>
      </c>
      <c r="J114" s="62">
        <v>5</v>
      </c>
      <c r="K114" s="30">
        <v>8528</v>
      </c>
      <c r="L114" s="205">
        <v>5</v>
      </c>
      <c r="M114" s="26">
        <f t="shared" si="8"/>
        <v>8528</v>
      </c>
      <c r="N114" s="30">
        <v>8528</v>
      </c>
      <c r="O114" s="225"/>
      <c r="P114" s="53">
        <v>6</v>
      </c>
      <c r="Q114" s="30">
        <v>12782.06</v>
      </c>
      <c r="R114" s="205">
        <v>6</v>
      </c>
      <c r="S114" s="26">
        <f t="shared" si="9"/>
        <v>12782.06</v>
      </c>
      <c r="T114" s="30">
        <v>12782.06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220" t="s">
        <v>300</v>
      </c>
      <c r="G115" s="35" t="s">
        <v>28</v>
      </c>
      <c r="H115" s="133">
        <v>6</v>
      </c>
      <c r="I115" s="37">
        <v>5</v>
      </c>
      <c r="J115" s="37">
        <v>6</v>
      </c>
      <c r="K115" s="68">
        <v>12151</v>
      </c>
      <c r="L115" s="285">
        <v>5</v>
      </c>
      <c r="M115" s="39">
        <f t="shared" si="8"/>
        <v>11516.9</v>
      </c>
      <c r="N115" s="39">
        <f>1580.8+3353.7+4415.4+1404.9+762.1</f>
        <v>11516.9</v>
      </c>
      <c r="O115" s="41"/>
      <c r="P115" s="115">
        <v>2</v>
      </c>
      <c r="Q115" s="68">
        <v>3490.8</v>
      </c>
      <c r="R115" s="285">
        <v>3</v>
      </c>
      <c r="S115" s="39">
        <f t="shared" si="9"/>
        <v>8836.6</v>
      </c>
      <c r="T115" s="39">
        <f>5378.8+1344.7+2113.1</f>
        <v>8836.6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104</v>
      </c>
      <c r="C116" s="374" t="s">
        <v>39</v>
      </c>
      <c r="D116" s="374" t="s">
        <v>301</v>
      </c>
      <c r="E116" s="374" t="s">
        <v>27</v>
      </c>
      <c r="F116" s="204" t="s">
        <v>302</v>
      </c>
      <c r="G116" s="176" t="s">
        <v>24</v>
      </c>
      <c r="H116" s="48">
        <v>24</v>
      </c>
      <c r="I116" s="203">
        <v>16</v>
      </c>
      <c r="J116" s="203">
        <v>18</v>
      </c>
      <c r="K116" s="65">
        <v>44154.26</v>
      </c>
      <c r="L116" s="224">
        <v>18</v>
      </c>
      <c r="M116" s="50">
        <f t="shared" si="8"/>
        <v>44154.26</v>
      </c>
      <c r="N116" s="65">
        <v>44154.26</v>
      </c>
      <c r="O116" s="225"/>
      <c r="P116" s="108">
        <v>21</v>
      </c>
      <c r="Q116" s="65">
        <v>64204.61</v>
      </c>
      <c r="R116" s="224">
        <v>18</v>
      </c>
      <c r="S116" s="50">
        <f t="shared" si="9"/>
        <v>59690.23</v>
      </c>
      <c r="T116" s="65">
        <v>59690.23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229" t="s">
        <v>28</v>
      </c>
      <c r="H117" s="116"/>
      <c r="I117" s="57"/>
      <c r="J117" s="57"/>
      <c r="K117" s="43"/>
      <c r="L117" s="44"/>
      <c r="M117" s="43">
        <f t="shared" si="8"/>
        <v>0</v>
      </c>
      <c r="N117" s="43"/>
      <c r="O117" s="41"/>
      <c r="P117" s="103"/>
      <c r="Q117" s="43"/>
      <c r="R117" s="44"/>
      <c r="S117" s="43">
        <f t="shared" si="9"/>
        <v>0</v>
      </c>
      <c r="T117" s="43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106</v>
      </c>
      <c r="C118" s="377" t="s">
        <v>39</v>
      </c>
      <c r="D118" s="374" t="s">
        <v>107</v>
      </c>
      <c r="E118" s="374" t="s">
        <v>27</v>
      </c>
      <c r="F118" s="232" t="s">
        <v>366</v>
      </c>
      <c r="G118" s="23" t="s">
        <v>24</v>
      </c>
      <c r="H118" s="48">
        <v>10</v>
      </c>
      <c r="I118" s="62">
        <v>9</v>
      </c>
      <c r="J118" s="62">
        <v>9</v>
      </c>
      <c r="K118" s="30">
        <v>7593.07</v>
      </c>
      <c r="L118" s="205">
        <v>9</v>
      </c>
      <c r="M118" s="26">
        <f t="shared" si="8"/>
        <v>7593.07</v>
      </c>
      <c r="N118" s="30">
        <v>7593.07</v>
      </c>
      <c r="O118" s="31"/>
      <c r="P118" s="53">
        <v>11</v>
      </c>
      <c r="Q118" s="30">
        <v>73773.25</v>
      </c>
      <c r="R118" s="205">
        <v>11</v>
      </c>
      <c r="S118" s="26">
        <f t="shared" si="9"/>
        <v>73773.25</v>
      </c>
      <c r="T118" s="30">
        <v>73773.25</v>
      </c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233" t="s">
        <v>233</v>
      </c>
      <c r="G119" s="227" t="s">
        <v>28</v>
      </c>
      <c r="H119" s="153">
        <v>6</v>
      </c>
      <c r="I119" s="57"/>
      <c r="J119" s="57"/>
      <c r="K119" s="43"/>
      <c r="L119" s="270">
        <v>1</v>
      </c>
      <c r="M119" s="43">
        <f t="shared" si="8"/>
        <v>576.29999999999995</v>
      </c>
      <c r="N119" s="43">
        <f>576.3</f>
        <v>576.29999999999995</v>
      </c>
      <c r="O119" s="41"/>
      <c r="P119" s="113">
        <v>2</v>
      </c>
      <c r="Q119" s="114">
        <v>2881.5</v>
      </c>
      <c r="R119" s="270">
        <v>2</v>
      </c>
      <c r="S119" s="43">
        <f t="shared" si="9"/>
        <v>2881.5</v>
      </c>
      <c r="T119" s="57">
        <f>576.3+2305.2</f>
        <v>2881.5</v>
      </c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108</v>
      </c>
      <c r="C120" s="374" t="s">
        <v>46</v>
      </c>
      <c r="D120" s="374" t="s">
        <v>109</v>
      </c>
      <c r="E120" s="374" t="s">
        <v>27</v>
      </c>
      <c r="F120" s="204" t="s">
        <v>273</v>
      </c>
      <c r="G120" s="176" t="s">
        <v>24</v>
      </c>
      <c r="H120" s="151">
        <v>13</v>
      </c>
      <c r="I120" s="62">
        <v>10</v>
      </c>
      <c r="J120" s="62">
        <v>10</v>
      </c>
      <c r="K120" s="30">
        <v>9683</v>
      </c>
      <c r="L120" s="205">
        <v>9</v>
      </c>
      <c r="M120" s="26">
        <f t="shared" si="8"/>
        <v>8773.83</v>
      </c>
      <c r="N120" s="30">
        <v>8773.83</v>
      </c>
      <c r="O120" s="31"/>
      <c r="P120" s="53">
        <v>8</v>
      </c>
      <c r="Q120" s="30">
        <v>32433.51</v>
      </c>
      <c r="R120" s="205">
        <v>8</v>
      </c>
      <c r="S120" s="26">
        <f t="shared" si="9"/>
        <v>32433.51</v>
      </c>
      <c r="T120" s="30">
        <v>32433.51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87"/>
      <c r="B121" s="386"/>
      <c r="C121" s="386"/>
      <c r="D121" s="386"/>
      <c r="E121" s="386"/>
      <c r="F121" s="235" t="s">
        <v>234</v>
      </c>
      <c r="G121" s="252" t="s">
        <v>28</v>
      </c>
      <c r="H121" s="48">
        <v>6</v>
      </c>
      <c r="I121" s="246">
        <v>3</v>
      </c>
      <c r="J121" s="246">
        <v>3</v>
      </c>
      <c r="K121" s="158">
        <v>3159.6</v>
      </c>
      <c r="L121" s="317">
        <v>2</v>
      </c>
      <c r="M121" s="142">
        <f t="shared" si="8"/>
        <v>2583.3000000000002</v>
      </c>
      <c r="N121" s="142">
        <f>576.3+2007</f>
        <v>2583.3000000000002</v>
      </c>
      <c r="O121" s="45"/>
      <c r="P121" s="157">
        <v>7</v>
      </c>
      <c r="Q121" s="158">
        <v>15445.86</v>
      </c>
      <c r="R121" s="317">
        <v>5</v>
      </c>
      <c r="S121" s="142">
        <f t="shared" si="9"/>
        <v>13044.61</v>
      </c>
      <c r="T121" s="142">
        <f>288.15+576.3+5648.76+3649.9+2881.5</f>
        <v>13044.61</v>
      </c>
      <c r="U121" s="45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3"/>
      <c r="B122" s="375"/>
      <c r="C122" s="375"/>
      <c r="D122" s="375"/>
      <c r="E122" s="375"/>
      <c r="F122" s="145"/>
      <c r="G122" s="253" t="s">
        <v>25</v>
      </c>
      <c r="H122" s="306">
        <v>1</v>
      </c>
      <c r="I122" s="37">
        <v>1</v>
      </c>
      <c r="J122" s="37">
        <v>1</v>
      </c>
      <c r="K122" s="68">
        <v>2881.5</v>
      </c>
      <c r="L122" s="285">
        <v>1</v>
      </c>
      <c r="M122" s="68">
        <v>2881.5</v>
      </c>
      <c r="N122" s="68">
        <v>2881.5</v>
      </c>
      <c r="O122" s="41"/>
      <c r="P122" s="59"/>
      <c r="Q122" s="39"/>
      <c r="R122" s="40"/>
      <c r="S122" s="39">
        <f t="shared" si="9"/>
        <v>0</v>
      </c>
      <c r="T122" s="39"/>
      <c r="U122" s="4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6"/>
      <c r="B123" s="377" t="s">
        <v>110</v>
      </c>
      <c r="C123" s="377" t="s">
        <v>22</v>
      </c>
      <c r="D123" s="377"/>
      <c r="E123" s="377" t="s">
        <v>67</v>
      </c>
      <c r="F123" s="232" t="s">
        <v>274</v>
      </c>
      <c r="G123" s="23" t="s">
        <v>24</v>
      </c>
      <c r="H123" s="48">
        <v>3</v>
      </c>
      <c r="I123" s="203">
        <v>2</v>
      </c>
      <c r="J123" s="203">
        <v>3</v>
      </c>
      <c r="K123" s="65">
        <v>5015.66</v>
      </c>
      <c r="L123" s="224">
        <v>3</v>
      </c>
      <c r="M123" s="50">
        <f t="shared" ref="M123:M137" si="10">N123+O123</f>
        <v>5015.66</v>
      </c>
      <c r="N123" s="65">
        <v>5015.66</v>
      </c>
      <c r="O123" s="31"/>
      <c r="P123" s="108">
        <v>7</v>
      </c>
      <c r="Q123" s="65">
        <v>34054.94</v>
      </c>
      <c r="R123" s="224">
        <v>7</v>
      </c>
      <c r="S123" s="50">
        <f t="shared" si="9"/>
        <v>34054.94</v>
      </c>
      <c r="T123" s="65">
        <v>34054.94</v>
      </c>
      <c r="U123" s="22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9"/>
      <c r="B124" s="380"/>
      <c r="C124" s="380"/>
      <c r="D124" s="380"/>
      <c r="E124" s="380"/>
      <c r="F124" s="34"/>
      <c r="G124" s="55" t="s">
        <v>28</v>
      </c>
      <c r="H124" s="116"/>
      <c r="I124" s="57"/>
      <c r="J124" s="57"/>
      <c r="K124" s="43"/>
      <c r="L124" s="44"/>
      <c r="M124" s="43">
        <f t="shared" si="10"/>
        <v>0</v>
      </c>
      <c r="N124" s="43"/>
      <c r="O124" s="41"/>
      <c r="P124" s="103"/>
      <c r="Q124" s="43"/>
      <c r="R124" s="44"/>
      <c r="S124" s="43">
        <f t="shared" si="9"/>
        <v>0</v>
      </c>
      <c r="T124" s="43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2"/>
      <c r="B125" s="374" t="s">
        <v>111</v>
      </c>
      <c r="C125" s="374" t="s">
        <v>39</v>
      </c>
      <c r="D125" s="374" t="s">
        <v>435</v>
      </c>
      <c r="E125" s="374" t="s">
        <v>112</v>
      </c>
      <c r="F125" s="232" t="s">
        <v>436</v>
      </c>
      <c r="G125" s="23" t="s">
        <v>24</v>
      </c>
      <c r="H125" s="48">
        <v>10</v>
      </c>
      <c r="I125" s="62">
        <v>8</v>
      </c>
      <c r="J125" s="62">
        <v>10</v>
      </c>
      <c r="K125" s="30">
        <v>27914.080000000002</v>
      </c>
      <c r="L125" s="205">
        <v>10</v>
      </c>
      <c r="M125" s="26">
        <f t="shared" si="10"/>
        <v>27914.080000000002</v>
      </c>
      <c r="N125" s="30">
        <v>27914.080000000002</v>
      </c>
      <c r="O125" s="31"/>
      <c r="P125" s="53">
        <v>4</v>
      </c>
      <c r="Q125" s="30">
        <v>3732.5</v>
      </c>
      <c r="R125" s="205">
        <v>4</v>
      </c>
      <c r="S125" s="26">
        <f t="shared" si="9"/>
        <v>3732.5</v>
      </c>
      <c r="T125" s="30">
        <v>3732.5</v>
      </c>
      <c r="U125" s="3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233" t="s">
        <v>235</v>
      </c>
      <c r="G126" s="227" t="s">
        <v>28</v>
      </c>
      <c r="H126" s="133">
        <v>1</v>
      </c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113</v>
      </c>
      <c r="C127" s="374" t="s">
        <v>39</v>
      </c>
      <c r="D127" s="374" t="s">
        <v>114</v>
      </c>
      <c r="E127" s="374" t="s">
        <v>27</v>
      </c>
      <c r="F127" s="204" t="s">
        <v>305</v>
      </c>
      <c r="G127" s="176" t="s">
        <v>24</v>
      </c>
      <c r="H127" s="48">
        <v>18</v>
      </c>
      <c r="I127" s="62">
        <v>16</v>
      </c>
      <c r="J127" s="62">
        <v>22</v>
      </c>
      <c r="K127" s="30">
        <v>45233.25</v>
      </c>
      <c r="L127" s="205">
        <v>18</v>
      </c>
      <c r="M127" s="26">
        <f t="shared" si="10"/>
        <v>38332.99</v>
      </c>
      <c r="N127" s="30">
        <v>38332.99</v>
      </c>
      <c r="O127" s="225"/>
      <c r="P127" s="53">
        <v>10</v>
      </c>
      <c r="Q127" s="30">
        <v>25611.57</v>
      </c>
      <c r="R127" s="205">
        <v>10</v>
      </c>
      <c r="S127" s="26">
        <f t="shared" si="9"/>
        <v>25611.57</v>
      </c>
      <c r="T127" s="30">
        <v>25611.57</v>
      </c>
      <c r="U127" s="22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3"/>
      <c r="B128" s="375"/>
      <c r="C128" s="375"/>
      <c r="D128" s="375"/>
      <c r="E128" s="375"/>
      <c r="F128" s="220" t="s">
        <v>306</v>
      </c>
      <c r="G128" s="229" t="s">
        <v>28</v>
      </c>
      <c r="H128" s="56">
        <v>4</v>
      </c>
      <c r="I128" s="130">
        <v>3</v>
      </c>
      <c r="J128" s="130">
        <v>3</v>
      </c>
      <c r="K128" s="114">
        <v>4816.8</v>
      </c>
      <c r="L128" s="270">
        <v>3</v>
      </c>
      <c r="M128" s="43">
        <f t="shared" si="10"/>
        <v>4905.7000000000007</v>
      </c>
      <c r="N128" s="43">
        <f>1152.6+1344.7+2408.4</f>
        <v>4905.7000000000007</v>
      </c>
      <c r="O128" s="45"/>
      <c r="P128" s="113">
        <v>2</v>
      </c>
      <c r="Q128" s="114">
        <v>5186.7</v>
      </c>
      <c r="R128" s="270">
        <v>2</v>
      </c>
      <c r="S128" s="43">
        <f t="shared" si="9"/>
        <v>5186.7</v>
      </c>
      <c r="T128" s="43">
        <f>5186.7</f>
        <v>5186.7</v>
      </c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115</v>
      </c>
      <c r="C129" s="374" t="s">
        <v>22</v>
      </c>
      <c r="D129" s="374"/>
      <c r="E129" s="374" t="s">
        <v>27</v>
      </c>
      <c r="F129" s="22"/>
      <c r="G129" s="23" t="s">
        <v>24</v>
      </c>
      <c r="H129" s="104"/>
      <c r="I129" s="25"/>
      <c r="J129" s="25"/>
      <c r="K129" s="26"/>
      <c r="L129" s="148"/>
      <c r="M129" s="149">
        <f t="shared" si="10"/>
        <v>0</v>
      </c>
      <c r="N129" s="26"/>
      <c r="O129" s="100"/>
      <c r="P129" s="120"/>
      <c r="Q129" s="26"/>
      <c r="R129" s="27"/>
      <c r="S129" s="26">
        <f t="shared" si="9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34"/>
      <c r="G130" s="35" t="s">
        <v>28</v>
      </c>
      <c r="H130" s="106"/>
      <c r="I130" s="38"/>
      <c r="J130" s="38"/>
      <c r="K130" s="39"/>
      <c r="L130" s="40"/>
      <c r="M130" s="39">
        <f t="shared" si="10"/>
        <v>0</v>
      </c>
      <c r="N130" s="39"/>
      <c r="O130" s="41"/>
      <c r="P130" s="69"/>
      <c r="Q130" s="39"/>
      <c r="R130" s="40"/>
      <c r="S130" s="39">
        <f t="shared" si="9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116</v>
      </c>
      <c r="C131" s="381" t="s">
        <v>22</v>
      </c>
      <c r="D131" s="381"/>
      <c r="E131" s="381" t="s">
        <v>27</v>
      </c>
      <c r="F131" s="223" t="s">
        <v>307</v>
      </c>
      <c r="G131" s="47" t="s">
        <v>24</v>
      </c>
      <c r="H131" s="61">
        <v>8</v>
      </c>
      <c r="I131" s="62">
        <v>6</v>
      </c>
      <c r="J131" s="62">
        <v>8</v>
      </c>
      <c r="K131" s="30">
        <v>12647.96</v>
      </c>
      <c r="L131" s="205">
        <v>8</v>
      </c>
      <c r="M131" s="26">
        <f t="shared" si="10"/>
        <v>12647.96</v>
      </c>
      <c r="N131" s="30">
        <v>12647.96</v>
      </c>
      <c r="O131" s="243"/>
      <c r="P131" s="64">
        <v>4</v>
      </c>
      <c r="Q131" s="65">
        <v>10597.93</v>
      </c>
      <c r="R131" s="224">
        <v>4</v>
      </c>
      <c r="S131" s="50">
        <f t="shared" si="9"/>
        <v>10597.93</v>
      </c>
      <c r="T131" s="65">
        <v>10597.93</v>
      </c>
      <c r="U131" s="22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33">
        <v>3</v>
      </c>
      <c r="I132" s="38"/>
      <c r="J132" s="38"/>
      <c r="K132" s="39"/>
      <c r="L132" s="40"/>
      <c r="M132" s="39">
        <f t="shared" si="10"/>
        <v>0</v>
      </c>
      <c r="N132" s="39"/>
      <c r="O132" s="41"/>
      <c r="P132" s="67">
        <v>1</v>
      </c>
      <c r="Q132" s="68">
        <v>2305.1999999999998</v>
      </c>
      <c r="R132" s="285">
        <v>1</v>
      </c>
      <c r="S132" s="39">
        <f t="shared" si="9"/>
        <v>2305.1999999999998</v>
      </c>
      <c r="T132" s="39">
        <f>2305.2</f>
        <v>2305.1999999999998</v>
      </c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117</v>
      </c>
      <c r="C133" s="381" t="s">
        <v>22</v>
      </c>
      <c r="D133" s="381"/>
      <c r="E133" s="381" t="s">
        <v>67</v>
      </c>
      <c r="F133" s="223" t="s">
        <v>308</v>
      </c>
      <c r="G133" s="23" t="s">
        <v>24</v>
      </c>
      <c r="H133" s="48">
        <v>18</v>
      </c>
      <c r="I133" s="203">
        <v>12</v>
      </c>
      <c r="J133" s="203">
        <v>18</v>
      </c>
      <c r="K133" s="65">
        <v>44935.58</v>
      </c>
      <c r="L133" s="224">
        <v>18</v>
      </c>
      <c r="M133" s="50">
        <f t="shared" si="10"/>
        <v>44935.58</v>
      </c>
      <c r="N133" s="65">
        <v>44935.58</v>
      </c>
      <c r="O133" s="225"/>
      <c r="P133" s="108">
        <v>30</v>
      </c>
      <c r="Q133" s="65">
        <v>114614.78</v>
      </c>
      <c r="R133" s="224">
        <v>29</v>
      </c>
      <c r="S133" s="50">
        <f t="shared" si="9"/>
        <v>112352.1</v>
      </c>
      <c r="T133" s="65">
        <v>112352.1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226"/>
      <c r="G134" s="227" t="s">
        <v>28</v>
      </c>
      <c r="H134" s="116"/>
      <c r="I134" s="57"/>
      <c r="J134" s="57"/>
      <c r="K134" s="43"/>
      <c r="L134" s="44"/>
      <c r="M134" s="43">
        <f t="shared" si="10"/>
        <v>0</v>
      </c>
      <c r="N134" s="43"/>
      <c r="O134" s="41"/>
      <c r="P134" s="103"/>
      <c r="Q134" s="43"/>
      <c r="R134" s="44"/>
      <c r="S134" s="43">
        <f t="shared" si="9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118</v>
      </c>
      <c r="C135" s="374" t="s">
        <v>39</v>
      </c>
      <c r="D135" s="374" t="s">
        <v>309</v>
      </c>
      <c r="E135" s="374" t="s">
        <v>27</v>
      </c>
      <c r="F135" s="204" t="s">
        <v>310</v>
      </c>
      <c r="G135" s="176" t="s">
        <v>24</v>
      </c>
      <c r="H135" s="151">
        <v>13</v>
      </c>
      <c r="I135" s="62">
        <v>8</v>
      </c>
      <c r="J135" s="62">
        <v>11</v>
      </c>
      <c r="K135" s="30">
        <v>20338.259999999998</v>
      </c>
      <c r="L135" s="205">
        <v>10</v>
      </c>
      <c r="M135" s="26">
        <f t="shared" si="10"/>
        <v>20338.259999999998</v>
      </c>
      <c r="N135" s="30">
        <v>20338.259999999998</v>
      </c>
      <c r="O135" s="31"/>
      <c r="P135" s="53">
        <v>13</v>
      </c>
      <c r="Q135" s="30">
        <v>52477.24</v>
      </c>
      <c r="R135" s="205">
        <v>13</v>
      </c>
      <c r="S135" s="26">
        <f t="shared" si="9"/>
        <v>52477.24</v>
      </c>
      <c r="T135" s="30">
        <v>52477.24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152"/>
      <c r="G136" s="229" t="s">
        <v>28</v>
      </c>
      <c r="H136" s="116"/>
      <c r="I136" s="38"/>
      <c r="J136" s="38"/>
      <c r="K136" s="39"/>
      <c r="L136" s="40"/>
      <c r="M136" s="39">
        <f t="shared" si="10"/>
        <v>0</v>
      </c>
      <c r="N136" s="39"/>
      <c r="O136" s="41"/>
      <c r="P136" s="59"/>
      <c r="Q136" s="39"/>
      <c r="R136" s="40"/>
      <c r="S136" s="39">
        <f t="shared" si="9"/>
        <v>0</v>
      </c>
      <c r="T136" s="39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119</v>
      </c>
      <c r="C137" s="374" t="s">
        <v>39</v>
      </c>
      <c r="D137" s="374" t="s">
        <v>311</v>
      </c>
      <c r="E137" s="374" t="s">
        <v>121</v>
      </c>
      <c r="F137" s="232" t="s">
        <v>312</v>
      </c>
      <c r="G137" s="23" t="s">
        <v>24</v>
      </c>
      <c r="H137" s="151">
        <v>25</v>
      </c>
      <c r="I137" s="62">
        <v>16</v>
      </c>
      <c r="J137" s="62">
        <v>17</v>
      </c>
      <c r="K137" s="30">
        <v>25225.88</v>
      </c>
      <c r="L137" s="205">
        <v>16</v>
      </c>
      <c r="M137" s="26">
        <f t="shared" si="10"/>
        <v>23772.44</v>
      </c>
      <c r="N137" s="30">
        <v>23772.44</v>
      </c>
      <c r="O137" s="31"/>
      <c r="P137" s="53">
        <v>27</v>
      </c>
      <c r="Q137" s="30">
        <v>47822.16</v>
      </c>
      <c r="R137" s="205">
        <v>27</v>
      </c>
      <c r="S137" s="26">
        <f t="shared" si="9"/>
        <v>47822.16</v>
      </c>
      <c r="T137" s="30">
        <v>47822.16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80"/>
      <c r="C138" s="380"/>
      <c r="D138" s="380"/>
      <c r="E138" s="380"/>
      <c r="G138" s="227" t="s">
        <v>25</v>
      </c>
      <c r="H138" s="260">
        <v>5</v>
      </c>
      <c r="I138" s="208">
        <v>3</v>
      </c>
      <c r="J138" s="208">
        <v>3</v>
      </c>
      <c r="K138" s="209">
        <v>3668.91</v>
      </c>
      <c r="L138" s="290">
        <v>3</v>
      </c>
      <c r="M138" s="209">
        <v>3668.91</v>
      </c>
      <c r="N138" s="209">
        <v>3668.91</v>
      </c>
      <c r="O138" s="263"/>
      <c r="P138" s="262">
        <v>4</v>
      </c>
      <c r="Q138" s="209">
        <v>16712.7</v>
      </c>
      <c r="R138" s="290">
        <v>4</v>
      </c>
      <c r="S138" s="209">
        <v>16712.7</v>
      </c>
      <c r="T138" s="209">
        <v>16712.7</v>
      </c>
      <c r="U138" s="212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464</v>
      </c>
      <c r="C139" s="374" t="s">
        <v>22</v>
      </c>
      <c r="D139" s="374"/>
      <c r="E139" s="374" t="s">
        <v>391</v>
      </c>
      <c r="F139" s="204" t="s">
        <v>465</v>
      </c>
      <c r="G139" s="176" t="s">
        <v>24</v>
      </c>
      <c r="H139" s="61"/>
      <c r="I139" s="62"/>
      <c r="J139" s="62"/>
      <c r="K139" s="30"/>
      <c r="L139" s="27"/>
      <c r="M139" s="26">
        <f t="shared" ref="M139:M154" si="11">N139+O139</f>
        <v>0</v>
      </c>
      <c r="N139" s="26"/>
      <c r="O139" s="28"/>
      <c r="P139" s="214"/>
      <c r="Q139" s="30"/>
      <c r="R139" s="205"/>
      <c r="S139" s="26">
        <f t="shared" ref="S139:S154" si="12">T139+U139</f>
        <v>0</v>
      </c>
      <c r="T139" s="30"/>
      <c r="U139" s="2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6"/>
      <c r="C140" s="375"/>
      <c r="D140" s="386"/>
      <c r="E140" s="386"/>
      <c r="F140" s="152"/>
      <c r="G140" s="229" t="s">
        <v>28</v>
      </c>
      <c r="H140" s="344"/>
      <c r="I140" s="231"/>
      <c r="J140" s="231"/>
      <c r="K140" s="91"/>
      <c r="L140" s="92"/>
      <c r="M140" s="81">
        <f t="shared" si="11"/>
        <v>0</v>
      </c>
      <c r="N140" s="93"/>
      <c r="O140" s="94"/>
      <c r="P140" s="90"/>
      <c r="Q140" s="91"/>
      <c r="R140" s="330"/>
      <c r="S140" s="81">
        <f t="shared" si="12"/>
        <v>0</v>
      </c>
      <c r="T140" s="91"/>
      <c r="U140" s="3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367</v>
      </c>
      <c r="C141" s="374"/>
      <c r="D141" s="374"/>
      <c r="E141" s="374"/>
      <c r="F141" s="204"/>
      <c r="G141" s="213" t="s">
        <v>24</v>
      </c>
      <c r="H141" s="61"/>
      <c r="I141" s="62"/>
      <c r="J141" s="62"/>
      <c r="K141" s="30"/>
      <c r="L141" s="27"/>
      <c r="M141" s="26">
        <f t="shared" si="11"/>
        <v>0</v>
      </c>
      <c r="N141" s="26"/>
      <c r="O141" s="28"/>
      <c r="P141" s="214"/>
      <c r="Q141" s="30"/>
      <c r="R141" s="205"/>
      <c r="S141" s="26">
        <f t="shared" si="12"/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75"/>
      <c r="C142" s="375"/>
      <c r="D142" s="375"/>
      <c r="E142" s="375"/>
      <c r="F142" s="220"/>
      <c r="G142" s="215" t="s">
        <v>28</v>
      </c>
      <c r="H142" s="117">
        <v>4</v>
      </c>
      <c r="I142" s="37"/>
      <c r="J142" s="37"/>
      <c r="K142" s="68"/>
      <c r="L142" s="40"/>
      <c r="M142" s="39">
        <f t="shared" si="11"/>
        <v>0</v>
      </c>
      <c r="N142" s="39"/>
      <c r="O142" s="41"/>
      <c r="P142" s="217"/>
      <c r="Q142" s="68"/>
      <c r="R142" s="285"/>
      <c r="S142" s="39">
        <f t="shared" si="12"/>
        <v>0</v>
      </c>
      <c r="T142" s="68"/>
      <c r="U142" s="23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6"/>
      <c r="B143" s="377" t="s">
        <v>122</v>
      </c>
      <c r="C143" s="377" t="s">
        <v>39</v>
      </c>
      <c r="D143" s="377" t="s">
        <v>123</v>
      </c>
      <c r="E143" s="377" t="s">
        <v>55</v>
      </c>
      <c r="F143" s="232" t="s">
        <v>236</v>
      </c>
      <c r="G143" s="291" t="s">
        <v>24</v>
      </c>
      <c r="H143" s="265">
        <v>22</v>
      </c>
      <c r="I143" s="266">
        <v>19</v>
      </c>
      <c r="J143" s="266">
        <v>28</v>
      </c>
      <c r="K143" s="79">
        <v>56314.54</v>
      </c>
      <c r="L143" s="268">
        <v>27</v>
      </c>
      <c r="M143" s="81">
        <f t="shared" si="11"/>
        <v>52653.62</v>
      </c>
      <c r="N143" s="79">
        <v>52653.62</v>
      </c>
      <c r="O143" s="269"/>
      <c r="P143" s="267">
        <v>19</v>
      </c>
      <c r="Q143" s="79">
        <v>80617.679999999993</v>
      </c>
      <c r="R143" s="268">
        <v>17</v>
      </c>
      <c r="S143" s="81">
        <f t="shared" si="12"/>
        <v>78992.92</v>
      </c>
      <c r="T143" s="79">
        <v>78992.92</v>
      </c>
      <c r="U143" s="269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34"/>
      <c r="G144" s="229" t="s">
        <v>25</v>
      </c>
      <c r="H144" s="116"/>
      <c r="I144" s="38"/>
      <c r="J144" s="38"/>
      <c r="K144" s="39"/>
      <c r="L144" s="40"/>
      <c r="M144" s="39">
        <f t="shared" si="11"/>
        <v>0</v>
      </c>
      <c r="N144" s="39"/>
      <c r="O144" s="41"/>
      <c r="P144" s="59"/>
      <c r="Q144" s="39"/>
      <c r="R144" s="40"/>
      <c r="S144" s="39">
        <f t="shared" si="12"/>
        <v>0</v>
      </c>
      <c r="T144" s="39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124</v>
      </c>
      <c r="C145" s="377" t="s">
        <v>39</v>
      </c>
      <c r="D145" s="377" t="s">
        <v>314</v>
      </c>
      <c r="E145" s="377" t="s">
        <v>27</v>
      </c>
      <c r="F145" s="232" t="s">
        <v>237</v>
      </c>
      <c r="G145" s="23" t="s">
        <v>24</v>
      </c>
      <c r="H145" s="48">
        <v>18</v>
      </c>
      <c r="I145" s="203">
        <v>13</v>
      </c>
      <c r="J145" s="203">
        <v>16</v>
      </c>
      <c r="K145" s="65">
        <v>36210.6</v>
      </c>
      <c r="L145" s="224">
        <v>15</v>
      </c>
      <c r="M145" s="50">
        <f t="shared" si="11"/>
        <v>36210.6</v>
      </c>
      <c r="N145" s="65">
        <v>36210.6</v>
      </c>
      <c r="O145" s="225"/>
      <c r="P145" s="108">
        <v>56</v>
      </c>
      <c r="Q145" s="65">
        <v>335574.55</v>
      </c>
      <c r="R145" s="224">
        <v>56</v>
      </c>
      <c r="S145" s="50">
        <f t="shared" si="12"/>
        <v>335574.55</v>
      </c>
      <c r="T145" s="65">
        <v>335574.55</v>
      </c>
      <c r="U145" s="225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87"/>
      <c r="B146" s="386"/>
      <c r="C146" s="386"/>
      <c r="D146" s="386"/>
      <c r="E146" s="386"/>
      <c r="F146" s="135"/>
      <c r="G146" s="154" t="s">
        <v>25</v>
      </c>
      <c r="H146" s="98"/>
      <c r="I146" s="155"/>
      <c r="J146" s="155"/>
      <c r="K146" s="239" t="s">
        <v>43</v>
      </c>
      <c r="L146" s="128"/>
      <c r="M146" s="129">
        <f t="shared" si="11"/>
        <v>0</v>
      </c>
      <c r="N146" s="129"/>
      <c r="O146" s="45"/>
      <c r="P146" s="156"/>
      <c r="Q146" s="129"/>
      <c r="R146" s="128"/>
      <c r="S146" s="129">
        <f t="shared" si="12"/>
        <v>0</v>
      </c>
      <c r="T146" s="129"/>
      <c r="U146" s="45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9"/>
      <c r="B147" s="380"/>
      <c r="C147" s="380"/>
      <c r="D147" s="380"/>
      <c r="E147" s="380"/>
      <c r="F147" s="34"/>
      <c r="G147" s="55" t="s">
        <v>28</v>
      </c>
      <c r="H147" s="111"/>
      <c r="I147" s="57"/>
      <c r="J147" s="57"/>
      <c r="K147" s="43"/>
      <c r="L147" s="44"/>
      <c r="M147" s="43">
        <f t="shared" si="11"/>
        <v>0</v>
      </c>
      <c r="N147" s="43"/>
      <c r="O147" s="41"/>
      <c r="P147" s="113">
        <v>3</v>
      </c>
      <c r="Q147" s="114">
        <v>8317.5</v>
      </c>
      <c r="R147" s="270">
        <v>4</v>
      </c>
      <c r="S147" s="43">
        <f t="shared" si="12"/>
        <v>10625.699999999999</v>
      </c>
      <c r="T147" s="114">
        <f>2305.2+4226.2+2689.4+1404.9</f>
        <v>10625.699999999999</v>
      </c>
      <c r="U147" s="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2"/>
      <c r="B148" s="374" t="s">
        <v>126</v>
      </c>
      <c r="C148" s="374" t="s">
        <v>22</v>
      </c>
      <c r="D148" s="378"/>
      <c r="E148" s="374" t="s">
        <v>65</v>
      </c>
      <c r="F148" s="232" t="s">
        <v>443</v>
      </c>
      <c r="G148" s="23" t="s">
        <v>24</v>
      </c>
      <c r="H148" s="151">
        <v>5</v>
      </c>
      <c r="I148" s="62">
        <v>1</v>
      </c>
      <c r="J148" s="62">
        <v>1</v>
      </c>
      <c r="K148" s="30">
        <v>384.2</v>
      </c>
      <c r="L148" s="205">
        <v>1</v>
      </c>
      <c r="M148" s="26">
        <f t="shared" si="11"/>
        <v>384.2</v>
      </c>
      <c r="N148" s="30">
        <v>384.2</v>
      </c>
      <c r="O148" s="225"/>
      <c r="P148" s="53">
        <v>15</v>
      </c>
      <c r="Q148" s="30">
        <v>10414.84</v>
      </c>
      <c r="R148" s="205">
        <v>4</v>
      </c>
      <c r="S148" s="26">
        <f t="shared" si="12"/>
        <v>10414.84</v>
      </c>
      <c r="T148" s="30">
        <v>10414.84</v>
      </c>
      <c r="U148" s="22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3"/>
      <c r="B149" s="375"/>
      <c r="C149" s="375"/>
      <c r="D149" s="375"/>
      <c r="E149" s="375"/>
      <c r="F149" s="254" t="s">
        <v>316</v>
      </c>
      <c r="G149" s="35" t="s">
        <v>28</v>
      </c>
      <c r="H149" s="153">
        <v>6</v>
      </c>
      <c r="I149" s="37">
        <v>3</v>
      </c>
      <c r="J149" s="37">
        <v>3</v>
      </c>
      <c r="K149" s="68">
        <v>3710.1</v>
      </c>
      <c r="L149" s="285">
        <v>3</v>
      </c>
      <c r="M149" s="39">
        <f t="shared" si="11"/>
        <v>3710.1</v>
      </c>
      <c r="N149" s="39">
        <f>2305.2+1404.9</f>
        <v>3710.1</v>
      </c>
      <c r="O149" s="41"/>
      <c r="P149" s="115">
        <v>3</v>
      </c>
      <c r="Q149" s="68">
        <v>7062.2</v>
      </c>
      <c r="R149" s="285">
        <v>3</v>
      </c>
      <c r="S149" s="39">
        <f t="shared" si="12"/>
        <v>7418.45</v>
      </c>
      <c r="T149" s="39">
        <f>1056.55+1344.4+5017.5</f>
        <v>7418.45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82"/>
      <c r="B150" s="381" t="s">
        <v>127</v>
      </c>
      <c r="C150" s="381" t="s">
        <v>22</v>
      </c>
      <c r="D150" s="381"/>
      <c r="E150" s="381" t="s">
        <v>67</v>
      </c>
      <c r="F150" s="223" t="s">
        <v>368</v>
      </c>
      <c r="G150" s="47" t="s">
        <v>24</v>
      </c>
      <c r="H150" s="48">
        <v>11</v>
      </c>
      <c r="I150" s="203">
        <v>10</v>
      </c>
      <c r="J150" s="203">
        <v>14</v>
      </c>
      <c r="K150" s="65">
        <v>28292.01</v>
      </c>
      <c r="L150" s="224">
        <v>10</v>
      </c>
      <c r="M150" s="50">
        <f t="shared" si="11"/>
        <v>19226.240000000002</v>
      </c>
      <c r="N150" s="65">
        <v>19226.240000000002</v>
      </c>
      <c r="O150" s="225"/>
      <c r="P150" s="108">
        <v>8</v>
      </c>
      <c r="Q150" s="65">
        <v>29582.03</v>
      </c>
      <c r="R150" s="224">
        <v>8</v>
      </c>
      <c r="S150" s="50">
        <f t="shared" si="12"/>
        <v>29582.03</v>
      </c>
      <c r="T150" s="65">
        <v>29582.03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33" t="s">
        <v>317</v>
      </c>
      <c r="G151" s="227" t="s">
        <v>28</v>
      </c>
      <c r="H151" s="153">
        <v>7</v>
      </c>
      <c r="I151" s="37">
        <v>4</v>
      </c>
      <c r="J151" s="37">
        <v>4</v>
      </c>
      <c r="K151" s="68">
        <v>5174.6000000000004</v>
      </c>
      <c r="L151" s="285">
        <v>4</v>
      </c>
      <c r="M151" s="39">
        <f t="shared" si="11"/>
        <v>5220.5999999999995</v>
      </c>
      <c r="N151" s="39">
        <f>1578.8+1152.6+1152.6+1336.6</f>
        <v>5220.5999999999995</v>
      </c>
      <c r="O151" s="41"/>
      <c r="P151" s="115">
        <v>3</v>
      </c>
      <c r="Q151" s="68">
        <v>17095</v>
      </c>
      <c r="R151" s="285">
        <v>3</v>
      </c>
      <c r="S151" s="39">
        <f t="shared" si="12"/>
        <v>17095</v>
      </c>
      <c r="T151" s="39">
        <f>4034.1+11053.9+2007</f>
        <v>17095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2"/>
      <c r="B152" s="374" t="s">
        <v>128</v>
      </c>
      <c r="C152" s="374" t="s">
        <v>39</v>
      </c>
      <c r="D152" s="374" t="s">
        <v>129</v>
      </c>
      <c r="E152" s="374" t="s">
        <v>121</v>
      </c>
      <c r="F152" s="60"/>
      <c r="G152" s="176" t="s">
        <v>24</v>
      </c>
      <c r="H152" s="107"/>
      <c r="I152" s="49"/>
      <c r="J152" s="127"/>
      <c r="K152" s="50"/>
      <c r="L152" s="51"/>
      <c r="M152" s="50">
        <f t="shared" si="11"/>
        <v>0</v>
      </c>
      <c r="N152" s="50"/>
      <c r="O152" s="31"/>
      <c r="P152" s="108"/>
      <c r="Q152" s="65"/>
      <c r="R152" s="51"/>
      <c r="S152" s="50">
        <f t="shared" si="12"/>
        <v>0</v>
      </c>
      <c r="T152" s="50"/>
      <c r="U152" s="3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34"/>
      <c r="G153" s="229" t="s">
        <v>25</v>
      </c>
      <c r="H153" s="153">
        <v>1</v>
      </c>
      <c r="I153" s="57"/>
      <c r="J153" s="57"/>
      <c r="K153" s="43"/>
      <c r="L153" s="44"/>
      <c r="M153" s="43">
        <f t="shared" si="11"/>
        <v>0</v>
      </c>
      <c r="N153" s="43"/>
      <c r="O153" s="41"/>
      <c r="P153" s="103"/>
      <c r="Q153" s="43"/>
      <c r="R153" s="44"/>
      <c r="S153" s="43">
        <f t="shared" si="12"/>
        <v>0</v>
      </c>
      <c r="T153" s="43"/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130</v>
      </c>
      <c r="C154" s="374" t="s">
        <v>22</v>
      </c>
      <c r="D154" s="374"/>
      <c r="E154" s="374" t="s">
        <v>131</v>
      </c>
      <c r="F154" s="232" t="s">
        <v>411</v>
      </c>
      <c r="G154" s="176" t="s">
        <v>24</v>
      </c>
      <c r="H154" s="48">
        <v>10</v>
      </c>
      <c r="I154" s="62">
        <v>6</v>
      </c>
      <c r="J154" s="62">
        <v>6</v>
      </c>
      <c r="K154" s="30">
        <v>9104.94</v>
      </c>
      <c r="L154" s="205">
        <v>6</v>
      </c>
      <c r="M154" s="26">
        <f t="shared" si="11"/>
        <v>9104.94</v>
      </c>
      <c r="N154" s="30">
        <v>9104.94</v>
      </c>
      <c r="O154" s="31"/>
      <c r="P154" s="53">
        <v>4</v>
      </c>
      <c r="Q154" s="30">
        <v>22885.21</v>
      </c>
      <c r="R154" s="205">
        <v>4</v>
      </c>
      <c r="S154" s="26">
        <f t="shared" si="12"/>
        <v>22885.21</v>
      </c>
      <c r="T154" s="30">
        <v>22885.21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34"/>
      <c r="G155" s="229" t="s">
        <v>25</v>
      </c>
      <c r="H155" s="112">
        <v>7</v>
      </c>
      <c r="I155" s="130">
        <v>5</v>
      </c>
      <c r="J155" s="130">
        <v>5</v>
      </c>
      <c r="K155" s="114">
        <v>7800.08</v>
      </c>
      <c r="L155" s="270">
        <v>5</v>
      </c>
      <c r="M155" s="114">
        <v>7800.08</v>
      </c>
      <c r="N155" s="114">
        <v>7800.08</v>
      </c>
      <c r="O155" s="234"/>
      <c r="P155" s="113">
        <v>3</v>
      </c>
      <c r="Q155" s="114">
        <v>7539.8</v>
      </c>
      <c r="R155" s="270">
        <v>3</v>
      </c>
      <c r="S155" s="114">
        <v>7539.8</v>
      </c>
      <c r="T155" s="114">
        <v>7539.8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132</v>
      </c>
      <c r="C156" s="374" t="s">
        <v>39</v>
      </c>
      <c r="D156" s="374" t="s">
        <v>238</v>
      </c>
      <c r="E156" s="377" t="s">
        <v>136</v>
      </c>
      <c r="F156" s="232" t="s">
        <v>239</v>
      </c>
      <c r="G156" s="23" t="s">
        <v>24</v>
      </c>
      <c r="H156" s="61">
        <v>12</v>
      </c>
      <c r="I156" s="62">
        <v>8</v>
      </c>
      <c r="J156" s="62">
        <v>11</v>
      </c>
      <c r="K156" s="30">
        <v>15812.22</v>
      </c>
      <c r="L156" s="205">
        <v>11</v>
      </c>
      <c r="M156" s="26">
        <f t="shared" ref="M156:M227" si="13">N156+O156</f>
        <v>15812.22</v>
      </c>
      <c r="N156" s="30">
        <v>15812.22</v>
      </c>
      <c r="O156" s="225"/>
      <c r="P156" s="53">
        <v>12</v>
      </c>
      <c r="Q156" s="30">
        <v>49378.37</v>
      </c>
      <c r="R156" s="205">
        <v>12</v>
      </c>
      <c r="S156" s="26">
        <f t="shared" ref="S156:S188" si="14">T156+U156</f>
        <v>49378.37</v>
      </c>
      <c r="T156" s="30">
        <v>49378.37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7"/>
      <c r="B157" s="386"/>
      <c r="C157" s="386"/>
      <c r="D157" s="386"/>
      <c r="E157" s="386"/>
      <c r="F157" s="237" t="s">
        <v>240</v>
      </c>
      <c r="G157" s="154" t="s">
        <v>28</v>
      </c>
      <c r="H157" s="112">
        <v>13</v>
      </c>
      <c r="I157" s="271">
        <v>7</v>
      </c>
      <c r="J157" s="271">
        <v>7</v>
      </c>
      <c r="K157" s="239">
        <v>13627.6</v>
      </c>
      <c r="L157" s="316">
        <v>7</v>
      </c>
      <c r="M157" s="129">
        <f t="shared" si="13"/>
        <v>13627.599999999999</v>
      </c>
      <c r="N157" s="129">
        <f>1728.9+2305.2+576.3+4802.5+1404.9+1404.9+1404.9</f>
        <v>13627.599999999999</v>
      </c>
      <c r="O157" s="45"/>
      <c r="P157" s="238">
        <v>7</v>
      </c>
      <c r="Q157" s="239">
        <v>11775.73</v>
      </c>
      <c r="R157" s="316">
        <v>8</v>
      </c>
      <c r="S157" s="129">
        <f t="shared" si="14"/>
        <v>12985.960000000001</v>
      </c>
      <c r="T157" s="239">
        <f>288.15+6934.81+3073.6+1344.7+1344.7</f>
        <v>12985.960000000001</v>
      </c>
      <c r="U157" s="45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3"/>
      <c r="B158" s="375"/>
      <c r="C158" s="375"/>
      <c r="D158" s="375"/>
      <c r="E158" s="375"/>
      <c r="F158" s="105"/>
      <c r="G158" s="55" t="s">
        <v>25</v>
      </c>
      <c r="H158" s="131"/>
      <c r="I158" s="57"/>
      <c r="J158" s="57"/>
      <c r="K158" s="43"/>
      <c r="L158" s="44"/>
      <c r="M158" s="43">
        <f t="shared" si="13"/>
        <v>0</v>
      </c>
      <c r="N158" s="43"/>
      <c r="O158" s="41"/>
      <c r="P158" s="103"/>
      <c r="Q158" s="43"/>
      <c r="R158" s="44"/>
      <c r="S158" s="43">
        <f t="shared" si="14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133</v>
      </c>
      <c r="C159" s="374" t="s">
        <v>39</v>
      </c>
      <c r="D159" s="374" t="s">
        <v>448</v>
      </c>
      <c r="E159" s="381" t="s">
        <v>23</v>
      </c>
      <c r="F159" s="232" t="s">
        <v>449</v>
      </c>
      <c r="G159" s="23" t="s">
        <v>24</v>
      </c>
      <c r="H159" s="61">
        <v>10</v>
      </c>
      <c r="I159" s="62">
        <v>6</v>
      </c>
      <c r="J159" s="62">
        <v>6</v>
      </c>
      <c r="K159" s="30">
        <v>16306.8</v>
      </c>
      <c r="L159" s="205">
        <v>6</v>
      </c>
      <c r="M159" s="26">
        <f t="shared" si="13"/>
        <v>16306.8</v>
      </c>
      <c r="N159" s="30">
        <v>16306.8</v>
      </c>
      <c r="O159" s="31"/>
      <c r="P159" s="53">
        <v>1</v>
      </c>
      <c r="Q159" s="30">
        <v>1415.78</v>
      </c>
      <c r="R159" s="205">
        <v>1</v>
      </c>
      <c r="S159" s="26">
        <f t="shared" si="14"/>
        <v>1415.78</v>
      </c>
      <c r="T159" s="30">
        <v>1415.78</v>
      </c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34"/>
      <c r="G160" s="35" t="s">
        <v>25</v>
      </c>
      <c r="H160" s="106"/>
      <c r="I160" s="38"/>
      <c r="J160" s="38"/>
      <c r="K160" s="39"/>
      <c r="L160" s="40"/>
      <c r="M160" s="39">
        <f t="shared" si="13"/>
        <v>0</v>
      </c>
      <c r="N160" s="39"/>
      <c r="O160" s="41"/>
      <c r="P160" s="59"/>
      <c r="Q160" s="39"/>
      <c r="R160" s="40"/>
      <c r="S160" s="39">
        <f t="shared" si="14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134</v>
      </c>
      <c r="C161" s="374" t="s">
        <v>39</v>
      </c>
      <c r="D161" s="374" t="s">
        <v>280</v>
      </c>
      <c r="E161" s="374" t="s">
        <v>136</v>
      </c>
      <c r="F161" s="204" t="s">
        <v>282</v>
      </c>
      <c r="G161" s="176" t="s">
        <v>24</v>
      </c>
      <c r="H161" s="48">
        <v>12</v>
      </c>
      <c r="I161" s="203">
        <v>9</v>
      </c>
      <c r="J161" s="203">
        <v>9</v>
      </c>
      <c r="K161" s="65">
        <v>11430.48</v>
      </c>
      <c r="L161" s="224">
        <v>9</v>
      </c>
      <c r="M161" s="50">
        <f t="shared" si="13"/>
        <v>11430.48</v>
      </c>
      <c r="N161" s="65">
        <v>11430.48</v>
      </c>
      <c r="O161" s="225"/>
      <c r="P161" s="108">
        <v>6</v>
      </c>
      <c r="Q161" s="65">
        <v>33605.230000000003</v>
      </c>
      <c r="R161" s="224">
        <v>6</v>
      </c>
      <c r="S161" s="50">
        <f t="shared" si="14"/>
        <v>33605.230000000003</v>
      </c>
      <c r="T161" s="65">
        <v>33605.230000000003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87"/>
      <c r="B162" s="386"/>
      <c r="C162" s="386"/>
      <c r="D162" s="386"/>
      <c r="E162" s="386"/>
      <c r="F162" s="235" t="s">
        <v>321</v>
      </c>
      <c r="G162" s="252" t="s">
        <v>28</v>
      </c>
      <c r="H162" s="151">
        <v>10</v>
      </c>
      <c r="I162" s="246">
        <v>4</v>
      </c>
      <c r="J162" s="246">
        <v>4</v>
      </c>
      <c r="K162" s="158">
        <v>8842.2999999999993</v>
      </c>
      <c r="L162" s="317">
        <v>4</v>
      </c>
      <c r="M162" s="142">
        <f t="shared" si="13"/>
        <v>8842.2999999999993</v>
      </c>
      <c r="N162" s="142">
        <f>1921+2305.2+1404.9+3211.2</f>
        <v>8842.2999999999993</v>
      </c>
      <c r="O162" s="45"/>
      <c r="P162" s="157">
        <v>4</v>
      </c>
      <c r="Q162" s="158">
        <v>8625.2900000000009</v>
      </c>
      <c r="R162" s="224">
        <v>5</v>
      </c>
      <c r="S162" s="50">
        <f t="shared" si="14"/>
        <v>9681.84</v>
      </c>
      <c r="T162" s="158">
        <f>6224.04+3457.8</f>
        <v>9681.84</v>
      </c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3"/>
      <c r="B163" s="375"/>
      <c r="C163" s="375"/>
      <c r="D163" s="375"/>
      <c r="E163" s="375"/>
      <c r="F163" s="34"/>
      <c r="G163" s="229" t="s">
        <v>25</v>
      </c>
      <c r="H163" s="118"/>
      <c r="I163" s="57"/>
      <c r="J163" s="57"/>
      <c r="K163" s="43"/>
      <c r="L163" s="44"/>
      <c r="M163" s="43">
        <f t="shared" si="13"/>
        <v>0</v>
      </c>
      <c r="N163" s="43"/>
      <c r="O163" s="41"/>
      <c r="P163" s="103"/>
      <c r="Q163" s="43"/>
      <c r="R163" s="44"/>
      <c r="S163" s="43">
        <f t="shared" si="14"/>
        <v>0</v>
      </c>
      <c r="T163" s="43"/>
      <c r="U163" s="41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2"/>
      <c r="B164" s="374" t="s">
        <v>137</v>
      </c>
      <c r="C164" s="377" t="s">
        <v>39</v>
      </c>
      <c r="D164" s="374" t="s">
        <v>322</v>
      </c>
      <c r="E164" s="377" t="s">
        <v>27</v>
      </c>
      <c r="F164" s="232" t="s">
        <v>323</v>
      </c>
      <c r="G164" s="23" t="s">
        <v>24</v>
      </c>
      <c r="H164" s="24">
        <v>15</v>
      </c>
      <c r="I164" s="62">
        <v>7</v>
      </c>
      <c r="J164" s="62">
        <v>9</v>
      </c>
      <c r="K164" s="30">
        <v>19251.14</v>
      </c>
      <c r="L164" s="205">
        <v>8</v>
      </c>
      <c r="M164" s="26">
        <f t="shared" si="13"/>
        <v>15213.58</v>
      </c>
      <c r="N164" s="30">
        <v>15213.58</v>
      </c>
      <c r="O164" s="31"/>
      <c r="P164" s="53">
        <v>2</v>
      </c>
      <c r="Q164" s="30">
        <v>3779.47</v>
      </c>
      <c r="R164" s="205">
        <v>2</v>
      </c>
      <c r="S164" s="26">
        <f t="shared" si="14"/>
        <v>3779.47</v>
      </c>
      <c r="T164" s="30">
        <v>3779.47</v>
      </c>
      <c r="U164" s="22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80"/>
      <c r="F165" s="220" t="s">
        <v>241</v>
      </c>
      <c r="G165" s="35" t="s">
        <v>28</v>
      </c>
      <c r="H165" s="66">
        <v>8</v>
      </c>
      <c r="I165" s="37">
        <v>4</v>
      </c>
      <c r="J165" s="37">
        <v>4</v>
      </c>
      <c r="K165" s="68">
        <v>5042.7</v>
      </c>
      <c r="L165" s="285">
        <v>5</v>
      </c>
      <c r="M165" s="39">
        <f t="shared" si="13"/>
        <v>5042.7000000000007</v>
      </c>
      <c r="N165" s="39">
        <f>576.3+1716.8+1344.7+1404.9</f>
        <v>5042.7000000000007</v>
      </c>
      <c r="O165" s="41"/>
      <c r="P165" s="115">
        <v>2</v>
      </c>
      <c r="Q165" s="68">
        <v>3265.7</v>
      </c>
      <c r="R165" s="285">
        <v>2</v>
      </c>
      <c r="S165" s="39">
        <f t="shared" si="14"/>
        <v>6957.96</v>
      </c>
      <c r="T165" s="39">
        <f>1921+1344.7+3692.26</f>
        <v>6957.96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138</v>
      </c>
      <c r="C166" s="374" t="s">
        <v>22</v>
      </c>
      <c r="D166" s="374"/>
      <c r="E166" s="374" t="s">
        <v>27</v>
      </c>
      <c r="F166" s="204" t="s">
        <v>324</v>
      </c>
      <c r="G166" s="176" t="s">
        <v>24</v>
      </c>
      <c r="H166" s="151">
        <v>9</v>
      </c>
      <c r="I166" s="203">
        <v>7</v>
      </c>
      <c r="J166" s="203">
        <v>8</v>
      </c>
      <c r="K166" s="65">
        <v>14390.37</v>
      </c>
      <c r="L166" s="224">
        <v>6</v>
      </c>
      <c r="M166" s="50">
        <f t="shared" si="13"/>
        <v>13186.17</v>
      </c>
      <c r="N166" s="65">
        <v>13186.17</v>
      </c>
      <c r="O166" s="31"/>
      <c r="P166" s="108">
        <v>9</v>
      </c>
      <c r="Q166" s="65">
        <v>21231.99</v>
      </c>
      <c r="R166" s="224">
        <v>8</v>
      </c>
      <c r="S166" s="50">
        <f t="shared" si="14"/>
        <v>16335.71</v>
      </c>
      <c r="T166" s="65">
        <v>16335.71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75"/>
      <c r="F167" s="220" t="s">
        <v>242</v>
      </c>
      <c r="G167" s="229" t="s">
        <v>28</v>
      </c>
      <c r="H167" s="133">
        <v>6</v>
      </c>
      <c r="I167" s="130">
        <v>5</v>
      </c>
      <c r="J167" s="130">
        <v>5</v>
      </c>
      <c r="K167" s="114">
        <v>18356.64</v>
      </c>
      <c r="L167" s="270">
        <v>5</v>
      </c>
      <c r="M167" s="43">
        <f t="shared" si="13"/>
        <v>8836.6</v>
      </c>
      <c r="N167" s="43">
        <f>3880.42+1344.7+1921+1690.48</f>
        <v>8836.6</v>
      </c>
      <c r="O167" s="41"/>
      <c r="P167" s="113">
        <v>5</v>
      </c>
      <c r="Q167" s="114">
        <v>11814.15</v>
      </c>
      <c r="R167" s="270">
        <v>4</v>
      </c>
      <c r="S167" s="43">
        <f t="shared" si="14"/>
        <v>9893.15</v>
      </c>
      <c r="T167" s="114">
        <f>4802.5+2401.25+2689.4</f>
        <v>9893.15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139</v>
      </c>
      <c r="C168" s="374" t="s">
        <v>22</v>
      </c>
      <c r="D168" s="374"/>
      <c r="E168" s="374" t="s">
        <v>67</v>
      </c>
      <c r="F168" s="232" t="s">
        <v>325</v>
      </c>
      <c r="G168" s="23" t="s">
        <v>24</v>
      </c>
      <c r="H168" s="151">
        <v>6</v>
      </c>
      <c r="I168" s="62">
        <v>6</v>
      </c>
      <c r="J168" s="62">
        <v>7</v>
      </c>
      <c r="K168" s="30">
        <v>14388.8</v>
      </c>
      <c r="L168" s="205">
        <v>6</v>
      </c>
      <c r="M168" s="26">
        <f t="shared" si="13"/>
        <v>13798.74</v>
      </c>
      <c r="N168" s="30">
        <v>13798.74</v>
      </c>
      <c r="O168" s="225"/>
      <c r="P168" s="53">
        <v>15</v>
      </c>
      <c r="Q168" s="30">
        <v>52937.79</v>
      </c>
      <c r="R168" s="205">
        <v>15</v>
      </c>
      <c r="S168" s="26">
        <f t="shared" si="14"/>
        <v>52937.79</v>
      </c>
      <c r="T168" s="30">
        <v>52937.79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33" t="s">
        <v>326</v>
      </c>
      <c r="G169" s="227" t="s">
        <v>28</v>
      </c>
      <c r="H169" s="112">
        <v>6</v>
      </c>
      <c r="I169" s="130">
        <v>3</v>
      </c>
      <c r="J169" s="130">
        <v>3</v>
      </c>
      <c r="K169" s="114">
        <v>4835.3999999999996</v>
      </c>
      <c r="L169" s="270">
        <v>4</v>
      </c>
      <c r="M169" s="43">
        <f t="shared" si="13"/>
        <v>8335.2999999999993</v>
      </c>
      <c r="N169" s="43">
        <f>1728.9+602.1+2504.4+3499.9</f>
        <v>8335.2999999999993</v>
      </c>
      <c r="O169" s="45"/>
      <c r="P169" s="113">
        <v>5</v>
      </c>
      <c r="Q169" s="114">
        <v>15388.1</v>
      </c>
      <c r="R169" s="270">
        <v>6</v>
      </c>
      <c r="S169" s="43">
        <f t="shared" si="14"/>
        <v>16062.800000000001</v>
      </c>
      <c r="T169" s="114">
        <f>6269.7+3984+2305.2+3503.9</f>
        <v>16062.800000000001</v>
      </c>
      <c r="U169" s="45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140</v>
      </c>
      <c r="C170" s="374" t="s">
        <v>39</v>
      </c>
      <c r="D170" s="374" t="s">
        <v>369</v>
      </c>
      <c r="E170" s="374" t="s">
        <v>27</v>
      </c>
      <c r="F170" s="204" t="s">
        <v>370</v>
      </c>
      <c r="G170" s="176" t="s">
        <v>24</v>
      </c>
      <c r="H170" s="24">
        <v>14</v>
      </c>
      <c r="I170" s="62">
        <v>10</v>
      </c>
      <c r="J170" s="62">
        <v>11</v>
      </c>
      <c r="K170" s="30">
        <v>24333.17</v>
      </c>
      <c r="L170" s="205">
        <v>10</v>
      </c>
      <c r="M170" s="26">
        <f t="shared" si="13"/>
        <v>23339.7</v>
      </c>
      <c r="N170" s="30">
        <v>23339.7</v>
      </c>
      <c r="O170" s="159"/>
      <c r="P170" s="53">
        <v>4</v>
      </c>
      <c r="Q170" s="30">
        <v>31835.37</v>
      </c>
      <c r="R170" s="205">
        <v>4</v>
      </c>
      <c r="S170" s="26">
        <f t="shared" si="14"/>
        <v>31835.37</v>
      </c>
      <c r="T170" s="30">
        <v>31835.37</v>
      </c>
      <c r="U170" s="2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243</v>
      </c>
      <c r="G171" s="282" t="s">
        <v>28</v>
      </c>
      <c r="H171" s="207">
        <v>6</v>
      </c>
      <c r="I171" s="208">
        <v>1</v>
      </c>
      <c r="J171" s="208">
        <v>1</v>
      </c>
      <c r="K171" s="209">
        <v>1728</v>
      </c>
      <c r="L171" s="210"/>
      <c r="M171" s="211">
        <f t="shared" si="13"/>
        <v>1728.9</v>
      </c>
      <c r="N171" s="211">
        <f>1728.9</f>
        <v>1728.9</v>
      </c>
      <c r="O171" s="274"/>
      <c r="P171" s="262">
        <v>3</v>
      </c>
      <c r="Q171" s="209">
        <v>5494.06</v>
      </c>
      <c r="R171" s="290">
        <v>6</v>
      </c>
      <c r="S171" s="211">
        <f t="shared" si="14"/>
        <v>14023.3</v>
      </c>
      <c r="T171" s="211">
        <f>4034.1+3073.6+5071.44+1267.86+576.3</f>
        <v>14023.3</v>
      </c>
      <c r="U171" s="212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413</v>
      </c>
      <c r="C172" s="374" t="s">
        <v>22</v>
      </c>
      <c r="D172" s="374"/>
      <c r="E172" s="374" t="s">
        <v>391</v>
      </c>
      <c r="F172" s="204" t="s">
        <v>414</v>
      </c>
      <c r="G172" s="176" t="s">
        <v>24</v>
      </c>
      <c r="H172" s="24">
        <v>4</v>
      </c>
      <c r="I172" s="62">
        <v>4</v>
      </c>
      <c r="J172" s="62">
        <v>7</v>
      </c>
      <c r="K172" s="30">
        <v>18567.810000000001</v>
      </c>
      <c r="L172" s="205">
        <v>6</v>
      </c>
      <c r="M172" s="26">
        <f t="shared" si="13"/>
        <v>18005.849999999999</v>
      </c>
      <c r="N172" s="30">
        <v>18005.849999999999</v>
      </c>
      <c r="O172" s="28"/>
      <c r="P172" s="214"/>
      <c r="Q172" s="30"/>
      <c r="R172" s="205"/>
      <c r="S172" s="26">
        <f t="shared" si="14"/>
        <v>0</v>
      </c>
      <c r="T172" s="30"/>
      <c r="U172" s="2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20"/>
      <c r="G173" s="229" t="s">
        <v>28</v>
      </c>
      <c r="H173" s="66"/>
      <c r="I173" s="38"/>
      <c r="J173" s="38"/>
      <c r="K173" s="39"/>
      <c r="L173" s="40"/>
      <c r="M173" s="39">
        <f t="shared" si="13"/>
        <v>0</v>
      </c>
      <c r="N173" s="39"/>
      <c r="O173" s="41"/>
      <c r="P173" s="217"/>
      <c r="Q173" s="68"/>
      <c r="R173" s="285"/>
      <c r="S173" s="39">
        <f t="shared" si="14"/>
        <v>0</v>
      </c>
      <c r="T173" s="68"/>
      <c r="U173" s="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141</v>
      </c>
      <c r="C174" s="374" t="s">
        <v>39</v>
      </c>
      <c r="D174" s="374" t="s">
        <v>371</v>
      </c>
      <c r="E174" s="374" t="s">
        <v>27</v>
      </c>
      <c r="F174" s="204" t="s">
        <v>372</v>
      </c>
      <c r="G174" s="176" t="s">
        <v>24</v>
      </c>
      <c r="H174" s="281">
        <v>8</v>
      </c>
      <c r="I174" s="266">
        <v>5</v>
      </c>
      <c r="J174" s="266">
        <v>5</v>
      </c>
      <c r="K174" s="79">
        <v>11395.47</v>
      </c>
      <c r="L174" s="268">
        <v>5</v>
      </c>
      <c r="M174" s="81">
        <f t="shared" si="13"/>
        <v>11395.47</v>
      </c>
      <c r="N174" s="79">
        <v>11395.47</v>
      </c>
      <c r="O174" s="219"/>
      <c r="P174" s="267">
        <v>3</v>
      </c>
      <c r="Q174" s="79">
        <v>16223.5</v>
      </c>
      <c r="R174" s="268">
        <v>3</v>
      </c>
      <c r="S174" s="81">
        <f t="shared" si="14"/>
        <v>16223.5</v>
      </c>
      <c r="T174" s="79">
        <v>16223.5</v>
      </c>
      <c r="U174" s="219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34"/>
      <c r="G175" s="229" t="s">
        <v>28</v>
      </c>
      <c r="H175" s="118"/>
      <c r="I175" s="57"/>
      <c r="J175" s="57"/>
      <c r="K175" s="43"/>
      <c r="L175" s="44"/>
      <c r="M175" s="43">
        <f t="shared" si="13"/>
        <v>0</v>
      </c>
      <c r="N175" s="43"/>
      <c r="O175" s="45"/>
      <c r="P175" s="103"/>
      <c r="Q175" s="43"/>
      <c r="R175" s="44"/>
      <c r="S175" s="43">
        <f t="shared" si="14"/>
        <v>0</v>
      </c>
      <c r="T175" s="43"/>
      <c r="U175" s="4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142</v>
      </c>
      <c r="C176" s="374" t="s">
        <v>39</v>
      </c>
      <c r="D176" s="374" t="s">
        <v>415</v>
      </c>
      <c r="E176" s="374" t="s">
        <v>27</v>
      </c>
      <c r="F176" s="232" t="s">
        <v>416</v>
      </c>
      <c r="G176" s="23" t="s">
        <v>24</v>
      </c>
      <c r="H176" s="24">
        <v>4</v>
      </c>
      <c r="I176" s="62">
        <v>2</v>
      </c>
      <c r="J176" s="62">
        <v>2</v>
      </c>
      <c r="K176" s="30">
        <v>524.91</v>
      </c>
      <c r="L176" s="205">
        <v>2</v>
      </c>
      <c r="M176" s="26">
        <f t="shared" si="13"/>
        <v>524.91</v>
      </c>
      <c r="N176" s="30">
        <v>524.91</v>
      </c>
      <c r="O176" s="241"/>
      <c r="P176" s="53">
        <v>1</v>
      </c>
      <c r="Q176" s="30">
        <v>412.05</v>
      </c>
      <c r="R176" s="205">
        <v>1</v>
      </c>
      <c r="S176" s="26">
        <f t="shared" si="14"/>
        <v>412.05</v>
      </c>
      <c r="T176" s="30">
        <v>412.05</v>
      </c>
      <c r="U176" s="2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105"/>
      <c r="G177" s="227" t="s">
        <v>28</v>
      </c>
      <c r="H177" s="311"/>
      <c r="I177" s="261"/>
      <c r="J177" s="261"/>
      <c r="K177" s="211"/>
      <c r="L177" s="210"/>
      <c r="M177" s="211">
        <f t="shared" si="13"/>
        <v>0</v>
      </c>
      <c r="N177" s="211"/>
      <c r="O177" s="212"/>
      <c r="P177" s="273"/>
      <c r="Q177" s="211"/>
      <c r="R177" s="210"/>
      <c r="S177" s="211">
        <f t="shared" si="14"/>
        <v>0</v>
      </c>
      <c r="T177" s="211"/>
      <c r="U177" s="212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424</v>
      </c>
      <c r="C178" s="374" t="s">
        <v>22</v>
      </c>
      <c r="D178" s="374"/>
      <c r="E178" s="374" t="s">
        <v>65</v>
      </c>
      <c r="F178" s="232" t="s">
        <v>437</v>
      </c>
      <c r="G178" s="213" t="s">
        <v>24</v>
      </c>
      <c r="H178" s="24">
        <v>4</v>
      </c>
      <c r="I178" s="62">
        <v>1</v>
      </c>
      <c r="J178" s="62">
        <v>1</v>
      </c>
      <c r="K178" s="30">
        <v>1285.1500000000001</v>
      </c>
      <c r="L178" s="205">
        <v>1</v>
      </c>
      <c r="M178" s="26">
        <f t="shared" si="13"/>
        <v>1285.1500000000001</v>
      </c>
      <c r="N178" s="30">
        <v>1285.1500000000001</v>
      </c>
      <c r="O178" s="28"/>
      <c r="P178" s="214"/>
      <c r="Q178" s="30"/>
      <c r="R178" s="205"/>
      <c r="S178" s="26">
        <f t="shared" si="14"/>
        <v>0</v>
      </c>
      <c r="T178" s="30"/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220"/>
      <c r="G179" s="215" t="s">
        <v>28</v>
      </c>
      <c r="H179" s="66"/>
      <c r="I179" s="38"/>
      <c r="J179" s="38"/>
      <c r="K179" s="39"/>
      <c r="L179" s="40"/>
      <c r="M179" s="39">
        <f t="shared" si="13"/>
        <v>0</v>
      </c>
      <c r="N179" s="39"/>
      <c r="O179" s="41"/>
      <c r="P179" s="217"/>
      <c r="Q179" s="68"/>
      <c r="R179" s="285"/>
      <c r="S179" s="39">
        <f t="shared" si="14"/>
        <v>0</v>
      </c>
      <c r="T179" s="68"/>
      <c r="U179" s="23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6"/>
      <c r="B180" s="377" t="s">
        <v>143</v>
      </c>
      <c r="C180" s="377" t="s">
        <v>39</v>
      </c>
      <c r="D180" s="377" t="s">
        <v>327</v>
      </c>
      <c r="E180" s="377" t="s">
        <v>145</v>
      </c>
      <c r="F180" s="232" t="s">
        <v>215</v>
      </c>
      <c r="G180" s="95" t="s">
        <v>24</v>
      </c>
      <c r="H180" s="281">
        <v>4</v>
      </c>
      <c r="I180" s="266">
        <v>4</v>
      </c>
      <c r="J180" s="266">
        <v>5</v>
      </c>
      <c r="K180" s="79">
        <v>14046.02</v>
      </c>
      <c r="L180" s="268">
        <v>3</v>
      </c>
      <c r="M180" s="81">
        <f t="shared" si="13"/>
        <v>3521.24</v>
      </c>
      <c r="N180" s="79">
        <v>3521.24</v>
      </c>
      <c r="O180" s="219"/>
      <c r="P180" s="267">
        <v>16</v>
      </c>
      <c r="Q180" s="79">
        <v>44811.49</v>
      </c>
      <c r="R180" s="268">
        <v>15</v>
      </c>
      <c r="S180" s="81">
        <f t="shared" si="14"/>
        <v>43575.18</v>
      </c>
      <c r="T180" s="79">
        <v>43575.18</v>
      </c>
      <c r="U180" s="269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233" t="s">
        <v>244</v>
      </c>
      <c r="G181" s="227" t="s">
        <v>28</v>
      </c>
      <c r="H181" s="133">
        <v>9</v>
      </c>
      <c r="I181" s="130">
        <v>4</v>
      </c>
      <c r="J181" s="130">
        <v>4</v>
      </c>
      <c r="K181" s="114">
        <v>14993.72</v>
      </c>
      <c r="L181" s="316">
        <v>4</v>
      </c>
      <c r="M181" s="50">
        <f t="shared" si="13"/>
        <v>14165.32</v>
      </c>
      <c r="N181" s="43">
        <f>2497.3+1152.6+5920.02+4595.4</f>
        <v>14165.32</v>
      </c>
      <c r="O181" s="41"/>
      <c r="P181" s="113">
        <v>2</v>
      </c>
      <c r="Q181" s="114">
        <v>7924</v>
      </c>
      <c r="R181" s="270">
        <v>3</v>
      </c>
      <c r="S181" s="43">
        <f t="shared" si="14"/>
        <v>8500.2999999999993</v>
      </c>
      <c r="T181" s="114">
        <f>576.3+5426.7+2497.3</f>
        <v>8500.2999999999993</v>
      </c>
      <c r="U181" s="4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146</v>
      </c>
      <c r="C182" s="374" t="s">
        <v>39</v>
      </c>
      <c r="D182" s="374" t="s">
        <v>328</v>
      </c>
      <c r="E182" s="374" t="s">
        <v>27</v>
      </c>
      <c r="F182" s="204" t="s">
        <v>329</v>
      </c>
      <c r="G182" s="176" t="s">
        <v>24</v>
      </c>
      <c r="H182" s="48">
        <v>10</v>
      </c>
      <c r="I182" s="62">
        <v>6</v>
      </c>
      <c r="J182" s="62">
        <v>6</v>
      </c>
      <c r="K182" s="30">
        <v>22780.46</v>
      </c>
      <c r="L182" s="205">
        <v>6</v>
      </c>
      <c r="M182" s="26">
        <f t="shared" si="13"/>
        <v>22780.46</v>
      </c>
      <c r="N182" s="30">
        <v>22780.46</v>
      </c>
      <c r="O182" s="225"/>
      <c r="P182" s="53">
        <v>11</v>
      </c>
      <c r="Q182" s="30">
        <v>34917.42</v>
      </c>
      <c r="R182" s="205">
        <v>11</v>
      </c>
      <c r="S182" s="26">
        <f t="shared" si="14"/>
        <v>34917.42</v>
      </c>
      <c r="T182" s="30">
        <v>34917.42</v>
      </c>
      <c r="U182" s="225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220" t="s">
        <v>330</v>
      </c>
      <c r="G183" s="229" t="s">
        <v>28</v>
      </c>
      <c r="H183" s="153">
        <v>4</v>
      </c>
      <c r="I183" s="57"/>
      <c r="J183" s="57"/>
      <c r="K183" s="43"/>
      <c r="L183" s="44"/>
      <c r="M183" s="43">
        <f t="shared" si="13"/>
        <v>0</v>
      </c>
      <c r="N183" s="43"/>
      <c r="O183" s="41"/>
      <c r="P183" s="115">
        <v>7</v>
      </c>
      <c r="Q183" s="68">
        <v>28978.07</v>
      </c>
      <c r="R183" s="285">
        <v>7</v>
      </c>
      <c r="S183" s="39">
        <f t="shared" si="14"/>
        <v>28978.07</v>
      </c>
      <c r="T183" s="68">
        <f>576.3+15944.3+1479.17+1344.7+8228.7+1404.9</f>
        <v>28978.07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148</v>
      </c>
      <c r="C184" s="374" t="s">
        <v>39</v>
      </c>
      <c r="D184" s="374" t="s">
        <v>149</v>
      </c>
      <c r="E184" s="374" t="s">
        <v>27</v>
      </c>
      <c r="F184" s="204" t="s">
        <v>218</v>
      </c>
      <c r="G184" s="176" t="s">
        <v>24</v>
      </c>
      <c r="H184" s="48">
        <v>19</v>
      </c>
      <c r="I184" s="62">
        <v>19</v>
      </c>
      <c r="J184" s="204">
        <v>24</v>
      </c>
      <c r="K184" s="30">
        <v>41117.31</v>
      </c>
      <c r="L184" s="205">
        <v>21</v>
      </c>
      <c r="M184" s="26">
        <f t="shared" si="13"/>
        <v>38411.870000000003</v>
      </c>
      <c r="N184" s="30">
        <v>38411.870000000003</v>
      </c>
      <c r="O184" s="225"/>
      <c r="P184" s="108">
        <v>22</v>
      </c>
      <c r="Q184" s="65">
        <v>79924.350000000006</v>
      </c>
      <c r="R184" s="224">
        <v>22</v>
      </c>
      <c r="S184" s="50">
        <f t="shared" si="14"/>
        <v>79924.350000000006</v>
      </c>
      <c r="T184" s="65">
        <v>79924.350000000006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229" t="s">
        <v>28</v>
      </c>
      <c r="H185" s="292">
        <v>2</v>
      </c>
      <c r="I185" s="208">
        <v>1</v>
      </c>
      <c r="J185" s="208">
        <v>1</v>
      </c>
      <c r="K185" s="209">
        <v>3010.5</v>
      </c>
      <c r="L185" s="290">
        <v>1</v>
      </c>
      <c r="M185" s="211">
        <f t="shared" si="13"/>
        <v>3010.5</v>
      </c>
      <c r="N185" s="211">
        <f>3010.5</f>
        <v>3010.5</v>
      </c>
      <c r="O185" s="212"/>
      <c r="P185" s="262">
        <v>1</v>
      </c>
      <c r="Q185" s="209">
        <v>576.29999999999995</v>
      </c>
      <c r="R185" s="290">
        <v>3</v>
      </c>
      <c r="S185" s="211">
        <f t="shared" si="14"/>
        <v>3902.2000000000003</v>
      </c>
      <c r="T185" s="209">
        <f>1921+576.3+1404.9</f>
        <v>3902.2000000000003</v>
      </c>
      <c r="U185" s="21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373</v>
      </c>
      <c r="C186" s="374" t="s">
        <v>22</v>
      </c>
      <c r="D186" s="374"/>
      <c r="E186" s="374" t="s">
        <v>27</v>
      </c>
      <c r="F186" s="232" t="s">
        <v>417</v>
      </c>
      <c r="G186" s="213" t="s">
        <v>24</v>
      </c>
      <c r="H186" s="61">
        <v>1</v>
      </c>
      <c r="I186" s="62">
        <v>1</v>
      </c>
      <c r="J186" s="62">
        <v>1</v>
      </c>
      <c r="K186" s="326">
        <v>662.31</v>
      </c>
      <c r="L186" s="327">
        <v>1</v>
      </c>
      <c r="M186" s="162">
        <f t="shared" si="13"/>
        <v>662.31</v>
      </c>
      <c r="N186" s="326">
        <v>662.31</v>
      </c>
      <c r="O186" s="28"/>
      <c r="P186" s="275"/>
      <c r="Q186" s="26"/>
      <c r="R186" s="27"/>
      <c r="S186" s="26">
        <f t="shared" si="14"/>
        <v>0</v>
      </c>
      <c r="T186" s="26"/>
      <c r="U186" s="28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05"/>
      <c r="G187" s="215" t="s">
        <v>28</v>
      </c>
      <c r="H187" s="117">
        <v>4</v>
      </c>
      <c r="I187" s="37">
        <v>1</v>
      </c>
      <c r="J187" s="37">
        <v>1</v>
      </c>
      <c r="K187" s="318">
        <v>1056.22</v>
      </c>
      <c r="L187" s="343">
        <v>1</v>
      </c>
      <c r="M187" s="164">
        <f t="shared" si="13"/>
        <v>1056.55</v>
      </c>
      <c r="N187" s="164">
        <f>1056.55</f>
        <v>1056.55</v>
      </c>
      <c r="O187" s="41"/>
      <c r="P187" s="276"/>
      <c r="Q187" s="39"/>
      <c r="R187" s="40"/>
      <c r="S187" s="39">
        <f t="shared" si="14"/>
        <v>0</v>
      </c>
      <c r="T187" s="39"/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6"/>
      <c r="B188" s="402" t="s">
        <v>150</v>
      </c>
      <c r="C188" s="377" t="s">
        <v>39</v>
      </c>
      <c r="D188" s="377" t="s">
        <v>151</v>
      </c>
      <c r="E188" s="377" t="s">
        <v>152</v>
      </c>
      <c r="F188" s="72"/>
      <c r="G188" s="95" t="s">
        <v>24</v>
      </c>
      <c r="H188" s="74"/>
      <c r="I188" s="96"/>
      <c r="J188" s="96"/>
      <c r="K188" s="293"/>
      <c r="L188" s="294"/>
      <c r="M188" s="293">
        <f t="shared" si="13"/>
        <v>0</v>
      </c>
      <c r="N188" s="293"/>
      <c r="O188" s="82"/>
      <c r="P188" s="295"/>
      <c r="Q188" s="81"/>
      <c r="R188" s="80"/>
      <c r="S188" s="81">
        <f t="shared" si="14"/>
        <v>0</v>
      </c>
      <c r="T188" s="81"/>
      <c r="U188" s="8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89"/>
      <c r="C189" s="375"/>
      <c r="D189" s="375"/>
      <c r="E189" s="375"/>
      <c r="F189" s="220" t="s">
        <v>331</v>
      </c>
      <c r="G189" s="35" t="s">
        <v>25</v>
      </c>
      <c r="H189" s="106"/>
      <c r="I189" s="38"/>
      <c r="J189" s="38"/>
      <c r="K189" s="164"/>
      <c r="L189" s="165"/>
      <c r="M189" s="164">
        <f t="shared" si="13"/>
        <v>0</v>
      </c>
      <c r="N189" s="164"/>
      <c r="O189" s="41"/>
      <c r="P189" s="67">
        <v>4</v>
      </c>
      <c r="Q189" s="68">
        <v>19199.810000000001</v>
      </c>
      <c r="R189" s="285">
        <v>4</v>
      </c>
      <c r="S189" s="68">
        <v>19199.810000000001</v>
      </c>
      <c r="T189" s="68">
        <v>19199.810000000001</v>
      </c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153</v>
      </c>
      <c r="C190" s="374" t="s">
        <v>39</v>
      </c>
      <c r="D190" s="381" t="s">
        <v>332</v>
      </c>
      <c r="E190" s="381" t="s">
        <v>27</v>
      </c>
      <c r="F190" s="223" t="s">
        <v>333</v>
      </c>
      <c r="G190" s="47" t="s">
        <v>24</v>
      </c>
      <c r="H190" s="48">
        <v>21</v>
      </c>
      <c r="I190" s="203">
        <v>20</v>
      </c>
      <c r="J190" s="203">
        <v>25</v>
      </c>
      <c r="K190" s="242">
        <v>50699.519999999997</v>
      </c>
      <c r="L190" s="320">
        <v>25</v>
      </c>
      <c r="M190" s="166">
        <f t="shared" si="13"/>
        <v>50699.519999999997</v>
      </c>
      <c r="N190" s="242">
        <v>50699.519999999997</v>
      </c>
      <c r="O190" s="225"/>
      <c r="P190" s="108">
        <v>7</v>
      </c>
      <c r="Q190" s="65">
        <v>41813.410000000003</v>
      </c>
      <c r="R190" s="224">
        <v>7</v>
      </c>
      <c r="S190" s="50">
        <f t="shared" ref="S190:S209" si="15">T190+U190</f>
        <v>41813.410000000003</v>
      </c>
      <c r="T190" s="65">
        <v>41813.410000000003</v>
      </c>
      <c r="U190" s="225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75"/>
      <c r="D191" s="380"/>
      <c r="E191" s="380"/>
      <c r="F191" s="34"/>
      <c r="G191" s="35" t="s">
        <v>28</v>
      </c>
      <c r="H191" s="153">
        <v>2</v>
      </c>
      <c r="I191" s="130">
        <v>1</v>
      </c>
      <c r="J191" s="130">
        <v>1</v>
      </c>
      <c r="K191" s="114">
        <v>1152.5999999999999</v>
      </c>
      <c r="L191" s="270">
        <v>1</v>
      </c>
      <c r="M191" s="43">
        <f t="shared" si="13"/>
        <v>1152.5999999999999</v>
      </c>
      <c r="N191" s="43">
        <f>1152.6</f>
        <v>1152.5999999999999</v>
      </c>
      <c r="O191" s="41"/>
      <c r="P191" s="113">
        <v>3</v>
      </c>
      <c r="Q191" s="114">
        <v>19714.599999999999</v>
      </c>
      <c r="R191" s="270">
        <v>4</v>
      </c>
      <c r="S191" s="43">
        <f t="shared" si="15"/>
        <v>21635.599999999999</v>
      </c>
      <c r="T191" s="114">
        <f>1921+11718.1+5186.7+2809.8</f>
        <v>21635.599999999999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155</v>
      </c>
      <c r="C192" s="374" t="s">
        <v>22</v>
      </c>
      <c r="D192" s="374"/>
      <c r="E192" s="374" t="s">
        <v>37</v>
      </c>
      <c r="F192" s="223" t="s">
        <v>245</v>
      </c>
      <c r="G192" s="23" t="s">
        <v>24</v>
      </c>
      <c r="H192" s="48">
        <v>5</v>
      </c>
      <c r="I192" s="62">
        <v>4</v>
      </c>
      <c r="J192" s="62">
        <v>4</v>
      </c>
      <c r="K192" s="30">
        <v>5891.75</v>
      </c>
      <c r="L192" s="205">
        <v>4</v>
      </c>
      <c r="M192" s="26">
        <f t="shared" si="13"/>
        <v>5891.75</v>
      </c>
      <c r="N192" s="30">
        <v>5891.75</v>
      </c>
      <c r="O192" s="31"/>
      <c r="P192" s="53">
        <v>8</v>
      </c>
      <c r="Q192" s="30">
        <v>19951.68</v>
      </c>
      <c r="R192" s="205">
        <v>7</v>
      </c>
      <c r="S192" s="26">
        <f t="shared" si="15"/>
        <v>16748.509999999998</v>
      </c>
      <c r="T192" s="30">
        <v>16748.509999999998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13"/>
        <v>0</v>
      </c>
      <c r="N193" s="39"/>
      <c r="O193" s="41"/>
      <c r="P193" s="59"/>
      <c r="Q193" s="39"/>
      <c r="R193" s="40"/>
      <c r="S193" s="39">
        <f t="shared" si="15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156</v>
      </c>
      <c r="C194" s="381" t="s">
        <v>46</v>
      </c>
      <c r="D194" s="385" t="s">
        <v>418</v>
      </c>
      <c r="E194" s="381" t="s">
        <v>27</v>
      </c>
      <c r="F194" s="223" t="s">
        <v>419</v>
      </c>
      <c r="G194" s="23" t="s">
        <v>24</v>
      </c>
      <c r="H194" s="98"/>
      <c r="I194" s="49"/>
      <c r="J194" s="49"/>
      <c r="K194" s="50"/>
      <c r="L194" s="51"/>
      <c r="M194" s="50">
        <f t="shared" si="13"/>
        <v>0</v>
      </c>
      <c r="N194" s="50"/>
      <c r="O194" s="31"/>
      <c r="P194" s="108">
        <v>2</v>
      </c>
      <c r="Q194" s="65">
        <v>14241.9</v>
      </c>
      <c r="R194" s="224">
        <v>2</v>
      </c>
      <c r="S194" s="50">
        <f t="shared" si="15"/>
        <v>14241.9</v>
      </c>
      <c r="T194" s="65">
        <v>14241.9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54"/>
      <c r="G195" s="55" t="s">
        <v>28</v>
      </c>
      <c r="H195" s="118"/>
      <c r="I195" s="57"/>
      <c r="J195" s="57"/>
      <c r="K195" s="43"/>
      <c r="L195" s="44"/>
      <c r="M195" s="43">
        <f t="shared" si="13"/>
        <v>0</v>
      </c>
      <c r="N195" s="43"/>
      <c r="O195" s="41"/>
      <c r="P195" s="113">
        <v>1</v>
      </c>
      <c r="Q195" s="114">
        <v>0</v>
      </c>
      <c r="R195" s="44"/>
      <c r="S195" s="43">
        <f t="shared" si="15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157</v>
      </c>
      <c r="C196" s="390"/>
      <c r="D196" s="374"/>
      <c r="E196" s="374"/>
      <c r="F196" s="22"/>
      <c r="G196" s="23" t="s">
        <v>24</v>
      </c>
      <c r="H196" s="104"/>
      <c r="I196" s="25"/>
      <c r="J196" s="25"/>
      <c r="K196" s="26"/>
      <c r="L196" s="27"/>
      <c r="M196" s="26">
        <f t="shared" si="13"/>
        <v>0</v>
      </c>
      <c r="N196" s="26"/>
      <c r="O196" s="31"/>
      <c r="P196" s="120"/>
      <c r="Q196" s="26"/>
      <c r="R196" s="27"/>
      <c r="S196" s="26">
        <f t="shared" si="15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34"/>
      <c r="G197" s="35" t="s">
        <v>28</v>
      </c>
      <c r="H197" s="106"/>
      <c r="I197" s="38"/>
      <c r="J197" s="38"/>
      <c r="K197" s="39"/>
      <c r="L197" s="40"/>
      <c r="M197" s="39">
        <f t="shared" si="13"/>
        <v>0</v>
      </c>
      <c r="N197" s="39"/>
      <c r="O197" s="41"/>
      <c r="P197" s="69"/>
      <c r="Q197" s="39"/>
      <c r="R197" s="40"/>
      <c r="S197" s="39">
        <f t="shared" si="15"/>
        <v>0</v>
      </c>
      <c r="T197" s="39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158</v>
      </c>
      <c r="C198" s="374" t="s">
        <v>39</v>
      </c>
      <c r="D198" s="374" t="s">
        <v>288</v>
      </c>
      <c r="E198" s="374" t="s">
        <v>27</v>
      </c>
      <c r="F198" s="204" t="s">
        <v>289</v>
      </c>
      <c r="G198" s="176" t="s">
        <v>24</v>
      </c>
      <c r="H198" s="48">
        <v>11</v>
      </c>
      <c r="I198" s="203">
        <v>9</v>
      </c>
      <c r="J198" s="203">
        <v>10</v>
      </c>
      <c r="K198" s="65">
        <v>26045.17</v>
      </c>
      <c r="L198" s="224">
        <v>10</v>
      </c>
      <c r="M198" s="50">
        <f t="shared" si="13"/>
        <v>26045.17</v>
      </c>
      <c r="N198" s="65">
        <v>26045.17</v>
      </c>
      <c r="O198" s="225"/>
      <c r="P198" s="108">
        <v>10</v>
      </c>
      <c r="Q198" s="65">
        <v>22956.16</v>
      </c>
      <c r="R198" s="224">
        <v>10</v>
      </c>
      <c r="S198" s="50">
        <f t="shared" si="15"/>
        <v>22956.16</v>
      </c>
      <c r="T198" s="65">
        <v>22956.16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0" t="s">
        <v>334</v>
      </c>
      <c r="G199" s="229" t="s">
        <v>28</v>
      </c>
      <c r="H199" s="117">
        <v>5</v>
      </c>
      <c r="I199" s="37">
        <v>4</v>
      </c>
      <c r="J199" s="37">
        <v>4</v>
      </c>
      <c r="K199" s="68">
        <v>5874.79</v>
      </c>
      <c r="L199" s="285">
        <v>3</v>
      </c>
      <c r="M199" s="39">
        <f t="shared" si="13"/>
        <v>4329.3999999999996</v>
      </c>
      <c r="N199" s="39">
        <f>1921+1204.2+1204.2</f>
        <v>4329.3999999999996</v>
      </c>
      <c r="O199" s="41"/>
      <c r="P199" s="59"/>
      <c r="Q199" s="39"/>
      <c r="R199" s="40"/>
      <c r="S199" s="39">
        <f t="shared" si="15"/>
        <v>1152.5999999999999</v>
      </c>
      <c r="T199" s="68">
        <v>1152.5999999999999</v>
      </c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6"/>
      <c r="B200" s="377" t="s">
        <v>159</v>
      </c>
      <c r="C200" s="377" t="s">
        <v>22</v>
      </c>
      <c r="D200" s="377"/>
      <c r="E200" s="377" t="s">
        <v>160</v>
      </c>
      <c r="F200" s="232" t="s">
        <v>246</v>
      </c>
      <c r="G200" s="95" t="s">
        <v>24</v>
      </c>
      <c r="H200" s="48">
        <v>20</v>
      </c>
      <c r="I200" s="203">
        <v>18</v>
      </c>
      <c r="J200" s="203">
        <v>27</v>
      </c>
      <c r="K200" s="65">
        <v>50695.82</v>
      </c>
      <c r="L200" s="224">
        <v>27</v>
      </c>
      <c r="M200" s="50">
        <f t="shared" si="13"/>
        <v>50695.82</v>
      </c>
      <c r="N200" s="65">
        <v>50695.82</v>
      </c>
      <c r="O200" s="225"/>
      <c r="P200" s="108">
        <v>26</v>
      </c>
      <c r="Q200" s="65">
        <v>42356.26</v>
      </c>
      <c r="R200" s="224">
        <v>26</v>
      </c>
      <c r="S200" s="50">
        <f t="shared" si="15"/>
        <v>42356.26</v>
      </c>
      <c r="T200" s="65">
        <v>42356.26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54"/>
      <c r="G201" s="55" t="s">
        <v>28</v>
      </c>
      <c r="H201" s="112">
        <v>6</v>
      </c>
      <c r="I201" s="130">
        <v>2</v>
      </c>
      <c r="J201" s="130">
        <v>2</v>
      </c>
      <c r="K201" s="114">
        <v>2401.25</v>
      </c>
      <c r="L201" s="316">
        <v>2</v>
      </c>
      <c r="M201" s="50">
        <f t="shared" si="13"/>
        <v>2401.25</v>
      </c>
      <c r="N201" s="43">
        <f>1056.55+1344.7</f>
        <v>2401.25</v>
      </c>
      <c r="O201" s="41"/>
      <c r="P201" s="113">
        <v>3</v>
      </c>
      <c r="Q201" s="114">
        <v>5551.69</v>
      </c>
      <c r="R201" s="270">
        <v>3</v>
      </c>
      <c r="S201" s="43">
        <f t="shared" si="15"/>
        <v>5551.69</v>
      </c>
      <c r="T201" s="43">
        <f>5551.69</f>
        <v>5551.69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161</v>
      </c>
      <c r="C202" s="377" t="s">
        <v>22</v>
      </c>
      <c r="D202" s="374"/>
      <c r="E202" s="374" t="s">
        <v>450</v>
      </c>
      <c r="F202" s="204" t="s">
        <v>451</v>
      </c>
      <c r="G202" s="23" t="s">
        <v>24</v>
      </c>
      <c r="H202" s="24">
        <v>12</v>
      </c>
      <c r="I202" s="62">
        <v>1</v>
      </c>
      <c r="J202" s="62">
        <v>2</v>
      </c>
      <c r="K202" s="30">
        <v>3016.65</v>
      </c>
      <c r="L202" s="205">
        <v>2</v>
      </c>
      <c r="M202" s="26">
        <f t="shared" si="13"/>
        <v>3016.65</v>
      </c>
      <c r="N202" s="30">
        <v>3016.65</v>
      </c>
      <c r="O202" s="31"/>
      <c r="P202" s="53">
        <v>11</v>
      </c>
      <c r="Q202" s="30">
        <v>35207.21</v>
      </c>
      <c r="R202" s="205">
        <v>11</v>
      </c>
      <c r="S202" s="26">
        <f t="shared" si="15"/>
        <v>35207.21</v>
      </c>
      <c r="T202" s="30">
        <v>35207.21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92"/>
      <c r="F203" s="34"/>
      <c r="G203" s="35" t="s">
        <v>28</v>
      </c>
      <c r="H203" s="66">
        <v>4</v>
      </c>
      <c r="I203" s="38"/>
      <c r="J203" s="38"/>
      <c r="K203" s="39"/>
      <c r="L203" s="40"/>
      <c r="M203" s="39">
        <f t="shared" si="13"/>
        <v>0</v>
      </c>
      <c r="N203" s="39"/>
      <c r="O203" s="41"/>
      <c r="P203" s="59"/>
      <c r="Q203" s="39"/>
      <c r="R203" s="40"/>
      <c r="S203" s="39">
        <f t="shared" si="15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82"/>
      <c r="B204" s="381" t="s">
        <v>162</v>
      </c>
      <c r="C204" s="381" t="s">
        <v>39</v>
      </c>
      <c r="D204" s="381" t="s">
        <v>163</v>
      </c>
      <c r="E204" s="374" t="s">
        <v>27</v>
      </c>
      <c r="F204" s="135"/>
      <c r="G204" s="47" t="s">
        <v>24</v>
      </c>
      <c r="H204" s="98"/>
      <c r="I204" s="49"/>
      <c r="J204" s="49"/>
      <c r="K204" s="50"/>
      <c r="L204" s="51"/>
      <c r="M204" s="50">
        <f t="shared" si="13"/>
        <v>0</v>
      </c>
      <c r="N204" s="50"/>
      <c r="O204" s="31"/>
      <c r="P204" s="123"/>
      <c r="Q204" s="50"/>
      <c r="R204" s="51"/>
      <c r="S204" s="50">
        <f t="shared" si="15"/>
        <v>0</v>
      </c>
      <c r="T204" s="50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87"/>
      <c r="B205" s="386"/>
      <c r="C205" s="386"/>
      <c r="D205" s="386"/>
      <c r="E205" s="386"/>
      <c r="F205" s="54"/>
      <c r="G205" s="47" t="s">
        <v>25</v>
      </c>
      <c r="H205" s="98"/>
      <c r="I205" s="49"/>
      <c r="J205" s="49"/>
      <c r="K205" s="50"/>
      <c r="L205" s="51"/>
      <c r="M205" s="50">
        <f t="shared" si="13"/>
        <v>0</v>
      </c>
      <c r="N205" s="50"/>
      <c r="O205" s="45"/>
      <c r="P205" s="123"/>
      <c r="Q205" s="50"/>
      <c r="R205" s="51"/>
      <c r="S205" s="50">
        <f t="shared" si="15"/>
        <v>0</v>
      </c>
      <c r="T205" s="50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9"/>
      <c r="B206" s="380"/>
      <c r="C206" s="380"/>
      <c r="D206" s="380"/>
      <c r="E206" s="380"/>
      <c r="F206" s="54"/>
      <c r="G206" s="55" t="s">
        <v>28</v>
      </c>
      <c r="H206" s="116"/>
      <c r="I206" s="57"/>
      <c r="J206" s="57"/>
      <c r="K206" s="43"/>
      <c r="L206" s="44"/>
      <c r="M206" s="43">
        <f t="shared" si="13"/>
        <v>0</v>
      </c>
      <c r="N206" s="43"/>
      <c r="O206" s="41"/>
      <c r="P206" s="113">
        <v>1</v>
      </c>
      <c r="Q206" s="114">
        <v>4602.5</v>
      </c>
      <c r="R206" s="270">
        <v>1</v>
      </c>
      <c r="S206" s="43">
        <f t="shared" si="15"/>
        <v>4602.5</v>
      </c>
      <c r="T206" s="114">
        <v>4602.5</v>
      </c>
      <c r="U206" s="23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2"/>
      <c r="B207" s="374" t="s">
        <v>164</v>
      </c>
      <c r="C207" s="374" t="s">
        <v>22</v>
      </c>
      <c r="D207" s="374"/>
      <c r="E207" s="374" t="s">
        <v>27</v>
      </c>
      <c r="F207" s="22"/>
      <c r="G207" s="23" t="s">
        <v>24</v>
      </c>
      <c r="H207" s="98"/>
      <c r="I207" s="25"/>
      <c r="J207" s="25"/>
      <c r="K207" s="26"/>
      <c r="L207" s="27"/>
      <c r="M207" s="26">
        <f t="shared" si="13"/>
        <v>0</v>
      </c>
      <c r="N207" s="26"/>
      <c r="O207" s="31"/>
      <c r="P207" s="99"/>
      <c r="Q207" s="26"/>
      <c r="R207" s="27"/>
      <c r="S207" s="26">
        <f t="shared" si="15"/>
        <v>0</v>
      </c>
      <c r="T207" s="26"/>
      <c r="U207" s="3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3"/>
      <c r="B208" s="375"/>
      <c r="C208" s="375"/>
      <c r="D208" s="375"/>
      <c r="E208" s="375"/>
      <c r="F208" s="221" t="s">
        <v>335</v>
      </c>
      <c r="G208" s="55" t="s">
        <v>28</v>
      </c>
      <c r="H208" s="56">
        <v>4</v>
      </c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4</v>
      </c>
      <c r="Q208" s="114">
        <v>7395.85</v>
      </c>
      <c r="R208" s="270">
        <v>5</v>
      </c>
      <c r="S208" s="43">
        <f t="shared" si="15"/>
        <v>8452.4000000000015</v>
      </c>
      <c r="T208" s="114">
        <f>4034.1+1921+2497.3</f>
        <v>8452.4000000000015</v>
      </c>
      <c r="U208" s="4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165</v>
      </c>
      <c r="C209" s="374"/>
      <c r="D209" s="374"/>
      <c r="E209" s="374"/>
      <c r="F209" s="22"/>
      <c r="G209" s="23" t="s">
        <v>24</v>
      </c>
      <c r="H209" s="119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5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34"/>
      <c r="G210" s="35" t="s">
        <v>25</v>
      </c>
      <c r="H210" s="66">
        <v>2</v>
      </c>
      <c r="I210" s="38"/>
      <c r="J210" s="38"/>
      <c r="K210" s="39"/>
      <c r="L210" s="40"/>
      <c r="M210" s="39">
        <f t="shared" si="13"/>
        <v>0</v>
      </c>
      <c r="N210" s="39"/>
      <c r="O210" s="41"/>
      <c r="P210" s="115">
        <v>2</v>
      </c>
      <c r="Q210" s="68">
        <v>288.14999999999998</v>
      </c>
      <c r="R210" s="285">
        <v>1</v>
      </c>
      <c r="S210" s="68">
        <v>288.14999999999998</v>
      </c>
      <c r="T210" s="68">
        <v>288.14999999999998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6"/>
      <c r="B211" s="377" t="s">
        <v>454</v>
      </c>
      <c r="C211" s="377" t="s">
        <v>39</v>
      </c>
      <c r="D211" s="405" t="s">
        <v>455</v>
      </c>
      <c r="E211" s="381" t="s">
        <v>27</v>
      </c>
      <c r="F211" s="204" t="s">
        <v>467</v>
      </c>
      <c r="G211" s="23" t="s">
        <v>24</v>
      </c>
      <c r="H211" s="328"/>
      <c r="I211" s="71"/>
      <c r="J211" s="71"/>
      <c r="K211" s="93"/>
      <c r="L211" s="92"/>
      <c r="M211" s="26">
        <f t="shared" si="13"/>
        <v>0</v>
      </c>
      <c r="N211" s="93"/>
      <c r="O211" s="94"/>
      <c r="P211" s="329"/>
      <c r="Q211" s="91"/>
      <c r="R211" s="330"/>
      <c r="S211" s="26">
        <f t="shared" ref="S211:S227" si="16">T211+U211</f>
        <v>0</v>
      </c>
      <c r="T211" s="79"/>
      <c r="U211" s="336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406"/>
      <c r="E212" s="375"/>
      <c r="F212" s="220"/>
      <c r="G212" s="345" t="s">
        <v>28</v>
      </c>
      <c r="H212" s="346">
        <v>6</v>
      </c>
      <c r="I212" s="38"/>
      <c r="J212" s="38"/>
      <c r="K212" s="39"/>
      <c r="L212" s="40"/>
      <c r="M212" s="87">
        <f t="shared" si="13"/>
        <v>0</v>
      </c>
      <c r="N212" s="39"/>
      <c r="O212" s="41"/>
      <c r="P212" s="217"/>
      <c r="Q212" s="68"/>
      <c r="R212" s="285"/>
      <c r="S212" s="87">
        <f t="shared" si="16"/>
        <v>0</v>
      </c>
      <c r="T212" s="339"/>
      <c r="U212" s="34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82"/>
      <c r="B213" s="381" t="s">
        <v>166</v>
      </c>
      <c r="C213" s="381" t="s">
        <v>22</v>
      </c>
      <c r="D213" s="377"/>
      <c r="E213" s="381" t="s">
        <v>27</v>
      </c>
      <c r="F213" s="232" t="s">
        <v>420</v>
      </c>
      <c r="G213" s="347" t="s">
        <v>24</v>
      </c>
      <c r="H213" s="348">
        <v>1</v>
      </c>
      <c r="I213" s="96"/>
      <c r="J213" s="96"/>
      <c r="K213" s="81"/>
      <c r="L213" s="80"/>
      <c r="M213" s="81">
        <f t="shared" si="13"/>
        <v>0</v>
      </c>
      <c r="N213" s="81"/>
      <c r="O213" s="82"/>
      <c r="P213" s="78">
        <v>4</v>
      </c>
      <c r="Q213" s="79">
        <v>17868.150000000001</v>
      </c>
      <c r="R213" s="268">
        <v>4</v>
      </c>
      <c r="S213" s="81">
        <f t="shared" si="16"/>
        <v>17868.150000000001</v>
      </c>
      <c r="T213" s="79">
        <v>17868.150000000001</v>
      </c>
      <c r="U213" s="269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6"/>
      <c r="G214" s="227" t="s">
        <v>28</v>
      </c>
      <c r="H214" s="334"/>
      <c r="I214" s="57"/>
      <c r="J214" s="57"/>
      <c r="K214" s="43"/>
      <c r="L214" s="44"/>
      <c r="M214" s="43">
        <f t="shared" si="13"/>
        <v>0</v>
      </c>
      <c r="N214" s="43"/>
      <c r="O214" s="45"/>
      <c r="P214" s="273"/>
      <c r="Q214" s="211"/>
      <c r="R214" s="210"/>
      <c r="S214" s="211">
        <f t="shared" si="16"/>
        <v>0</v>
      </c>
      <c r="T214" s="211"/>
      <c r="U214" s="21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2"/>
      <c r="B215" s="374" t="s">
        <v>167</v>
      </c>
      <c r="C215" s="374" t="s">
        <v>46</v>
      </c>
      <c r="D215" s="374" t="s">
        <v>168</v>
      </c>
      <c r="E215" s="374" t="s">
        <v>27</v>
      </c>
      <c r="F215" s="204" t="s">
        <v>421</v>
      </c>
      <c r="G215" s="176" t="s">
        <v>24</v>
      </c>
      <c r="H215" s="248">
        <v>4</v>
      </c>
      <c r="I215" s="62">
        <v>3</v>
      </c>
      <c r="J215" s="62">
        <v>3</v>
      </c>
      <c r="K215" s="30">
        <v>2022.81</v>
      </c>
      <c r="L215" s="205">
        <v>3</v>
      </c>
      <c r="M215" s="26">
        <f t="shared" si="13"/>
        <v>2022.81</v>
      </c>
      <c r="N215" s="30">
        <v>2022.81</v>
      </c>
      <c r="O215" s="308"/>
      <c r="P215" s="99"/>
      <c r="Q215" s="26"/>
      <c r="R215" s="27"/>
      <c r="S215" s="26">
        <f t="shared" si="16"/>
        <v>0</v>
      </c>
      <c r="T215" s="26"/>
      <c r="U215" s="28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0" t="s">
        <v>247</v>
      </c>
      <c r="G216" s="229" t="s">
        <v>28</v>
      </c>
      <c r="H216" s="258">
        <v>7</v>
      </c>
      <c r="I216" s="37">
        <v>5</v>
      </c>
      <c r="J216" s="37">
        <v>5</v>
      </c>
      <c r="K216" s="68">
        <v>10794.85</v>
      </c>
      <c r="L216" s="285">
        <v>5</v>
      </c>
      <c r="M216" s="39">
        <f t="shared" si="13"/>
        <v>19304.88</v>
      </c>
      <c r="N216" s="39">
        <f>1985.09+7101.24+2689.4+4418.3+1705.95+1404.9</f>
        <v>19304.88</v>
      </c>
      <c r="O216" s="309"/>
      <c r="P216" s="310">
        <v>6</v>
      </c>
      <c r="Q216" s="245">
        <v>28151.200000000001</v>
      </c>
      <c r="R216" s="285">
        <v>6</v>
      </c>
      <c r="S216" s="39">
        <f t="shared" si="16"/>
        <v>19124.87</v>
      </c>
      <c r="T216" s="68">
        <f>4034.1+1152.6+2881.5+2497.3+1921+6638.37</f>
        <v>19124.87</v>
      </c>
      <c r="U216" s="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6"/>
      <c r="B217" s="377" t="s">
        <v>169</v>
      </c>
      <c r="C217" s="377" t="s">
        <v>39</v>
      </c>
      <c r="D217" s="377"/>
      <c r="E217" s="377" t="s">
        <v>27</v>
      </c>
      <c r="F217" s="72"/>
      <c r="G217" s="291" t="s">
        <v>24</v>
      </c>
      <c r="H217" s="98"/>
      <c r="I217" s="49"/>
      <c r="J217" s="49"/>
      <c r="K217" s="50"/>
      <c r="L217" s="51"/>
      <c r="M217" s="50">
        <f t="shared" si="13"/>
        <v>0</v>
      </c>
      <c r="N217" s="50"/>
      <c r="O217" s="31"/>
      <c r="P217" s="277"/>
      <c r="Q217" s="81"/>
      <c r="R217" s="80"/>
      <c r="S217" s="81">
        <f t="shared" si="16"/>
        <v>0</v>
      </c>
      <c r="T217" s="81"/>
      <c r="U217" s="219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336</v>
      </c>
      <c r="G218" s="229" t="s">
        <v>28</v>
      </c>
      <c r="H218" s="153">
        <v>3</v>
      </c>
      <c r="I218" s="57"/>
      <c r="J218" s="57"/>
      <c r="K218" s="43"/>
      <c r="L218" s="44"/>
      <c r="M218" s="43">
        <f t="shared" si="13"/>
        <v>0</v>
      </c>
      <c r="N218" s="43"/>
      <c r="O218" s="41"/>
      <c r="P218" s="113">
        <v>1</v>
      </c>
      <c r="Q218" s="114">
        <v>3842</v>
      </c>
      <c r="R218" s="316">
        <v>1</v>
      </c>
      <c r="S218" s="50">
        <f t="shared" si="16"/>
        <v>3842</v>
      </c>
      <c r="T218" s="43">
        <f>3842</f>
        <v>3842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2"/>
      <c r="B219" s="374" t="s">
        <v>170</v>
      </c>
      <c r="C219" s="374" t="s">
        <v>22</v>
      </c>
      <c r="D219" s="374"/>
      <c r="E219" s="374" t="s">
        <v>160</v>
      </c>
      <c r="F219" s="232" t="s">
        <v>248</v>
      </c>
      <c r="G219" s="23" t="s">
        <v>24</v>
      </c>
      <c r="H219" s="48">
        <v>21</v>
      </c>
      <c r="I219" s="62">
        <v>15</v>
      </c>
      <c r="J219" s="62">
        <v>22</v>
      </c>
      <c r="K219" s="30">
        <v>49378.13</v>
      </c>
      <c r="L219" s="205">
        <v>22</v>
      </c>
      <c r="M219" s="26">
        <f t="shared" si="13"/>
        <v>49378.13</v>
      </c>
      <c r="N219" s="30">
        <v>49378.13</v>
      </c>
      <c r="O219" s="225"/>
      <c r="P219" s="53">
        <v>21</v>
      </c>
      <c r="Q219" s="30">
        <v>66092.33</v>
      </c>
      <c r="R219" s="205">
        <v>21</v>
      </c>
      <c r="S219" s="26">
        <f t="shared" si="16"/>
        <v>66092.33</v>
      </c>
      <c r="T219" s="30">
        <v>66092.33</v>
      </c>
      <c r="U219" s="225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105"/>
      <c r="G220" s="35" t="s">
        <v>28</v>
      </c>
      <c r="H220" s="116"/>
      <c r="I220" s="38"/>
      <c r="J220" s="38"/>
      <c r="K220" s="39"/>
      <c r="L220" s="40"/>
      <c r="M220" s="39">
        <f t="shared" si="13"/>
        <v>0</v>
      </c>
      <c r="N220" s="39"/>
      <c r="O220" s="41"/>
      <c r="P220" s="59"/>
      <c r="Q220" s="39"/>
      <c r="R220" s="40"/>
      <c r="S220" s="39">
        <f t="shared" si="16"/>
        <v>0</v>
      </c>
      <c r="T220" s="39"/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171</v>
      </c>
      <c r="C221" s="374" t="s">
        <v>39</v>
      </c>
      <c r="D221" s="374" t="s">
        <v>374</v>
      </c>
      <c r="E221" s="374" t="s">
        <v>27</v>
      </c>
      <c r="F221" s="223" t="s">
        <v>375</v>
      </c>
      <c r="G221" s="176" t="s">
        <v>24</v>
      </c>
      <c r="H221" s="48">
        <v>4</v>
      </c>
      <c r="I221" s="203">
        <v>2</v>
      </c>
      <c r="J221" s="203">
        <v>2</v>
      </c>
      <c r="K221" s="65">
        <v>3169.65</v>
      </c>
      <c r="L221" s="224">
        <v>2</v>
      </c>
      <c r="M221" s="50">
        <f t="shared" si="13"/>
        <v>3169.65</v>
      </c>
      <c r="N221" s="65">
        <v>3169.65</v>
      </c>
      <c r="O221" s="31"/>
      <c r="P221" s="108">
        <v>6</v>
      </c>
      <c r="Q221" s="65">
        <v>16741.060000000001</v>
      </c>
      <c r="R221" s="224">
        <v>6</v>
      </c>
      <c r="S221" s="50">
        <f t="shared" si="16"/>
        <v>16741.060000000001</v>
      </c>
      <c r="T221" s="65">
        <v>16741.060000000001</v>
      </c>
      <c r="U221" s="3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337</v>
      </c>
      <c r="G222" s="229" t="s">
        <v>28</v>
      </c>
      <c r="H222" s="133">
        <v>4</v>
      </c>
      <c r="I222" s="37">
        <v>1</v>
      </c>
      <c r="J222" s="37">
        <v>1</v>
      </c>
      <c r="K222" s="68">
        <v>3457.8</v>
      </c>
      <c r="L222" s="350">
        <v>1</v>
      </c>
      <c r="M222" s="351">
        <f t="shared" si="13"/>
        <v>3457.8</v>
      </c>
      <c r="N222" s="39">
        <f>3457.8</f>
        <v>3457.8</v>
      </c>
      <c r="O222" s="41"/>
      <c r="P222" s="115">
        <v>2</v>
      </c>
      <c r="Q222" s="68">
        <v>7299.8</v>
      </c>
      <c r="R222" s="285">
        <v>2</v>
      </c>
      <c r="S222" s="39">
        <f t="shared" si="16"/>
        <v>7299.7999999999993</v>
      </c>
      <c r="T222" s="39">
        <f>3073.6+4226.2</f>
        <v>7299.7999999999993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477</v>
      </c>
      <c r="C223" s="374"/>
      <c r="D223" s="374"/>
      <c r="E223" s="374"/>
      <c r="F223" s="232"/>
      <c r="G223" s="176" t="s">
        <v>24</v>
      </c>
      <c r="H223" s="260"/>
      <c r="I223" s="231"/>
      <c r="J223" s="231"/>
      <c r="K223" s="91"/>
      <c r="L223" s="330"/>
      <c r="M223" s="50">
        <f t="shared" si="13"/>
        <v>0</v>
      </c>
      <c r="N223" s="91"/>
      <c r="O223" s="331"/>
      <c r="P223" s="329"/>
      <c r="Q223" s="91"/>
      <c r="R223" s="330"/>
      <c r="S223" s="142">
        <f t="shared" si="16"/>
        <v>0</v>
      </c>
      <c r="T223" s="91"/>
      <c r="U223" s="3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305"/>
      <c r="G224" s="229" t="s">
        <v>28</v>
      </c>
      <c r="H224" s="117">
        <v>1</v>
      </c>
      <c r="I224" s="208"/>
      <c r="J224" s="208"/>
      <c r="K224" s="209"/>
      <c r="L224" s="290"/>
      <c r="M224" s="87">
        <f t="shared" si="13"/>
        <v>0</v>
      </c>
      <c r="N224" s="209"/>
      <c r="O224" s="234"/>
      <c r="P224" s="262"/>
      <c r="Q224" s="209"/>
      <c r="R224" s="290"/>
      <c r="S224" s="87">
        <f t="shared" si="16"/>
        <v>0</v>
      </c>
      <c r="T224" s="209"/>
      <c r="U224" s="263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172</v>
      </c>
      <c r="C225" s="374" t="s">
        <v>39</v>
      </c>
      <c r="D225" s="374" t="s">
        <v>303</v>
      </c>
      <c r="E225" s="374" t="s">
        <v>121</v>
      </c>
      <c r="F225" s="204" t="s">
        <v>304</v>
      </c>
      <c r="G225" s="176" t="s">
        <v>24</v>
      </c>
      <c r="H225" s="265">
        <v>25</v>
      </c>
      <c r="I225" s="62">
        <v>15</v>
      </c>
      <c r="J225" s="62">
        <v>16</v>
      </c>
      <c r="K225" s="30">
        <v>15584.37</v>
      </c>
      <c r="L225" s="205">
        <v>10</v>
      </c>
      <c r="M225" s="26">
        <f t="shared" si="13"/>
        <v>7339.68</v>
      </c>
      <c r="N225" s="30">
        <v>7339.68</v>
      </c>
      <c r="O225" s="269"/>
      <c r="P225" s="53">
        <v>29</v>
      </c>
      <c r="Q225" s="30">
        <v>78523.929999999993</v>
      </c>
      <c r="R225" s="205">
        <v>26</v>
      </c>
      <c r="S225" s="26">
        <f t="shared" si="16"/>
        <v>73507.41</v>
      </c>
      <c r="T225" s="30">
        <v>73507.41</v>
      </c>
      <c r="U225" s="2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4"/>
      <c r="G226" s="229" t="s">
        <v>25</v>
      </c>
      <c r="H226" s="102"/>
      <c r="I226" s="57"/>
      <c r="J226" s="57"/>
      <c r="K226" s="43"/>
      <c r="L226" s="44"/>
      <c r="M226" s="43">
        <f t="shared" si="13"/>
        <v>0</v>
      </c>
      <c r="N226" s="43"/>
      <c r="O226" s="41"/>
      <c r="P226" s="113">
        <v>1</v>
      </c>
      <c r="Q226" s="114">
        <v>1728.9</v>
      </c>
      <c r="R226" s="270">
        <v>1</v>
      </c>
      <c r="S226" s="43">
        <f t="shared" si="16"/>
        <v>1728.9</v>
      </c>
      <c r="T226" s="114">
        <v>1728.9</v>
      </c>
      <c r="U226" s="23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173</v>
      </c>
      <c r="C227" s="374" t="s">
        <v>39</v>
      </c>
      <c r="D227" s="374" t="s">
        <v>338</v>
      </c>
      <c r="E227" s="374" t="s">
        <v>121</v>
      </c>
      <c r="F227" s="232" t="s">
        <v>376</v>
      </c>
      <c r="G227" s="23" t="s">
        <v>24</v>
      </c>
      <c r="H227" s="61">
        <v>40</v>
      </c>
      <c r="I227" s="62">
        <v>11</v>
      </c>
      <c r="J227" s="62">
        <v>18</v>
      </c>
      <c r="K227" s="30">
        <v>14371.13</v>
      </c>
      <c r="L227" s="27"/>
      <c r="M227" s="26">
        <f t="shared" si="13"/>
        <v>0</v>
      </c>
      <c r="N227" s="26"/>
      <c r="O227" s="31"/>
      <c r="P227" s="53">
        <v>5</v>
      </c>
      <c r="Q227" s="30">
        <v>4887.8599999999997</v>
      </c>
      <c r="R227" s="205">
        <v>5</v>
      </c>
      <c r="S227" s="26">
        <f t="shared" si="16"/>
        <v>4887.8599999999997</v>
      </c>
      <c r="T227" s="30">
        <v>4887.8599999999997</v>
      </c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339</v>
      </c>
      <c r="G228" s="35" t="s">
        <v>25</v>
      </c>
      <c r="H228" s="117">
        <v>12</v>
      </c>
      <c r="I228" s="37">
        <v>3</v>
      </c>
      <c r="J228" s="37">
        <v>3</v>
      </c>
      <c r="K228" s="68">
        <v>4062.8</v>
      </c>
      <c r="L228" s="285">
        <v>3</v>
      </c>
      <c r="M228" s="68">
        <v>4062.8</v>
      </c>
      <c r="N228" s="68">
        <v>4062.8</v>
      </c>
      <c r="O228" s="234"/>
      <c r="P228" s="115">
        <v>3</v>
      </c>
      <c r="Q228" s="68">
        <v>5845.65</v>
      </c>
      <c r="R228" s="285">
        <v>3</v>
      </c>
      <c r="S228" s="68">
        <v>5845.65</v>
      </c>
      <c r="T228" s="68">
        <v>4942.5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174</v>
      </c>
      <c r="C229" s="374" t="s">
        <v>39</v>
      </c>
      <c r="D229" s="374" t="s">
        <v>175</v>
      </c>
      <c r="E229" s="374" t="s">
        <v>176</v>
      </c>
      <c r="F229" s="204" t="s">
        <v>377</v>
      </c>
      <c r="G229" s="176" t="s">
        <v>24</v>
      </c>
      <c r="H229" s="48">
        <v>19</v>
      </c>
      <c r="I229" s="203">
        <v>13</v>
      </c>
      <c r="J229" s="203">
        <v>14</v>
      </c>
      <c r="K229" s="65">
        <v>24081.66</v>
      </c>
      <c r="L229" s="224">
        <v>14</v>
      </c>
      <c r="M229" s="50">
        <f>N229+O229</f>
        <v>24081.66</v>
      </c>
      <c r="N229" s="65">
        <v>24081.66</v>
      </c>
      <c r="O229" s="225"/>
      <c r="P229" s="108">
        <v>18</v>
      </c>
      <c r="Q229" s="65">
        <v>56598.95</v>
      </c>
      <c r="R229" s="224">
        <v>18</v>
      </c>
      <c r="S229" s="50">
        <f>T229+U229</f>
        <v>56598.95</v>
      </c>
      <c r="T229" s="65">
        <v>56598.95</v>
      </c>
      <c r="U229" s="225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340</v>
      </c>
      <c r="G230" s="229" t="s">
        <v>25</v>
      </c>
      <c r="H230" s="153">
        <v>2</v>
      </c>
      <c r="I230" s="130">
        <v>2</v>
      </c>
      <c r="J230" s="130">
        <v>2</v>
      </c>
      <c r="K230" s="114">
        <v>11239.2</v>
      </c>
      <c r="L230" s="270">
        <v>2</v>
      </c>
      <c r="M230" s="114">
        <v>11239.2</v>
      </c>
      <c r="N230" s="114">
        <v>11239.2</v>
      </c>
      <c r="O230" s="41"/>
      <c r="P230" s="113">
        <v>10</v>
      </c>
      <c r="Q230" s="114">
        <v>46701.760000000002</v>
      </c>
      <c r="R230" s="270">
        <v>10</v>
      </c>
      <c r="S230" s="114">
        <v>46701.760000000002</v>
      </c>
      <c r="T230" s="114">
        <v>46701.760000000002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177</v>
      </c>
      <c r="C231" s="377" t="s">
        <v>39</v>
      </c>
      <c r="D231" s="374" t="s">
        <v>226</v>
      </c>
      <c r="E231" s="374" t="s">
        <v>27</v>
      </c>
      <c r="F231" s="204" t="s">
        <v>227</v>
      </c>
      <c r="G231" s="23" t="s">
        <v>24</v>
      </c>
      <c r="H231" s="48">
        <v>6</v>
      </c>
      <c r="I231" s="62">
        <v>3</v>
      </c>
      <c r="J231" s="62">
        <v>3</v>
      </c>
      <c r="K231" s="30">
        <v>1969.94</v>
      </c>
      <c r="L231" s="205">
        <v>3</v>
      </c>
      <c r="M231" s="26">
        <f t="shared" ref="M231:M257" si="17">N231+O231</f>
        <v>1969.94</v>
      </c>
      <c r="N231" s="30">
        <v>1969.94</v>
      </c>
      <c r="O231" s="225"/>
      <c r="P231" s="53">
        <v>16</v>
      </c>
      <c r="Q231" s="30">
        <v>53460.74</v>
      </c>
      <c r="R231" s="205">
        <v>16</v>
      </c>
      <c r="S231" s="26">
        <f t="shared" ref="S231:S257" si="18">T231+U231</f>
        <v>53460.74</v>
      </c>
      <c r="T231" s="30">
        <v>53460.74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80"/>
      <c r="D232" s="375"/>
      <c r="E232" s="375"/>
      <c r="F232" s="105"/>
      <c r="G232" s="55" t="s">
        <v>28</v>
      </c>
      <c r="H232" s="118"/>
      <c r="I232" s="57"/>
      <c r="J232" s="57"/>
      <c r="K232" s="43"/>
      <c r="L232" s="44"/>
      <c r="M232" s="43">
        <f t="shared" si="17"/>
        <v>0</v>
      </c>
      <c r="N232" s="43"/>
      <c r="O232" s="41"/>
      <c r="P232" s="103"/>
      <c r="Q232" s="43"/>
      <c r="R232" s="44"/>
      <c r="S232" s="43">
        <f t="shared" si="18"/>
        <v>0</v>
      </c>
      <c r="T232" s="43"/>
      <c r="U232" s="4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178</v>
      </c>
      <c r="C233" s="374" t="s">
        <v>22</v>
      </c>
      <c r="D233" s="374"/>
      <c r="E233" s="374" t="s">
        <v>27</v>
      </c>
      <c r="F233" s="232" t="s">
        <v>452</v>
      </c>
      <c r="G233" s="176" t="s">
        <v>24</v>
      </c>
      <c r="H233" s="61">
        <v>7</v>
      </c>
      <c r="I233" s="62">
        <v>7</v>
      </c>
      <c r="J233" s="62">
        <v>7</v>
      </c>
      <c r="K233" s="30">
        <v>6740.58</v>
      </c>
      <c r="L233" s="205">
        <v>5</v>
      </c>
      <c r="M233" s="26">
        <f t="shared" si="17"/>
        <v>5349.73</v>
      </c>
      <c r="N233" s="30">
        <v>5349.73</v>
      </c>
      <c r="O233" s="31"/>
      <c r="P233" s="29">
        <v>1</v>
      </c>
      <c r="Q233" s="30">
        <v>2466.56</v>
      </c>
      <c r="R233" s="205">
        <v>1</v>
      </c>
      <c r="S233" s="26">
        <f t="shared" si="18"/>
        <v>2466.56</v>
      </c>
      <c r="T233" s="30">
        <v>2466.56</v>
      </c>
      <c r="U233" s="3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105"/>
      <c r="G234" s="252" t="s">
        <v>28</v>
      </c>
      <c r="H234" s="106"/>
      <c r="I234" s="38"/>
      <c r="J234" s="38"/>
      <c r="K234" s="39"/>
      <c r="L234" s="40"/>
      <c r="M234" s="39">
        <f t="shared" si="17"/>
        <v>0</v>
      </c>
      <c r="N234" s="39"/>
      <c r="O234" s="41"/>
      <c r="P234" s="69"/>
      <c r="Q234" s="39"/>
      <c r="R234" s="40"/>
      <c r="S234" s="39">
        <f t="shared" si="18"/>
        <v>0</v>
      </c>
      <c r="T234" s="39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445</v>
      </c>
      <c r="C235" s="374"/>
      <c r="D235" s="374"/>
      <c r="E235" s="374"/>
      <c r="F235" s="72"/>
      <c r="G235" s="176" t="s">
        <v>24</v>
      </c>
      <c r="H235" s="265"/>
      <c r="I235" s="266"/>
      <c r="J235" s="96"/>
      <c r="K235" s="81"/>
      <c r="L235" s="80"/>
      <c r="M235" s="142">
        <f t="shared" si="17"/>
        <v>0</v>
      </c>
      <c r="N235" s="81"/>
      <c r="O235" s="82"/>
      <c r="P235" s="295"/>
      <c r="Q235" s="81"/>
      <c r="R235" s="80"/>
      <c r="S235" s="142">
        <f t="shared" si="18"/>
        <v>0</v>
      </c>
      <c r="T235" s="81"/>
      <c r="U235" s="8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226"/>
      <c r="G236" s="252" t="s">
        <v>28</v>
      </c>
      <c r="H236" s="302">
        <v>1</v>
      </c>
      <c r="I236" s="261"/>
      <c r="J236" s="261"/>
      <c r="K236" s="211"/>
      <c r="L236" s="210"/>
      <c r="M236" s="39">
        <f t="shared" si="17"/>
        <v>0</v>
      </c>
      <c r="N236" s="211"/>
      <c r="O236" s="212"/>
      <c r="P236" s="284"/>
      <c r="Q236" s="211"/>
      <c r="R236" s="210"/>
      <c r="S236" s="39">
        <f t="shared" si="18"/>
        <v>0</v>
      </c>
      <c r="T236" s="211"/>
      <c r="U236" s="21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179</v>
      </c>
      <c r="C237" s="374" t="s">
        <v>471</v>
      </c>
      <c r="D237" s="374" t="s">
        <v>472</v>
      </c>
      <c r="E237" s="374" t="s">
        <v>27</v>
      </c>
      <c r="F237" s="204" t="s">
        <v>473</v>
      </c>
      <c r="G237" s="176" t="s">
        <v>24</v>
      </c>
      <c r="H237" s="61">
        <v>2</v>
      </c>
      <c r="I237" s="25"/>
      <c r="J237" s="25"/>
      <c r="K237" s="26"/>
      <c r="L237" s="27"/>
      <c r="M237" s="26">
        <f t="shared" si="17"/>
        <v>0</v>
      </c>
      <c r="N237" s="26"/>
      <c r="O237" s="28"/>
      <c r="P237" s="120"/>
      <c r="Q237" s="26"/>
      <c r="R237" s="27"/>
      <c r="S237" s="26">
        <f t="shared" si="18"/>
        <v>0</v>
      </c>
      <c r="T237" s="26"/>
      <c r="U237" s="28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105"/>
      <c r="G238" s="229" t="s">
        <v>28</v>
      </c>
      <c r="H238" s="298"/>
      <c r="I238" s="261"/>
      <c r="J238" s="261"/>
      <c r="K238" s="211"/>
      <c r="L238" s="210"/>
      <c r="M238" s="211">
        <f t="shared" si="17"/>
        <v>0</v>
      </c>
      <c r="N238" s="211"/>
      <c r="O238" s="212"/>
      <c r="P238" s="284"/>
      <c r="Q238" s="211"/>
      <c r="R238" s="210"/>
      <c r="S238" s="211">
        <f t="shared" si="18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378</v>
      </c>
      <c r="C239" s="374" t="s">
        <v>46</v>
      </c>
      <c r="D239" s="374" t="s">
        <v>422</v>
      </c>
      <c r="E239" s="374" t="s">
        <v>27</v>
      </c>
      <c r="F239" s="232" t="s">
        <v>423</v>
      </c>
      <c r="G239" s="213" t="s">
        <v>24</v>
      </c>
      <c r="H239" s="61">
        <v>13</v>
      </c>
      <c r="I239" s="62">
        <v>7</v>
      </c>
      <c r="J239" s="62">
        <v>8</v>
      </c>
      <c r="K239" s="30">
        <v>8606.68</v>
      </c>
      <c r="L239" s="205">
        <v>8</v>
      </c>
      <c r="M239" s="26">
        <f t="shared" si="17"/>
        <v>8606.68</v>
      </c>
      <c r="N239" s="30">
        <v>8606.68</v>
      </c>
      <c r="O239" s="28"/>
      <c r="P239" s="214"/>
      <c r="Q239" s="30"/>
      <c r="R239" s="205"/>
      <c r="S239" s="26">
        <f t="shared" si="18"/>
        <v>0</v>
      </c>
      <c r="T239" s="30"/>
      <c r="U239" s="2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220"/>
      <c r="G240" s="215" t="s">
        <v>28</v>
      </c>
      <c r="H240" s="117">
        <v>5</v>
      </c>
      <c r="I240" s="37">
        <v>1</v>
      </c>
      <c r="J240" s="37">
        <v>1</v>
      </c>
      <c r="K240" s="68">
        <v>1152.5999999999999</v>
      </c>
      <c r="L240" s="285">
        <v>1</v>
      </c>
      <c r="M240" s="39">
        <f t="shared" si="17"/>
        <v>1152.5999999999999</v>
      </c>
      <c r="N240" s="39">
        <f>1152.6</f>
        <v>1152.5999999999999</v>
      </c>
      <c r="O240" s="41"/>
      <c r="P240" s="217"/>
      <c r="Q240" s="68"/>
      <c r="R240" s="285"/>
      <c r="S240" s="39">
        <f t="shared" si="18"/>
        <v>0</v>
      </c>
      <c r="T240" s="68"/>
      <c r="U240" s="23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6"/>
      <c r="B241" s="377" t="s">
        <v>180</v>
      </c>
      <c r="C241" s="377" t="s">
        <v>46</v>
      </c>
      <c r="D241" s="377" t="s">
        <v>181</v>
      </c>
      <c r="E241" s="377" t="s">
        <v>27</v>
      </c>
      <c r="F241" s="232" t="s">
        <v>228</v>
      </c>
      <c r="G241" s="95" t="s">
        <v>24</v>
      </c>
      <c r="H241" s="265">
        <v>14</v>
      </c>
      <c r="I241" s="266">
        <v>8</v>
      </c>
      <c r="J241" s="266">
        <v>9</v>
      </c>
      <c r="K241" s="79">
        <v>14947.04</v>
      </c>
      <c r="L241" s="268">
        <v>9</v>
      </c>
      <c r="M241" s="81">
        <f t="shared" si="17"/>
        <v>14947.04</v>
      </c>
      <c r="N241" s="79">
        <v>14947.04</v>
      </c>
      <c r="O241" s="219"/>
      <c r="P241" s="267">
        <v>15</v>
      </c>
      <c r="Q241" s="79">
        <v>67448.800000000003</v>
      </c>
      <c r="R241" s="268">
        <v>15</v>
      </c>
      <c r="S241" s="26">
        <f t="shared" si="18"/>
        <v>67448.800000000003</v>
      </c>
      <c r="T241" s="79">
        <v>67448.800000000003</v>
      </c>
      <c r="U241" s="269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9"/>
      <c r="B242" s="380"/>
      <c r="C242" s="380"/>
      <c r="D242" s="380"/>
      <c r="E242" s="380"/>
      <c r="F242" s="54"/>
      <c r="G242" s="55" t="s">
        <v>28</v>
      </c>
      <c r="H242" s="116"/>
      <c r="I242" s="57"/>
      <c r="J242" s="57"/>
      <c r="K242" s="43"/>
      <c r="L242" s="128"/>
      <c r="M242" s="50">
        <f t="shared" si="17"/>
        <v>0</v>
      </c>
      <c r="N242" s="43"/>
      <c r="O242" s="41"/>
      <c r="P242" s="113">
        <v>3</v>
      </c>
      <c r="Q242" s="114">
        <v>15175.95</v>
      </c>
      <c r="R242" s="270">
        <v>3</v>
      </c>
      <c r="S242" s="43">
        <f t="shared" si="18"/>
        <v>2881.5499999999997</v>
      </c>
      <c r="T242" s="114">
        <f>2209.2+672.35</f>
        <v>2881.5499999999997</v>
      </c>
      <c r="U242" s="45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6.5" customHeight="1">
      <c r="A243" s="372"/>
      <c r="B243" s="374" t="s">
        <v>182</v>
      </c>
      <c r="C243" s="374" t="s">
        <v>46</v>
      </c>
      <c r="D243" s="374" t="s">
        <v>181</v>
      </c>
      <c r="E243" s="374" t="s">
        <v>27</v>
      </c>
      <c r="F243" s="204" t="s">
        <v>379</v>
      </c>
      <c r="G243" s="23" t="s">
        <v>24</v>
      </c>
      <c r="H243" s="48">
        <v>18</v>
      </c>
      <c r="I243" s="62">
        <v>17</v>
      </c>
      <c r="J243" s="62">
        <v>19</v>
      </c>
      <c r="K243" s="30">
        <v>26535.09</v>
      </c>
      <c r="L243" s="205">
        <v>19</v>
      </c>
      <c r="M243" s="26">
        <f t="shared" si="17"/>
        <v>26535.09</v>
      </c>
      <c r="N243" s="30">
        <v>26535.09</v>
      </c>
      <c r="O243" s="31"/>
      <c r="P243" s="53">
        <v>11</v>
      </c>
      <c r="Q243" s="30">
        <v>60086.13</v>
      </c>
      <c r="R243" s="205">
        <v>11</v>
      </c>
      <c r="S243" s="26">
        <f t="shared" si="18"/>
        <v>60086.13</v>
      </c>
      <c r="T243" s="30">
        <v>60086.13</v>
      </c>
      <c r="U243" s="100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6.5" customHeight="1">
      <c r="A244" s="373"/>
      <c r="B244" s="375"/>
      <c r="C244" s="375"/>
      <c r="D244" s="375"/>
      <c r="E244" s="375"/>
      <c r="F244" s="34"/>
      <c r="G244" s="35" t="s">
        <v>28</v>
      </c>
      <c r="H244" s="116"/>
      <c r="I244" s="38"/>
      <c r="J244" s="38"/>
      <c r="K244" s="39"/>
      <c r="L244" s="40"/>
      <c r="M244" s="39">
        <f t="shared" si="17"/>
        <v>0</v>
      </c>
      <c r="N244" s="39"/>
      <c r="O244" s="41"/>
      <c r="P244" s="115">
        <v>2</v>
      </c>
      <c r="Q244" s="68">
        <v>4418.3</v>
      </c>
      <c r="R244" s="285">
        <v>2</v>
      </c>
      <c r="S244" s="39">
        <f t="shared" si="18"/>
        <v>4418.3</v>
      </c>
      <c r="T244" s="39">
        <f>3073.6+1344.7</f>
        <v>4418.3</v>
      </c>
      <c r="U244" s="41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70"/>
      <c r="B245" s="377" t="s">
        <v>480</v>
      </c>
      <c r="C245" s="377" t="s">
        <v>39</v>
      </c>
      <c r="D245" s="377" t="s">
        <v>481</v>
      </c>
      <c r="E245" s="377"/>
      <c r="F245" s="232"/>
      <c r="G245" s="23" t="s">
        <v>24</v>
      </c>
      <c r="H245" s="48"/>
      <c r="I245" s="266"/>
      <c r="J245" s="266"/>
      <c r="K245" s="79"/>
      <c r="L245" s="268"/>
      <c r="M245" s="142">
        <f t="shared" si="17"/>
        <v>0</v>
      </c>
      <c r="N245" s="79"/>
      <c r="O245" s="82"/>
      <c r="P245" s="267"/>
      <c r="Q245" s="79"/>
      <c r="R245" s="268"/>
      <c r="S245" s="142">
        <f t="shared" si="18"/>
        <v>0</v>
      </c>
      <c r="T245" s="79"/>
      <c r="U245" s="336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55"/>
      <c r="B246" s="375"/>
      <c r="C246" s="375"/>
      <c r="D246" s="375"/>
      <c r="E246" s="375"/>
      <c r="F246" s="356"/>
      <c r="G246" s="35" t="s">
        <v>28</v>
      </c>
      <c r="H246" s="353">
        <v>3</v>
      </c>
      <c r="I246" s="338"/>
      <c r="J246" s="338"/>
      <c r="K246" s="339"/>
      <c r="L246" s="340"/>
      <c r="M246" s="39">
        <f t="shared" si="17"/>
        <v>0</v>
      </c>
      <c r="N246" s="339"/>
      <c r="O246" s="89"/>
      <c r="P246" s="357"/>
      <c r="Q246" s="339"/>
      <c r="R246" s="340"/>
      <c r="S246" s="39">
        <f t="shared" si="18"/>
        <v>0</v>
      </c>
      <c r="T246" s="339"/>
      <c r="U246" s="34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6"/>
      <c r="B247" s="377" t="s">
        <v>183</v>
      </c>
      <c r="C247" s="377" t="s">
        <v>22</v>
      </c>
      <c r="D247" s="377"/>
      <c r="E247" s="377" t="s">
        <v>99</v>
      </c>
      <c r="F247" s="232" t="s">
        <v>380</v>
      </c>
      <c r="G247" s="23" t="s">
        <v>24</v>
      </c>
      <c r="H247" s="265">
        <v>11</v>
      </c>
      <c r="I247" s="266">
        <v>4</v>
      </c>
      <c r="J247" s="266">
        <v>5</v>
      </c>
      <c r="K247" s="79">
        <v>6598</v>
      </c>
      <c r="L247" s="268">
        <v>5</v>
      </c>
      <c r="M247" s="81">
        <f t="shared" si="17"/>
        <v>6598</v>
      </c>
      <c r="N247" s="79">
        <v>6598</v>
      </c>
      <c r="O247" s="219"/>
      <c r="P247" s="267">
        <v>12</v>
      </c>
      <c r="Q247" s="79">
        <v>23530.12</v>
      </c>
      <c r="R247" s="268">
        <v>12</v>
      </c>
      <c r="S247" s="81">
        <f t="shared" si="18"/>
        <v>23530.12</v>
      </c>
      <c r="T247" s="79">
        <v>23530.12</v>
      </c>
      <c r="U247" s="269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9"/>
      <c r="B248" s="380"/>
      <c r="C248" s="380"/>
      <c r="D248" s="380"/>
      <c r="E248" s="380"/>
      <c r="F248" s="233" t="s">
        <v>252</v>
      </c>
      <c r="G248" s="227" t="s">
        <v>28</v>
      </c>
      <c r="H248" s="292">
        <v>7</v>
      </c>
      <c r="I248" s="208">
        <v>1</v>
      </c>
      <c r="J248" s="208">
        <v>1</v>
      </c>
      <c r="K248" s="209">
        <v>3073.6</v>
      </c>
      <c r="L248" s="290">
        <v>2</v>
      </c>
      <c r="M248" s="211">
        <f t="shared" si="17"/>
        <v>4879.8999999999996</v>
      </c>
      <c r="N248" s="211">
        <f>1806.3+3073.6</f>
        <v>4879.8999999999996</v>
      </c>
      <c r="O248" s="212"/>
      <c r="P248" s="262">
        <v>3</v>
      </c>
      <c r="Q248" s="209">
        <v>7185.1</v>
      </c>
      <c r="R248" s="290">
        <v>2</v>
      </c>
      <c r="S248" s="211">
        <f t="shared" si="18"/>
        <v>5378.8</v>
      </c>
      <c r="T248" s="211">
        <f>4034.1+1344.7</f>
        <v>5378.8</v>
      </c>
      <c r="U248" s="21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2"/>
      <c r="B249" s="374" t="s">
        <v>425</v>
      </c>
      <c r="C249" s="374" t="s">
        <v>22</v>
      </c>
      <c r="D249" s="374"/>
      <c r="E249" s="374" t="s">
        <v>131</v>
      </c>
      <c r="F249" s="204" t="s">
        <v>426</v>
      </c>
      <c r="G249" s="176" t="s">
        <v>24</v>
      </c>
      <c r="H249" s="61">
        <v>9</v>
      </c>
      <c r="I249" s="62">
        <v>6</v>
      </c>
      <c r="J249" s="62">
        <v>7</v>
      </c>
      <c r="K249" s="30">
        <v>9021.6299999999992</v>
      </c>
      <c r="L249" s="205">
        <v>6</v>
      </c>
      <c r="M249" s="26">
        <f t="shared" si="17"/>
        <v>7502.13</v>
      </c>
      <c r="N249" s="30">
        <v>7502.13</v>
      </c>
      <c r="O249" s="28"/>
      <c r="P249" s="275"/>
      <c r="Q249" s="26"/>
      <c r="R249" s="27"/>
      <c r="S249" s="26">
        <f t="shared" si="18"/>
        <v>0</v>
      </c>
      <c r="T249" s="26"/>
      <c r="U249" s="28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3"/>
      <c r="B250" s="375"/>
      <c r="C250" s="375"/>
      <c r="D250" s="375"/>
      <c r="E250" s="375"/>
      <c r="F250" s="34"/>
      <c r="G250" s="229" t="s">
        <v>25</v>
      </c>
      <c r="H250" s="106"/>
      <c r="I250" s="38"/>
      <c r="J250" s="38"/>
      <c r="K250" s="39"/>
      <c r="L250" s="40"/>
      <c r="M250" s="39">
        <f t="shared" si="17"/>
        <v>0</v>
      </c>
      <c r="N250" s="39"/>
      <c r="O250" s="41"/>
      <c r="P250" s="276"/>
      <c r="Q250" s="39"/>
      <c r="R250" s="40"/>
      <c r="S250" s="39">
        <f t="shared" si="18"/>
        <v>0</v>
      </c>
      <c r="T250" s="39"/>
      <c r="U250" s="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6"/>
      <c r="B251" s="377" t="s">
        <v>184</v>
      </c>
      <c r="C251" s="377" t="s">
        <v>22</v>
      </c>
      <c r="D251" s="377"/>
      <c r="E251" s="377" t="s">
        <v>27</v>
      </c>
      <c r="F251" s="223" t="s">
        <v>453</v>
      </c>
      <c r="G251" s="95" t="s">
        <v>24</v>
      </c>
      <c r="H251" s="265">
        <v>2</v>
      </c>
      <c r="I251" s="266">
        <v>2</v>
      </c>
      <c r="J251" s="266">
        <v>2</v>
      </c>
      <c r="K251" s="79">
        <v>3158.6</v>
      </c>
      <c r="L251" s="268">
        <v>2</v>
      </c>
      <c r="M251" s="81">
        <f t="shared" si="17"/>
        <v>3158.6</v>
      </c>
      <c r="N251" s="79">
        <v>3158.6</v>
      </c>
      <c r="O251" s="219"/>
      <c r="P251" s="277"/>
      <c r="Q251" s="81"/>
      <c r="R251" s="80"/>
      <c r="S251" s="81">
        <f t="shared" si="18"/>
        <v>0</v>
      </c>
      <c r="T251" s="81"/>
      <c r="U251" s="219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9"/>
      <c r="B252" s="380"/>
      <c r="C252" s="380"/>
      <c r="D252" s="380"/>
      <c r="E252" s="380"/>
      <c r="F252" s="233" t="s">
        <v>253</v>
      </c>
      <c r="G252" s="227" t="s">
        <v>28</v>
      </c>
      <c r="H252" s="153">
        <v>4</v>
      </c>
      <c r="I252" s="130">
        <v>3</v>
      </c>
      <c r="J252" s="130">
        <v>3</v>
      </c>
      <c r="K252" s="114">
        <v>8675.82</v>
      </c>
      <c r="L252" s="270">
        <v>3</v>
      </c>
      <c r="M252" s="43">
        <f t="shared" si="17"/>
        <v>9275.82</v>
      </c>
      <c r="N252" s="43">
        <f>1921+3380.96+3973.86</f>
        <v>9275.82</v>
      </c>
      <c r="O252" s="41"/>
      <c r="P252" s="113">
        <v>5</v>
      </c>
      <c r="Q252" s="114">
        <v>10565.5</v>
      </c>
      <c r="R252" s="270">
        <v>4</v>
      </c>
      <c r="S252" s="43">
        <f t="shared" si="18"/>
        <v>9989.2000000000007</v>
      </c>
      <c r="T252" s="114">
        <f>2958.34+3457.8+1267.86+2305.2</f>
        <v>9989.2000000000007</v>
      </c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2"/>
      <c r="B253" s="374" t="s">
        <v>185</v>
      </c>
      <c r="C253" s="374" t="s">
        <v>22</v>
      </c>
      <c r="D253" s="374"/>
      <c r="E253" s="374" t="s">
        <v>27</v>
      </c>
      <c r="F253" s="204" t="s">
        <v>341</v>
      </c>
      <c r="G253" s="176" t="s">
        <v>24</v>
      </c>
      <c r="H253" s="98"/>
      <c r="I253" s="25"/>
      <c r="J253" s="25"/>
      <c r="K253" s="26"/>
      <c r="L253" s="27"/>
      <c r="M253" s="26">
        <f t="shared" si="17"/>
        <v>0</v>
      </c>
      <c r="N253" s="26"/>
      <c r="O253" s="31"/>
      <c r="P253" s="53">
        <v>2</v>
      </c>
      <c r="Q253" s="30">
        <v>2633.4</v>
      </c>
      <c r="R253" s="205">
        <v>2</v>
      </c>
      <c r="S253" s="26">
        <f t="shared" si="18"/>
        <v>2633.4</v>
      </c>
      <c r="T253" s="30">
        <v>2633.4</v>
      </c>
      <c r="U253" s="225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373"/>
      <c r="B254" s="375"/>
      <c r="C254" s="375"/>
      <c r="D254" s="375"/>
      <c r="E254" s="375"/>
      <c r="F254" s="220" t="s">
        <v>342</v>
      </c>
      <c r="G254" s="229" t="s">
        <v>28</v>
      </c>
      <c r="H254" s="133">
        <v>4</v>
      </c>
      <c r="I254" s="57"/>
      <c r="J254" s="57"/>
      <c r="K254" s="43"/>
      <c r="L254" s="44"/>
      <c r="M254" s="43">
        <f t="shared" si="17"/>
        <v>0</v>
      </c>
      <c r="N254" s="43"/>
      <c r="O254" s="41"/>
      <c r="P254" s="113">
        <v>3</v>
      </c>
      <c r="Q254" s="114">
        <v>15773.67</v>
      </c>
      <c r="R254" s="270">
        <v>3</v>
      </c>
      <c r="S254" s="43">
        <f t="shared" si="18"/>
        <v>15773.67</v>
      </c>
      <c r="T254" s="43">
        <f>2994.47+1204.2+11575</f>
        <v>15773.67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372"/>
      <c r="B255" s="374" t="s">
        <v>186</v>
      </c>
      <c r="C255" s="374" t="s">
        <v>22</v>
      </c>
      <c r="D255" s="374"/>
      <c r="E255" s="374" t="s">
        <v>99</v>
      </c>
      <c r="F255" s="232" t="s">
        <v>315</v>
      </c>
      <c r="G255" s="23" t="s">
        <v>24</v>
      </c>
      <c r="H255" s="48">
        <v>10</v>
      </c>
      <c r="I255" s="62">
        <v>5</v>
      </c>
      <c r="J255" s="62">
        <v>8</v>
      </c>
      <c r="K255" s="30">
        <v>19970.849999999999</v>
      </c>
      <c r="L255" s="205">
        <v>7</v>
      </c>
      <c r="M255" s="26">
        <f t="shared" si="17"/>
        <v>17012.53</v>
      </c>
      <c r="N255" s="30">
        <v>17012.53</v>
      </c>
      <c r="O255" s="31"/>
      <c r="P255" s="53">
        <v>13</v>
      </c>
      <c r="Q255" s="30">
        <v>34864.89</v>
      </c>
      <c r="R255" s="205">
        <v>12</v>
      </c>
      <c r="S255" s="26">
        <f t="shared" si="18"/>
        <v>25258.31</v>
      </c>
      <c r="T255" s="30">
        <v>25258.31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254</v>
      </c>
      <c r="G256" s="35" t="s">
        <v>28</v>
      </c>
      <c r="H256" s="153">
        <v>9</v>
      </c>
      <c r="I256" s="38"/>
      <c r="J256" s="38"/>
      <c r="K256" s="39"/>
      <c r="L256" s="40"/>
      <c r="M256" s="39">
        <f t="shared" si="17"/>
        <v>0</v>
      </c>
      <c r="N256" s="39"/>
      <c r="O256" s="41"/>
      <c r="P256" s="59"/>
      <c r="Q256" s="39"/>
      <c r="R256" s="40"/>
      <c r="S256" s="39">
        <f t="shared" si="18"/>
        <v>0</v>
      </c>
      <c r="T256" s="39"/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82"/>
      <c r="B257" s="381" t="s">
        <v>187</v>
      </c>
      <c r="C257" s="381" t="s">
        <v>22</v>
      </c>
      <c r="D257" s="381"/>
      <c r="E257" s="381" t="s">
        <v>131</v>
      </c>
      <c r="F257" s="223" t="s">
        <v>343</v>
      </c>
      <c r="G257" s="23" t="s">
        <v>24</v>
      </c>
      <c r="H257" s="48">
        <v>14</v>
      </c>
      <c r="I257" s="203">
        <v>12</v>
      </c>
      <c r="J257" s="203">
        <v>17</v>
      </c>
      <c r="K257" s="65">
        <v>33407.07</v>
      </c>
      <c r="L257" s="224">
        <v>17</v>
      </c>
      <c r="M257" s="50">
        <f t="shared" si="17"/>
        <v>33407.07</v>
      </c>
      <c r="N257" s="65">
        <v>33407.07</v>
      </c>
      <c r="O257" s="225"/>
      <c r="P257" s="108">
        <v>18</v>
      </c>
      <c r="Q257" s="65">
        <v>50634.13</v>
      </c>
      <c r="R257" s="224">
        <v>18</v>
      </c>
      <c r="S257" s="50">
        <f t="shared" si="18"/>
        <v>50634.13</v>
      </c>
      <c r="T257" s="65">
        <v>50634.13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9"/>
      <c r="B258" s="380"/>
      <c r="C258" s="380"/>
      <c r="D258" s="380"/>
      <c r="E258" s="380"/>
      <c r="F258" s="247"/>
      <c r="G258" s="227" t="s">
        <v>25</v>
      </c>
      <c r="H258" s="153">
        <v>3</v>
      </c>
      <c r="I258" s="130">
        <v>1</v>
      </c>
      <c r="J258" s="130">
        <v>1</v>
      </c>
      <c r="K258" s="114">
        <v>1728.9</v>
      </c>
      <c r="L258" s="270">
        <v>1</v>
      </c>
      <c r="M258" s="114">
        <v>1728.9</v>
      </c>
      <c r="N258" s="114">
        <v>1728.9</v>
      </c>
      <c r="O258" s="41"/>
      <c r="P258" s="113">
        <v>4</v>
      </c>
      <c r="Q258" s="114">
        <v>30582.32</v>
      </c>
      <c r="R258" s="270">
        <v>4</v>
      </c>
      <c r="S258" s="114">
        <v>30582.32</v>
      </c>
      <c r="T258" s="114">
        <v>30582.32</v>
      </c>
      <c r="U258" s="2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2"/>
      <c r="B259" s="374" t="s">
        <v>429</v>
      </c>
      <c r="C259" s="374" t="s">
        <v>22</v>
      </c>
      <c r="D259" s="374"/>
      <c r="E259" s="374" t="s">
        <v>27</v>
      </c>
      <c r="F259" s="204" t="s">
        <v>446</v>
      </c>
      <c r="G259" s="176" t="s">
        <v>24</v>
      </c>
      <c r="H259" s="151"/>
      <c r="I259" s="25"/>
      <c r="J259" s="25"/>
      <c r="K259" s="26"/>
      <c r="L259" s="27"/>
      <c r="M259" s="26">
        <f t="shared" ref="M259:M292" si="19">N259+O259</f>
        <v>0</v>
      </c>
      <c r="N259" s="30"/>
      <c r="O259" s="31"/>
      <c r="P259" s="53">
        <v>1</v>
      </c>
      <c r="Q259" s="30">
        <v>36784.050000000003</v>
      </c>
      <c r="R259" s="205">
        <v>1</v>
      </c>
      <c r="S259" s="26">
        <f t="shared" ref="S259:S285" si="20">T259+U259</f>
        <v>36784.050000000003</v>
      </c>
      <c r="T259" s="30">
        <v>36784.050000000003</v>
      </c>
      <c r="U259" s="31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/>
      <c r="G260" s="229" t="s">
        <v>28</v>
      </c>
      <c r="H260" s="133"/>
      <c r="I260" s="57"/>
      <c r="J260" s="57"/>
      <c r="K260" s="43"/>
      <c r="L260" s="44"/>
      <c r="M260" s="43">
        <f t="shared" si="19"/>
        <v>0</v>
      </c>
      <c r="N260" s="43"/>
      <c r="O260" s="41"/>
      <c r="P260" s="113"/>
      <c r="Q260" s="114"/>
      <c r="R260" s="44"/>
      <c r="S260" s="43">
        <f t="shared" si="20"/>
        <v>0</v>
      </c>
      <c r="T260" s="114"/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188</v>
      </c>
      <c r="C261" s="374" t="s">
        <v>39</v>
      </c>
      <c r="D261" s="374" t="s">
        <v>474</v>
      </c>
      <c r="E261" s="374" t="s">
        <v>27</v>
      </c>
      <c r="F261" s="358" t="s">
        <v>482</v>
      </c>
      <c r="G261" s="176" t="s">
        <v>24</v>
      </c>
      <c r="H261" s="281">
        <v>3</v>
      </c>
      <c r="I261" s="62">
        <v>1</v>
      </c>
      <c r="J261" s="62">
        <v>2</v>
      </c>
      <c r="K261" s="30">
        <v>642.24</v>
      </c>
      <c r="L261" s="205">
        <v>1</v>
      </c>
      <c r="M261" s="26">
        <f t="shared" si="19"/>
        <v>642.24</v>
      </c>
      <c r="N261" s="30">
        <v>642.24</v>
      </c>
      <c r="O261" s="219"/>
      <c r="P261" s="53">
        <v>2</v>
      </c>
      <c r="Q261" s="30">
        <v>3649.9</v>
      </c>
      <c r="R261" s="205">
        <v>1</v>
      </c>
      <c r="S261" s="26">
        <f t="shared" si="20"/>
        <v>3649.9</v>
      </c>
      <c r="T261" s="30">
        <v>3649.9</v>
      </c>
      <c r="U261" s="219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20.25" customHeight="1">
      <c r="A262" s="373"/>
      <c r="B262" s="375"/>
      <c r="C262" s="375"/>
      <c r="D262" s="375"/>
      <c r="E262" s="375"/>
      <c r="F262" s="220" t="s">
        <v>344</v>
      </c>
      <c r="G262" s="229" t="s">
        <v>28</v>
      </c>
      <c r="H262" s="56">
        <v>3</v>
      </c>
      <c r="I262" s="130">
        <v>1</v>
      </c>
      <c r="J262" s="130">
        <v>1</v>
      </c>
      <c r="K262" s="114">
        <v>1052.5999999999999</v>
      </c>
      <c r="L262" s="44"/>
      <c r="M262" s="43">
        <f t="shared" si="19"/>
        <v>0</v>
      </c>
      <c r="N262" s="43"/>
      <c r="O262" s="222">
        <v>0</v>
      </c>
      <c r="P262" s="113">
        <v>18</v>
      </c>
      <c r="Q262" s="114">
        <v>28406.3</v>
      </c>
      <c r="R262" s="44"/>
      <c r="S262" s="43">
        <f t="shared" si="20"/>
        <v>4050.2</v>
      </c>
      <c r="T262" s="114">
        <v>4050.2</v>
      </c>
      <c r="U262" s="222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189</v>
      </c>
      <c r="C263" s="374" t="s">
        <v>39</v>
      </c>
      <c r="D263" s="374" t="s">
        <v>427</v>
      </c>
      <c r="E263" s="374" t="s">
        <v>27</v>
      </c>
      <c r="F263" s="232" t="s">
        <v>428</v>
      </c>
      <c r="G263" s="23" t="s">
        <v>24</v>
      </c>
      <c r="H263" s="24">
        <v>16</v>
      </c>
      <c r="I263" s="62">
        <v>12</v>
      </c>
      <c r="J263" s="62">
        <v>16</v>
      </c>
      <c r="K263" s="30">
        <v>30275.46</v>
      </c>
      <c r="L263" s="205">
        <v>16</v>
      </c>
      <c r="M263" s="26">
        <f t="shared" si="19"/>
        <v>30275.46</v>
      </c>
      <c r="N263" s="30">
        <v>30275.46</v>
      </c>
      <c r="O263" s="241"/>
      <c r="P263" s="29">
        <v>2</v>
      </c>
      <c r="Q263" s="30">
        <v>1870.81</v>
      </c>
      <c r="R263" s="205">
        <v>2</v>
      </c>
      <c r="S263" s="26">
        <f t="shared" si="20"/>
        <v>1870.81</v>
      </c>
      <c r="T263" s="30">
        <v>1870.81</v>
      </c>
      <c r="U263" s="24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3"/>
      <c r="B264" s="375"/>
      <c r="C264" s="375"/>
      <c r="D264" s="375"/>
      <c r="E264" s="375"/>
      <c r="F264" s="220" t="s">
        <v>256</v>
      </c>
      <c r="G264" s="35" t="s">
        <v>28</v>
      </c>
      <c r="H264" s="66">
        <v>5</v>
      </c>
      <c r="I264" s="37">
        <v>1</v>
      </c>
      <c r="J264" s="37">
        <v>1</v>
      </c>
      <c r="K264" s="68">
        <v>1921</v>
      </c>
      <c r="L264" s="285">
        <v>1</v>
      </c>
      <c r="M264" s="39">
        <f t="shared" si="19"/>
        <v>1921</v>
      </c>
      <c r="N264" s="39">
        <f>1921</f>
        <v>1921</v>
      </c>
      <c r="O264" s="41"/>
      <c r="P264" s="69"/>
      <c r="Q264" s="39"/>
      <c r="R264" s="40"/>
      <c r="S264" s="39">
        <f t="shared" si="20"/>
        <v>0</v>
      </c>
      <c r="T264" s="39"/>
      <c r="U264" s="41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82"/>
      <c r="B265" s="381" t="s">
        <v>190</v>
      </c>
      <c r="C265" s="381" t="s">
        <v>39</v>
      </c>
      <c r="D265" s="381" t="s">
        <v>191</v>
      </c>
      <c r="E265" s="381" t="s">
        <v>27</v>
      </c>
      <c r="F265" s="46"/>
      <c r="G265" s="47" t="s">
        <v>24</v>
      </c>
      <c r="H265" s="98"/>
      <c r="I265" s="49"/>
      <c r="J265" s="49"/>
      <c r="K265" s="50"/>
      <c r="L265" s="51"/>
      <c r="M265" s="50">
        <f t="shared" si="19"/>
        <v>0</v>
      </c>
      <c r="N265" s="50"/>
      <c r="O265" s="31"/>
      <c r="P265" s="123"/>
      <c r="Q265" s="50"/>
      <c r="R265" s="51"/>
      <c r="S265" s="50">
        <f t="shared" si="20"/>
        <v>0</v>
      </c>
      <c r="T265" s="50"/>
      <c r="U265" s="3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345</v>
      </c>
      <c r="G266" s="35" t="s">
        <v>28</v>
      </c>
      <c r="H266" s="112">
        <v>2</v>
      </c>
      <c r="I266" s="57"/>
      <c r="J266" s="57"/>
      <c r="K266" s="43"/>
      <c r="L266" s="44"/>
      <c r="M266" s="43">
        <f t="shared" si="19"/>
        <v>0</v>
      </c>
      <c r="N266" s="43"/>
      <c r="O266" s="45"/>
      <c r="P266" s="115">
        <v>4</v>
      </c>
      <c r="Q266" s="68">
        <v>5106.7</v>
      </c>
      <c r="R266" s="285">
        <v>5</v>
      </c>
      <c r="S266" s="39">
        <f t="shared" si="20"/>
        <v>6739.58</v>
      </c>
      <c r="T266" s="68">
        <f>3818+2921.58</f>
        <v>6739.58</v>
      </c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192</v>
      </c>
      <c r="C267" s="374" t="s">
        <v>22</v>
      </c>
      <c r="D267" s="374"/>
      <c r="E267" s="374" t="s">
        <v>193</v>
      </c>
      <c r="F267" s="204" t="s">
        <v>318</v>
      </c>
      <c r="G267" s="176" t="s">
        <v>24</v>
      </c>
      <c r="H267" s="61">
        <v>19</v>
      </c>
      <c r="I267" s="62">
        <v>16</v>
      </c>
      <c r="J267" s="62">
        <v>17</v>
      </c>
      <c r="K267" s="30">
        <v>18277.259999999998</v>
      </c>
      <c r="L267" s="205">
        <v>17</v>
      </c>
      <c r="M267" s="26">
        <f t="shared" si="19"/>
        <v>18277.259999999998</v>
      </c>
      <c r="N267" s="30">
        <v>18277.259999999998</v>
      </c>
      <c r="O267" s="100"/>
      <c r="P267" s="64">
        <v>20</v>
      </c>
      <c r="Q267" s="65">
        <v>52584.43</v>
      </c>
      <c r="R267" s="224">
        <v>20</v>
      </c>
      <c r="S267" s="50">
        <f t="shared" si="20"/>
        <v>52584.43</v>
      </c>
      <c r="T267" s="65">
        <v>52584.43</v>
      </c>
      <c r="U267" s="225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346</v>
      </c>
      <c r="G268" s="229" t="s">
        <v>28</v>
      </c>
      <c r="H268" s="133">
        <v>1</v>
      </c>
      <c r="I268" s="37">
        <v>1</v>
      </c>
      <c r="J268" s="37">
        <v>1</v>
      </c>
      <c r="K268" s="68">
        <v>1728.9</v>
      </c>
      <c r="L268" s="285">
        <v>1</v>
      </c>
      <c r="M268" s="39">
        <f t="shared" si="19"/>
        <v>1728.9</v>
      </c>
      <c r="N268" s="39">
        <f>1728.9</f>
        <v>1728.9</v>
      </c>
      <c r="O268" s="41"/>
      <c r="P268" s="42"/>
      <c r="Q268" s="43"/>
      <c r="R268" s="44"/>
      <c r="S268" s="43">
        <f t="shared" si="20"/>
        <v>0</v>
      </c>
      <c r="T268" s="43"/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194</v>
      </c>
      <c r="C269" s="377" t="s">
        <v>39</v>
      </c>
      <c r="D269" s="377" t="s">
        <v>319</v>
      </c>
      <c r="E269" s="374" t="s">
        <v>160</v>
      </c>
      <c r="F269" s="232" t="s">
        <v>320</v>
      </c>
      <c r="G269" s="23" t="s">
        <v>24</v>
      </c>
      <c r="H269" s="48">
        <v>6</v>
      </c>
      <c r="I269" s="203">
        <v>5</v>
      </c>
      <c r="J269" s="203">
        <v>5</v>
      </c>
      <c r="K269" s="65">
        <v>5617.57</v>
      </c>
      <c r="L269" s="316">
        <v>5</v>
      </c>
      <c r="M269" s="129">
        <f t="shared" si="19"/>
        <v>5617.57</v>
      </c>
      <c r="N269" s="65">
        <v>5617.57</v>
      </c>
      <c r="O269" s="225"/>
      <c r="P269" s="29">
        <v>3</v>
      </c>
      <c r="Q269" s="30">
        <v>6107.21</v>
      </c>
      <c r="R269" s="205">
        <v>3</v>
      </c>
      <c r="S269" s="26">
        <f t="shared" si="20"/>
        <v>6107.21</v>
      </c>
      <c r="T269" s="30">
        <v>6107.21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347</v>
      </c>
      <c r="G270" s="35" t="s">
        <v>28</v>
      </c>
      <c r="H270" s="117">
        <v>4</v>
      </c>
      <c r="I270" s="37"/>
      <c r="J270" s="37"/>
      <c r="K270" s="39"/>
      <c r="L270" s="44"/>
      <c r="M270" s="43">
        <f t="shared" si="19"/>
        <v>0</v>
      </c>
      <c r="N270" s="39"/>
      <c r="O270" s="41"/>
      <c r="P270" s="37">
        <v>8</v>
      </c>
      <c r="Q270" s="37">
        <v>21038.49</v>
      </c>
      <c r="R270" s="285">
        <v>8</v>
      </c>
      <c r="S270" s="39">
        <f t="shared" si="20"/>
        <v>16625.88</v>
      </c>
      <c r="T270" s="68">
        <f>576.3+4045.34+3273.6+633.93+602.1+2709.45+4454+331.16</f>
        <v>16625.88</v>
      </c>
      <c r="U270" s="2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82"/>
      <c r="B271" s="381" t="s">
        <v>195</v>
      </c>
      <c r="C271" s="377" t="s">
        <v>39</v>
      </c>
      <c r="D271" s="377" t="s">
        <v>231</v>
      </c>
      <c r="E271" s="381" t="s">
        <v>27</v>
      </c>
      <c r="F271" s="204" t="s">
        <v>232</v>
      </c>
      <c r="G271" s="47" t="s">
        <v>24</v>
      </c>
      <c r="H271" s="61">
        <v>3</v>
      </c>
      <c r="I271" s="25"/>
      <c r="J271" s="25"/>
      <c r="K271" s="26"/>
      <c r="L271" s="205"/>
      <c r="M271" s="26">
        <f t="shared" si="19"/>
        <v>0</v>
      </c>
      <c r="N271" s="26"/>
      <c r="O271" s="31"/>
      <c r="P271" s="64">
        <v>7</v>
      </c>
      <c r="Q271" s="65">
        <v>46859.35</v>
      </c>
      <c r="R271" s="224">
        <v>7</v>
      </c>
      <c r="S271" s="50">
        <f t="shared" si="20"/>
        <v>46859.35</v>
      </c>
      <c r="T271" s="65">
        <v>46859.35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1" t="s">
        <v>260</v>
      </c>
      <c r="G272" s="55" t="s">
        <v>28</v>
      </c>
      <c r="H272" s="178">
        <v>7</v>
      </c>
      <c r="I272" s="130">
        <v>3</v>
      </c>
      <c r="J272" s="130">
        <v>3</v>
      </c>
      <c r="K272" s="114">
        <v>8620.94</v>
      </c>
      <c r="L272" s="270">
        <v>3</v>
      </c>
      <c r="M272" s="43">
        <f t="shared" si="19"/>
        <v>8620.94</v>
      </c>
      <c r="N272" s="43">
        <f>1152.6+845.24+6623.1</f>
        <v>8620.94</v>
      </c>
      <c r="O272" s="222"/>
      <c r="P272" s="130">
        <v>8</v>
      </c>
      <c r="Q272" s="130">
        <v>26713.45</v>
      </c>
      <c r="R272" s="270">
        <v>10</v>
      </c>
      <c r="S272" s="43">
        <f t="shared" si="20"/>
        <v>34770.1</v>
      </c>
      <c r="T272" s="114">
        <f>4994.6+12678.6+576.3+6915.6+6915.6+576.3+2113.1</f>
        <v>34770.1</v>
      </c>
      <c r="U272" s="222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196</v>
      </c>
      <c r="C273" s="381" t="s">
        <v>22</v>
      </c>
      <c r="D273" s="374"/>
      <c r="E273" s="381" t="s">
        <v>27</v>
      </c>
      <c r="F273" s="22"/>
      <c r="G273" s="23" t="s">
        <v>24</v>
      </c>
      <c r="H273" s="119"/>
      <c r="I273" s="25"/>
      <c r="J273" s="25"/>
      <c r="K273" s="26"/>
      <c r="L273" s="27"/>
      <c r="M273" s="26">
        <f t="shared" si="19"/>
        <v>0</v>
      </c>
      <c r="N273" s="26"/>
      <c r="O273" s="28"/>
      <c r="P273" s="120"/>
      <c r="Q273" s="26"/>
      <c r="R273" s="27"/>
      <c r="S273" s="26">
        <f t="shared" si="20"/>
        <v>0</v>
      </c>
      <c r="T273" s="26"/>
      <c r="U273" s="28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348</v>
      </c>
      <c r="G274" s="35" t="s">
        <v>28</v>
      </c>
      <c r="H274" s="66">
        <v>8</v>
      </c>
      <c r="I274" s="38"/>
      <c r="J274" s="38"/>
      <c r="K274" s="39"/>
      <c r="L274" s="40"/>
      <c r="M274" s="39">
        <f t="shared" si="19"/>
        <v>0</v>
      </c>
      <c r="N274" s="39"/>
      <c r="O274" s="41"/>
      <c r="P274" s="67">
        <v>4</v>
      </c>
      <c r="Q274" s="68">
        <v>11282.42</v>
      </c>
      <c r="R274" s="285">
        <v>4</v>
      </c>
      <c r="S274" s="39">
        <f t="shared" si="20"/>
        <v>11576</v>
      </c>
      <c r="T274" s="39">
        <f>2547.3+4226.2+2881.5+1921</f>
        <v>11576</v>
      </c>
      <c r="U274" s="4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82"/>
      <c r="B275" s="381" t="s">
        <v>197</v>
      </c>
      <c r="C275" s="381" t="s">
        <v>39</v>
      </c>
      <c r="D275" s="381" t="s">
        <v>381</v>
      </c>
      <c r="E275" s="381" t="s">
        <v>27</v>
      </c>
      <c r="F275" s="204" t="s">
        <v>382</v>
      </c>
      <c r="G275" s="47" t="s">
        <v>24</v>
      </c>
      <c r="H275" s="98"/>
      <c r="I275" s="49"/>
      <c r="J275" s="49"/>
      <c r="K275" s="50"/>
      <c r="L275" s="51"/>
      <c r="M275" s="50">
        <f t="shared" si="19"/>
        <v>0</v>
      </c>
      <c r="N275" s="50"/>
      <c r="O275" s="31"/>
      <c r="P275" s="108">
        <v>1</v>
      </c>
      <c r="Q275" s="65">
        <v>748.24</v>
      </c>
      <c r="R275" s="224">
        <v>1</v>
      </c>
      <c r="S275" s="50">
        <f t="shared" si="20"/>
        <v>748.24</v>
      </c>
      <c r="T275" s="65">
        <v>748.24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9"/>
      <c r="B276" s="380"/>
      <c r="C276" s="380"/>
      <c r="D276" s="380"/>
      <c r="E276" s="380"/>
      <c r="F276" s="221" t="s">
        <v>349</v>
      </c>
      <c r="G276" s="55" t="s">
        <v>28</v>
      </c>
      <c r="H276" s="153">
        <v>4</v>
      </c>
      <c r="I276" s="130">
        <v>2</v>
      </c>
      <c r="J276" s="130">
        <v>2</v>
      </c>
      <c r="K276" s="114">
        <v>3265.7</v>
      </c>
      <c r="L276" s="270">
        <v>2</v>
      </c>
      <c r="M276" s="43">
        <f t="shared" si="19"/>
        <v>2977.55</v>
      </c>
      <c r="N276" s="43">
        <f>1056.55+1921</f>
        <v>2977.55</v>
      </c>
      <c r="O276" s="41"/>
      <c r="P276" s="103"/>
      <c r="Q276" s="43"/>
      <c r="R276" s="270">
        <v>2</v>
      </c>
      <c r="S276" s="43">
        <f t="shared" si="20"/>
        <v>3765.16</v>
      </c>
      <c r="T276" s="114">
        <f>1440.75+2324.41</f>
        <v>3765.16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2"/>
      <c r="B277" s="374" t="s">
        <v>198</v>
      </c>
      <c r="C277" s="374" t="s">
        <v>39</v>
      </c>
      <c r="D277" s="374" t="s">
        <v>469</v>
      </c>
      <c r="E277" s="374" t="s">
        <v>112</v>
      </c>
      <c r="F277" s="204" t="s">
        <v>470</v>
      </c>
      <c r="G277" s="23" t="s">
        <v>24</v>
      </c>
      <c r="H277" s="48">
        <v>10</v>
      </c>
      <c r="I277" s="62">
        <v>9</v>
      </c>
      <c r="J277" s="62">
        <v>9</v>
      </c>
      <c r="K277" s="30">
        <v>9703.07</v>
      </c>
      <c r="L277" s="205">
        <v>7</v>
      </c>
      <c r="M277" s="26">
        <f t="shared" si="19"/>
        <v>4666.33</v>
      </c>
      <c r="N277" s="30">
        <v>4666.33</v>
      </c>
      <c r="O277" s="31"/>
      <c r="P277" s="53">
        <v>13</v>
      </c>
      <c r="Q277" s="30">
        <v>48930.55</v>
      </c>
      <c r="R277" s="205">
        <v>13</v>
      </c>
      <c r="S277" s="26">
        <f t="shared" si="20"/>
        <v>48930.55</v>
      </c>
      <c r="T277" s="30">
        <v>48930.55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0" t="s">
        <v>350</v>
      </c>
      <c r="G278" s="35" t="s">
        <v>28</v>
      </c>
      <c r="H278" s="153">
        <v>3</v>
      </c>
      <c r="I278" s="37">
        <v>1</v>
      </c>
      <c r="J278" s="37">
        <v>1</v>
      </c>
      <c r="K278" s="68">
        <v>602.1</v>
      </c>
      <c r="L278" s="285">
        <v>1</v>
      </c>
      <c r="M278" s="39">
        <f t="shared" si="19"/>
        <v>602.1</v>
      </c>
      <c r="N278" s="39">
        <f>602.1</f>
        <v>602.1</v>
      </c>
      <c r="O278" s="41"/>
      <c r="P278" s="59"/>
      <c r="Q278" s="39"/>
      <c r="R278" s="40"/>
      <c r="S278" s="39">
        <f t="shared" si="20"/>
        <v>0</v>
      </c>
      <c r="T278" s="39"/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82"/>
      <c r="B279" s="381" t="s">
        <v>199</v>
      </c>
      <c r="C279" s="381" t="s">
        <v>22</v>
      </c>
      <c r="D279" s="381"/>
      <c r="E279" s="381" t="s">
        <v>131</v>
      </c>
      <c r="F279" s="46"/>
      <c r="G279" s="23" t="s">
        <v>24</v>
      </c>
      <c r="H279" s="98"/>
      <c r="I279" s="49"/>
      <c r="J279" s="49"/>
      <c r="K279" s="50"/>
      <c r="L279" s="51"/>
      <c r="M279" s="50">
        <f t="shared" si="19"/>
        <v>0</v>
      </c>
      <c r="N279" s="50"/>
      <c r="O279" s="31"/>
      <c r="P279" s="123"/>
      <c r="Q279" s="50"/>
      <c r="R279" s="51"/>
      <c r="S279" s="50">
        <f t="shared" si="20"/>
        <v>0</v>
      </c>
      <c r="T279" s="50"/>
      <c r="U279" s="31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9"/>
      <c r="B280" s="380"/>
      <c r="C280" s="380"/>
      <c r="D280" s="380"/>
      <c r="E280" s="380"/>
      <c r="F280" s="126"/>
      <c r="G280" s="55" t="s">
        <v>25</v>
      </c>
      <c r="H280" s="118"/>
      <c r="I280" s="57"/>
      <c r="J280" s="57"/>
      <c r="K280" s="43"/>
      <c r="L280" s="44"/>
      <c r="M280" s="43">
        <f t="shared" si="19"/>
        <v>0</v>
      </c>
      <c r="N280" s="43"/>
      <c r="O280" s="41"/>
      <c r="P280" s="103"/>
      <c r="Q280" s="43"/>
      <c r="R280" s="44"/>
      <c r="S280" s="43">
        <f t="shared" si="20"/>
        <v>0</v>
      </c>
      <c r="T280" s="43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2"/>
      <c r="B281" s="374" t="s">
        <v>200</v>
      </c>
      <c r="C281" s="374" t="s">
        <v>39</v>
      </c>
      <c r="D281" s="374" t="s">
        <v>456</v>
      </c>
      <c r="E281" s="374" t="s">
        <v>27</v>
      </c>
      <c r="F281" s="204" t="s">
        <v>457</v>
      </c>
      <c r="G281" s="23" t="s">
        <v>24</v>
      </c>
      <c r="H281" s="61">
        <v>4</v>
      </c>
      <c r="I281" s="62">
        <v>4</v>
      </c>
      <c r="J281" s="62">
        <v>5</v>
      </c>
      <c r="K281" s="30">
        <v>6859.34</v>
      </c>
      <c r="L281" s="205">
        <v>5</v>
      </c>
      <c r="M281" s="26">
        <f t="shared" si="19"/>
        <v>6859.34</v>
      </c>
      <c r="N281" s="30">
        <v>6859.34</v>
      </c>
      <c r="O281" s="31"/>
      <c r="P281" s="29">
        <v>6</v>
      </c>
      <c r="Q281" s="30">
        <v>21652.240000000002</v>
      </c>
      <c r="R281" s="205">
        <v>6</v>
      </c>
      <c r="S281" s="26">
        <f t="shared" si="20"/>
        <v>21652.240000000002</v>
      </c>
      <c r="T281" s="30">
        <v>21652.240000000002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3"/>
      <c r="B282" s="375"/>
      <c r="C282" s="375"/>
      <c r="D282" s="375"/>
      <c r="E282" s="375"/>
      <c r="F282" s="233" t="s">
        <v>466</v>
      </c>
      <c r="G282" s="227" t="s">
        <v>28</v>
      </c>
      <c r="H282" s="207">
        <v>4</v>
      </c>
      <c r="I282" s="208">
        <v>2</v>
      </c>
      <c r="J282" s="208">
        <v>2</v>
      </c>
      <c r="K282" s="209">
        <v>3364.6</v>
      </c>
      <c r="L282" s="290">
        <v>2</v>
      </c>
      <c r="M282" s="211">
        <f t="shared" si="19"/>
        <v>3364.6000000000004</v>
      </c>
      <c r="N282" s="211">
        <f>1056.55+2308.05</f>
        <v>3364.6000000000004</v>
      </c>
      <c r="O282" s="212"/>
      <c r="P282" s="284"/>
      <c r="Q282" s="211"/>
      <c r="R282" s="290">
        <v>1</v>
      </c>
      <c r="S282" s="211">
        <f t="shared" si="20"/>
        <v>1921</v>
      </c>
      <c r="T282" s="209">
        <v>1921</v>
      </c>
      <c r="U282" s="212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430</v>
      </c>
      <c r="C283" s="374" t="s">
        <v>39</v>
      </c>
      <c r="D283" s="374" t="s">
        <v>439</v>
      </c>
      <c r="E283" s="374" t="s">
        <v>27</v>
      </c>
      <c r="F283" s="204" t="s">
        <v>440</v>
      </c>
      <c r="G283" s="213" t="s">
        <v>24</v>
      </c>
      <c r="H283" s="61">
        <v>2</v>
      </c>
      <c r="I283" s="62"/>
      <c r="J283" s="62"/>
      <c r="K283" s="30"/>
      <c r="L283" s="27"/>
      <c r="M283" s="26">
        <f t="shared" si="19"/>
        <v>0</v>
      </c>
      <c r="N283" s="26"/>
      <c r="O283" s="241"/>
      <c r="P283" s="214"/>
      <c r="Q283" s="30"/>
      <c r="R283" s="205"/>
      <c r="S283" s="26">
        <f t="shared" si="20"/>
        <v>0</v>
      </c>
      <c r="T283" s="30"/>
      <c r="U283" s="28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20"/>
      <c r="G284" s="215" t="s">
        <v>28</v>
      </c>
      <c r="H284" s="117"/>
      <c r="I284" s="37"/>
      <c r="J284" s="37"/>
      <c r="K284" s="68"/>
      <c r="L284" s="40"/>
      <c r="M284" s="39">
        <f t="shared" si="19"/>
        <v>0</v>
      </c>
      <c r="N284" s="39"/>
      <c r="O284" s="234"/>
      <c r="P284" s="217"/>
      <c r="Q284" s="68"/>
      <c r="R284" s="285"/>
      <c r="S284" s="39">
        <f t="shared" si="20"/>
        <v>0</v>
      </c>
      <c r="T284" s="68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6"/>
      <c r="B285" s="377" t="s">
        <v>201</v>
      </c>
      <c r="C285" s="377" t="s">
        <v>39</v>
      </c>
      <c r="D285" s="377" t="s">
        <v>385</v>
      </c>
      <c r="E285" s="377" t="s">
        <v>386</v>
      </c>
      <c r="F285" s="232" t="s">
        <v>387</v>
      </c>
      <c r="G285" s="95" t="s">
        <v>24</v>
      </c>
      <c r="H285" s="265">
        <v>17</v>
      </c>
      <c r="I285" s="266">
        <v>12</v>
      </c>
      <c r="J285" s="266">
        <v>19</v>
      </c>
      <c r="K285" s="79">
        <v>27305.66</v>
      </c>
      <c r="L285" s="268">
        <v>19</v>
      </c>
      <c r="M285" s="81">
        <f t="shared" si="19"/>
        <v>27305.66</v>
      </c>
      <c r="N285" s="79">
        <v>27305.66</v>
      </c>
      <c r="O285" s="313"/>
      <c r="P285" s="267">
        <v>2</v>
      </c>
      <c r="Q285" s="79">
        <v>4356.83</v>
      </c>
      <c r="R285" s="268">
        <v>2</v>
      </c>
      <c r="S285" s="81">
        <f t="shared" si="20"/>
        <v>4356.83</v>
      </c>
      <c r="T285" s="79">
        <v>4356.83</v>
      </c>
      <c r="U285" s="82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105"/>
      <c r="G286" s="35" t="s">
        <v>25</v>
      </c>
      <c r="H286" s="117">
        <v>1</v>
      </c>
      <c r="I286" s="38"/>
      <c r="J286" s="38"/>
      <c r="K286" s="39"/>
      <c r="L286" s="40"/>
      <c r="M286" s="39">
        <f t="shared" si="19"/>
        <v>0</v>
      </c>
      <c r="N286" s="39"/>
      <c r="O286" s="58"/>
      <c r="P286" s="115">
        <v>2</v>
      </c>
      <c r="Q286" s="68">
        <v>4418.3</v>
      </c>
      <c r="R286" s="285">
        <v>2</v>
      </c>
      <c r="S286" s="68">
        <v>4418.3</v>
      </c>
      <c r="T286" s="68">
        <v>4418.3</v>
      </c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82"/>
      <c r="B287" s="381" t="s">
        <v>202</v>
      </c>
      <c r="C287" s="381" t="s">
        <v>39</v>
      </c>
      <c r="D287" s="377" t="s">
        <v>441</v>
      </c>
      <c r="E287" s="381" t="s">
        <v>27</v>
      </c>
      <c r="F287" s="204" t="s">
        <v>442</v>
      </c>
      <c r="G287" s="47" t="s">
        <v>24</v>
      </c>
      <c r="H287" s="48">
        <v>2</v>
      </c>
      <c r="I287" s="203">
        <v>2</v>
      </c>
      <c r="J287" s="203">
        <v>2</v>
      </c>
      <c r="K287" s="65">
        <v>2382.04</v>
      </c>
      <c r="L287" s="224">
        <v>2</v>
      </c>
      <c r="M287" s="50">
        <f t="shared" si="19"/>
        <v>2382.04</v>
      </c>
      <c r="N287" s="65">
        <v>2382.04</v>
      </c>
      <c r="O287" s="31"/>
      <c r="P287" s="108">
        <v>2</v>
      </c>
      <c r="Q287" s="65">
        <v>4082.51</v>
      </c>
      <c r="R287" s="224">
        <v>2</v>
      </c>
      <c r="S287" s="50">
        <f t="shared" ref="S287:S291" si="21">T287+U287</f>
        <v>4082.51</v>
      </c>
      <c r="T287" s="65">
        <v>4082.51</v>
      </c>
      <c r="U287" s="22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1" t="s">
        <v>262</v>
      </c>
      <c r="G288" s="55" t="s">
        <v>28</v>
      </c>
      <c r="H288" s="112">
        <v>3</v>
      </c>
      <c r="I288" s="130">
        <v>1</v>
      </c>
      <c r="J288" s="130">
        <v>1</v>
      </c>
      <c r="K288" s="114">
        <v>1479.17</v>
      </c>
      <c r="L288" s="316">
        <v>1</v>
      </c>
      <c r="M288" s="129">
        <f t="shared" si="19"/>
        <v>1479.17</v>
      </c>
      <c r="N288" s="43">
        <f>1479.17</f>
        <v>1479.17</v>
      </c>
      <c r="O288" s="45"/>
      <c r="P288" s="113">
        <v>4</v>
      </c>
      <c r="Q288" s="114">
        <v>17905.400000000001</v>
      </c>
      <c r="R288" s="316">
        <v>5</v>
      </c>
      <c r="S288" s="129">
        <f t="shared" si="21"/>
        <v>21555.3</v>
      </c>
      <c r="T288" s="114">
        <f>3649.9+1344.7+7107.7+4034.1+5418.9</f>
        <v>21555.3</v>
      </c>
      <c r="U288" s="45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2"/>
      <c r="B289" s="374" t="s">
        <v>203</v>
      </c>
      <c r="C289" s="377" t="s">
        <v>46</v>
      </c>
      <c r="D289" s="377" t="s">
        <v>459</v>
      </c>
      <c r="E289" s="374" t="s">
        <v>27</v>
      </c>
      <c r="F289" s="204" t="s">
        <v>475</v>
      </c>
      <c r="G289" s="23" t="s">
        <v>24</v>
      </c>
      <c r="H289" s="61">
        <v>2</v>
      </c>
      <c r="I289" s="25"/>
      <c r="J289" s="25"/>
      <c r="K289" s="26"/>
      <c r="L289" s="27"/>
      <c r="M289" s="26">
        <f t="shared" si="19"/>
        <v>0</v>
      </c>
      <c r="N289" s="26"/>
      <c r="O289" s="28"/>
      <c r="P289" s="120"/>
      <c r="Q289" s="26"/>
      <c r="R289" s="27"/>
      <c r="S289" s="26">
        <f t="shared" si="21"/>
        <v>0</v>
      </c>
      <c r="T289" s="26"/>
      <c r="U289" s="28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34"/>
      <c r="G290" s="35" t="s">
        <v>28</v>
      </c>
      <c r="H290" s="117"/>
      <c r="I290" s="38"/>
      <c r="J290" s="38"/>
      <c r="K290" s="39"/>
      <c r="L290" s="40"/>
      <c r="M290" s="39">
        <f t="shared" si="19"/>
        <v>0</v>
      </c>
      <c r="N290" s="39"/>
      <c r="O290" s="41"/>
      <c r="P290" s="69"/>
      <c r="Q290" s="39"/>
      <c r="R290" s="40"/>
      <c r="S290" s="39">
        <f t="shared" si="21"/>
        <v>0</v>
      </c>
      <c r="T290" s="39"/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82"/>
      <c r="B291" s="381" t="s">
        <v>204</v>
      </c>
      <c r="C291" s="377" t="s">
        <v>22</v>
      </c>
      <c r="D291" s="377"/>
      <c r="E291" s="381" t="s">
        <v>23</v>
      </c>
      <c r="F291" s="204" t="s">
        <v>431</v>
      </c>
      <c r="G291" s="47" t="s">
        <v>24</v>
      </c>
      <c r="H291" s="48">
        <v>11</v>
      </c>
      <c r="I291" s="203">
        <v>7</v>
      </c>
      <c r="J291" s="203">
        <v>8</v>
      </c>
      <c r="K291" s="65">
        <v>10146.15</v>
      </c>
      <c r="L291" s="224">
        <v>6</v>
      </c>
      <c r="M291" s="50">
        <f t="shared" si="19"/>
        <v>8254.93</v>
      </c>
      <c r="N291" s="65">
        <v>8254.93</v>
      </c>
      <c r="O291" s="225"/>
      <c r="P291" s="108">
        <v>4</v>
      </c>
      <c r="Q291" s="65">
        <v>3363.11</v>
      </c>
      <c r="R291" s="224">
        <v>4</v>
      </c>
      <c r="S291" s="50">
        <f t="shared" si="21"/>
        <v>3363.11</v>
      </c>
      <c r="T291" s="65">
        <v>3363.11</v>
      </c>
      <c r="U291" s="225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25</v>
      </c>
      <c r="H292" s="111"/>
      <c r="I292" s="38"/>
      <c r="J292" s="38"/>
      <c r="K292" s="39"/>
      <c r="L292" s="40"/>
      <c r="M292" s="39">
        <f t="shared" si="19"/>
        <v>0</v>
      </c>
      <c r="N292" s="39"/>
      <c r="O292" s="41"/>
      <c r="P292" s="115">
        <v>1</v>
      </c>
      <c r="Q292" s="68">
        <v>2305.1999999999998</v>
      </c>
      <c r="R292" s="285">
        <v>1</v>
      </c>
      <c r="S292" s="68">
        <v>2305.1999999999998</v>
      </c>
      <c r="T292" s="68">
        <v>2305.1999999999998</v>
      </c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179"/>
      <c r="B293" s="180" t="s">
        <v>205</v>
      </c>
      <c r="C293" s="180"/>
      <c r="D293" s="180"/>
      <c r="E293" s="180"/>
      <c r="F293" s="180"/>
      <c r="G293" s="181"/>
      <c r="H293" s="182">
        <f t="shared" ref="H293:U293" si="22">SUM(H9:H292)</f>
        <v>1573</v>
      </c>
      <c r="I293" s="183">
        <f t="shared" si="22"/>
        <v>956</v>
      </c>
      <c r="J293" s="183">
        <f t="shared" si="22"/>
        <v>1167</v>
      </c>
      <c r="K293" s="184">
        <f t="shared" si="22"/>
        <v>2089335.71</v>
      </c>
      <c r="L293" s="185">
        <f t="shared" si="22"/>
        <v>1092</v>
      </c>
      <c r="M293" s="184">
        <f t="shared" si="22"/>
        <v>1991395.26</v>
      </c>
      <c r="N293" s="184">
        <f t="shared" si="22"/>
        <v>1991395.26</v>
      </c>
      <c r="O293" s="186">
        <f t="shared" si="22"/>
        <v>0</v>
      </c>
      <c r="P293" s="187">
        <f t="shared" si="22"/>
        <v>1269</v>
      </c>
      <c r="Q293" s="188">
        <f t="shared" si="22"/>
        <v>4327611.6900000004</v>
      </c>
      <c r="R293" s="185">
        <f t="shared" si="22"/>
        <v>1240</v>
      </c>
      <c r="S293" s="188">
        <f t="shared" si="22"/>
        <v>4276740.6699999981</v>
      </c>
      <c r="T293" s="188">
        <f t="shared" si="22"/>
        <v>4275837.5199999986</v>
      </c>
      <c r="U293" s="189">
        <f t="shared" si="22"/>
        <v>0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 t="s">
        <v>206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27.75" customHeight="1">
      <c r="A297" s="4"/>
      <c r="B297" s="4"/>
      <c r="C297" s="4"/>
      <c r="D297" s="4"/>
      <c r="E297" s="4"/>
      <c r="F297" s="394"/>
      <c r="G297" s="395" t="s">
        <v>5</v>
      </c>
      <c r="H297" s="396"/>
      <c r="I297" s="396"/>
      <c r="J297" s="396"/>
      <c r="K297" s="396"/>
      <c r="L297" s="396"/>
      <c r="M297" s="396"/>
      <c r="N297" s="397"/>
      <c r="O297" s="395" t="s">
        <v>6</v>
      </c>
      <c r="P297" s="396"/>
      <c r="Q297" s="396"/>
      <c r="R297" s="396"/>
      <c r="S297" s="396"/>
      <c r="T297" s="397"/>
      <c r="U297" s="393" t="s">
        <v>207</v>
      </c>
      <c r="V297" s="393" t="s">
        <v>208</v>
      </c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386"/>
      <c r="G298" s="190" t="s">
        <v>13</v>
      </c>
      <c r="H298" s="190" t="s">
        <v>14</v>
      </c>
      <c r="I298" s="190" t="s">
        <v>15</v>
      </c>
      <c r="J298" s="190" t="s">
        <v>16</v>
      </c>
      <c r="K298" s="191" t="s">
        <v>17</v>
      </c>
      <c r="L298" s="190" t="s">
        <v>18</v>
      </c>
      <c r="M298" s="190" t="s">
        <v>19</v>
      </c>
      <c r="N298" s="190" t="s">
        <v>20</v>
      </c>
      <c r="O298" s="190" t="s">
        <v>15</v>
      </c>
      <c r="P298" s="190" t="s">
        <v>16</v>
      </c>
      <c r="Q298" s="191" t="s">
        <v>17</v>
      </c>
      <c r="R298" s="190" t="s">
        <v>18</v>
      </c>
      <c r="S298" s="190" t="s">
        <v>19</v>
      </c>
      <c r="T298" s="190" t="s">
        <v>20</v>
      </c>
      <c r="U298" s="392"/>
      <c r="V298" s="392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192" t="s">
        <v>24</v>
      </c>
      <c r="G299" s="193">
        <f t="shared" ref="G299:I299" si="23">SUMIF($G$9:$G$292,$F$299,H9:H292)</f>
        <v>1145</v>
      </c>
      <c r="H299" s="193">
        <f t="shared" si="23"/>
        <v>798</v>
      </c>
      <c r="I299" s="193">
        <f t="shared" si="23"/>
        <v>1008</v>
      </c>
      <c r="J299" s="194">
        <f t="shared" ref="J299:J301" si="24">SUMIF($G$9:$G$292,F299,$K$9:$K$292)</f>
        <v>1795458.4199999997</v>
      </c>
      <c r="K299" s="195">
        <f t="shared" ref="K299:K301" si="25">SUMIF($G$9:$G$292,F299,$L$9:$L$292)</f>
        <v>934</v>
      </c>
      <c r="L299" s="194">
        <f t="shared" ref="L299:L301" si="26">SUMIF($G$9:$G$292,F299,$M$9:$M$292)</f>
        <v>1695333.6299999994</v>
      </c>
      <c r="M299" s="194">
        <f t="shared" ref="M299:O299" si="27">SUMIF($G$9:$G$292,$F$299,N9:N292)</f>
        <v>1695333.6299999994</v>
      </c>
      <c r="N299" s="194">
        <f t="shared" si="27"/>
        <v>0</v>
      </c>
      <c r="O299" s="193">
        <f t="shared" si="27"/>
        <v>1018</v>
      </c>
      <c r="P299" s="194">
        <f t="shared" ref="P299:P301" si="28">SUMIF($G$9:$G$292,F299,$Q$9:$Q$292)</f>
        <v>3553685.8100000005</v>
      </c>
      <c r="Q299" s="195">
        <f t="shared" ref="Q299:Q301" si="29">SUMIF($G$9:$G$292,F299,$R$9:$R$292)</f>
        <v>985</v>
      </c>
      <c r="R299" s="194">
        <f t="shared" ref="R299:R301" si="30">SUMIF($G$9:$G$292,F299,$S$9:$S$292)</f>
        <v>3483695.4399999995</v>
      </c>
      <c r="S299" s="194">
        <f t="shared" ref="S299:T299" si="31">SUMIF($G$9:$G$292,$F$299,T9:T292)</f>
        <v>3483695.4399999995</v>
      </c>
      <c r="T299" s="194">
        <f t="shared" si="31"/>
        <v>0</v>
      </c>
      <c r="U299" s="194">
        <f t="shared" ref="U299:U301" si="32">S299+M299</f>
        <v>5179029.0699999984</v>
      </c>
      <c r="V299" s="196">
        <f t="shared" ref="V299:V301" si="33">J299-M299+P299-S299</f>
        <v>170115.16000000108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192" t="s">
        <v>28</v>
      </c>
      <c r="G300" s="236">
        <f t="shared" ref="G300:I300" si="34">SUMIF($G$9:$G$292,$F$300,H9:H292)</f>
        <v>356</v>
      </c>
      <c r="H300" s="193">
        <f t="shared" si="34"/>
        <v>121</v>
      </c>
      <c r="I300" s="193">
        <f t="shared" si="34"/>
        <v>122</v>
      </c>
      <c r="J300" s="194">
        <f t="shared" si="24"/>
        <v>225633.79000000007</v>
      </c>
      <c r="K300" s="195">
        <f t="shared" si="25"/>
        <v>121</v>
      </c>
      <c r="L300" s="194">
        <f t="shared" si="26"/>
        <v>227818.13</v>
      </c>
      <c r="M300" s="194">
        <f t="shared" ref="M300:O300" si="35">SUMIF($G$9:$G$292,$F$300,N9:N292)</f>
        <v>227818.13</v>
      </c>
      <c r="N300" s="194">
        <f t="shared" si="35"/>
        <v>0</v>
      </c>
      <c r="O300" s="193">
        <f t="shared" si="35"/>
        <v>192</v>
      </c>
      <c r="P300" s="194">
        <f t="shared" si="28"/>
        <v>561597.84</v>
      </c>
      <c r="Q300" s="195">
        <f t="shared" si="29"/>
        <v>197</v>
      </c>
      <c r="R300" s="194">
        <f t="shared" si="30"/>
        <v>580717.19000000018</v>
      </c>
      <c r="S300" s="194">
        <f t="shared" ref="S300:T300" si="36">SUMIF($G$9:$G$292,$F$300,T9:T292)</f>
        <v>580717.19000000018</v>
      </c>
      <c r="T300" s="194">
        <f t="shared" si="36"/>
        <v>0</v>
      </c>
      <c r="U300" s="194">
        <f t="shared" si="32"/>
        <v>808535.32000000018</v>
      </c>
      <c r="V300" s="196">
        <f t="shared" si="33"/>
        <v>-21303.690000000177</v>
      </c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25</v>
      </c>
      <c r="G301" s="193">
        <f t="shared" ref="G301:I301" si="37">SUMIF($G$9:$G$292,$F$301,H9:H292)</f>
        <v>72</v>
      </c>
      <c r="H301" s="193">
        <f t="shared" si="37"/>
        <v>37</v>
      </c>
      <c r="I301" s="193">
        <f t="shared" si="37"/>
        <v>37</v>
      </c>
      <c r="J301" s="194">
        <f t="shared" si="24"/>
        <v>68243.5</v>
      </c>
      <c r="K301" s="195">
        <f t="shared" si="25"/>
        <v>37</v>
      </c>
      <c r="L301" s="194">
        <f t="shared" si="26"/>
        <v>68243.5</v>
      </c>
      <c r="M301" s="194">
        <f t="shared" ref="M301:O301" si="38">SUMIF($G$9:$G$292,$F$301,N9:N292)</f>
        <v>68243.5</v>
      </c>
      <c r="N301" s="194">
        <f t="shared" si="38"/>
        <v>0</v>
      </c>
      <c r="O301" s="193">
        <f t="shared" si="38"/>
        <v>59</v>
      </c>
      <c r="P301" s="194">
        <f t="shared" si="28"/>
        <v>212328.03999999998</v>
      </c>
      <c r="Q301" s="195">
        <f t="shared" si="29"/>
        <v>58</v>
      </c>
      <c r="R301" s="194">
        <f t="shared" si="30"/>
        <v>212328.03999999998</v>
      </c>
      <c r="S301" s="194">
        <f t="shared" ref="S301:T301" si="39">SUMIF($G$9:$G$292,$F$301,T9:T292)</f>
        <v>211424.88999999998</v>
      </c>
      <c r="T301" s="194">
        <f t="shared" si="39"/>
        <v>0</v>
      </c>
      <c r="U301" s="194">
        <f t="shared" si="32"/>
        <v>279668.39</v>
      </c>
      <c r="V301" s="196">
        <f t="shared" si="33"/>
        <v>903.14999999999418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197">
        <f t="shared" ref="G302:V302" si="40">G301+G300+G299</f>
        <v>1573</v>
      </c>
      <c r="H302" s="197">
        <f t="shared" si="40"/>
        <v>956</v>
      </c>
      <c r="I302" s="197">
        <f t="shared" si="40"/>
        <v>1167</v>
      </c>
      <c r="J302" s="198">
        <f t="shared" si="40"/>
        <v>2089335.7099999997</v>
      </c>
      <c r="K302" s="199">
        <f t="shared" si="40"/>
        <v>1092</v>
      </c>
      <c r="L302" s="198">
        <f t="shared" si="40"/>
        <v>1991395.2599999993</v>
      </c>
      <c r="M302" s="198">
        <f t="shared" si="40"/>
        <v>1991395.2599999993</v>
      </c>
      <c r="N302" s="198">
        <f t="shared" si="40"/>
        <v>0</v>
      </c>
      <c r="O302" s="197">
        <f t="shared" si="40"/>
        <v>1269</v>
      </c>
      <c r="P302" s="198">
        <f t="shared" si="40"/>
        <v>4327611.6900000004</v>
      </c>
      <c r="Q302" s="200">
        <f t="shared" si="40"/>
        <v>1240</v>
      </c>
      <c r="R302" s="198">
        <f t="shared" si="40"/>
        <v>4276740.67</v>
      </c>
      <c r="S302" s="198">
        <f t="shared" si="40"/>
        <v>4275837.5199999996</v>
      </c>
      <c r="T302" s="198">
        <f t="shared" si="40"/>
        <v>0</v>
      </c>
      <c r="U302" s="198">
        <f t="shared" si="40"/>
        <v>6267232.7799999984</v>
      </c>
      <c r="V302" s="198">
        <f t="shared" si="40"/>
        <v>149714.6200000009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K303" s="201"/>
      <c r="L303" s="201"/>
      <c r="R303" s="2"/>
    </row>
    <row r="304" spans="1:32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L455" s="2"/>
      <c r="R455" s="2"/>
    </row>
    <row r="456" spans="11:18" ht="15.75" customHeight="1">
      <c r="L456" s="2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</sheetData>
  <mergeCells count="705">
    <mergeCell ref="A204:A206"/>
    <mergeCell ref="A207:A208"/>
    <mergeCell ref="B207:B208"/>
    <mergeCell ref="C207:C208"/>
    <mergeCell ref="A209:A210"/>
    <mergeCell ref="B209:B210"/>
    <mergeCell ref="C209:C210"/>
    <mergeCell ref="D225:D226"/>
    <mergeCell ref="E225:E226"/>
    <mergeCell ref="B225:B226"/>
    <mergeCell ref="C225:C226"/>
    <mergeCell ref="B204:B206"/>
    <mergeCell ref="C204:C206"/>
    <mergeCell ref="D207:D208"/>
    <mergeCell ref="D209:D210"/>
    <mergeCell ref="D200:D201"/>
    <mergeCell ref="E200:E201"/>
    <mergeCell ref="D202:D203"/>
    <mergeCell ref="E202:E203"/>
    <mergeCell ref="D204:D206"/>
    <mergeCell ref="E204:E206"/>
    <mergeCell ref="E207:E208"/>
    <mergeCell ref="E209:E210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A202:A203"/>
    <mergeCell ref="B202:B203"/>
    <mergeCell ref="C202:C203"/>
    <mergeCell ref="C196:C197"/>
    <mergeCell ref="D196:D197"/>
    <mergeCell ref="A194:A195"/>
    <mergeCell ref="B194:B195"/>
    <mergeCell ref="C194:C195"/>
    <mergeCell ref="D194:D195"/>
    <mergeCell ref="E194:E195"/>
    <mergeCell ref="B196:B197"/>
    <mergeCell ref="E196:E197"/>
    <mergeCell ref="A196:A197"/>
    <mergeCell ref="D180:D181"/>
    <mergeCell ref="E180:E181"/>
    <mergeCell ref="A182:A183"/>
    <mergeCell ref="B190:B191"/>
    <mergeCell ref="C190:C191"/>
    <mergeCell ref="A192:A193"/>
    <mergeCell ref="B192:B193"/>
    <mergeCell ref="C192:C193"/>
    <mergeCell ref="D192:D193"/>
    <mergeCell ref="E192:E193"/>
    <mergeCell ref="A176:A177"/>
    <mergeCell ref="B176:B177"/>
    <mergeCell ref="C176:C177"/>
    <mergeCell ref="B178:B179"/>
    <mergeCell ref="C178:C179"/>
    <mergeCell ref="A178:A179"/>
    <mergeCell ref="A180:A181"/>
    <mergeCell ref="B180:B181"/>
    <mergeCell ref="C180:C181"/>
    <mergeCell ref="A170:A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90:D191"/>
    <mergeCell ref="E190:E191"/>
    <mergeCell ref="A186:A187"/>
    <mergeCell ref="A188:A189"/>
    <mergeCell ref="B188:B189"/>
    <mergeCell ref="C188:C189"/>
    <mergeCell ref="D188:D189"/>
    <mergeCell ref="E188:E189"/>
    <mergeCell ref="A190:A191"/>
    <mergeCell ref="D186:D187"/>
    <mergeCell ref="E186:E187"/>
    <mergeCell ref="B182:B183"/>
    <mergeCell ref="C182:C183"/>
    <mergeCell ref="A184:A185"/>
    <mergeCell ref="B184:B185"/>
    <mergeCell ref="C184:C185"/>
    <mergeCell ref="B186:B187"/>
    <mergeCell ref="C186:C187"/>
    <mergeCell ref="A166:A167"/>
    <mergeCell ref="B166:B167"/>
    <mergeCell ref="C166:C167"/>
    <mergeCell ref="D166:D167"/>
    <mergeCell ref="E166:E167"/>
    <mergeCell ref="D182:D183"/>
    <mergeCell ref="E182:E183"/>
    <mergeCell ref="D184:D185"/>
    <mergeCell ref="E184:E185"/>
    <mergeCell ref="C170:C171"/>
    <mergeCell ref="D170:D171"/>
    <mergeCell ref="A168:A169"/>
    <mergeCell ref="B168:B169"/>
    <mergeCell ref="C168:C169"/>
    <mergeCell ref="D168:D169"/>
    <mergeCell ref="E168:E169"/>
    <mergeCell ref="B170:B171"/>
    <mergeCell ref="E170:E171"/>
    <mergeCell ref="D174:D175"/>
    <mergeCell ref="E174:E175"/>
    <mergeCell ref="D176:D177"/>
    <mergeCell ref="E176:E177"/>
    <mergeCell ref="D178:D179"/>
    <mergeCell ref="E178:E179"/>
    <mergeCell ref="A154:A155"/>
    <mergeCell ref="B154:B155"/>
    <mergeCell ref="C154:C155"/>
    <mergeCell ref="D154:D155"/>
    <mergeCell ref="E154:E155"/>
    <mergeCell ref="B148:B149"/>
    <mergeCell ref="C148:C149"/>
    <mergeCell ref="A150:A151"/>
    <mergeCell ref="B150:B151"/>
    <mergeCell ref="C150:C151"/>
    <mergeCell ref="B152:B153"/>
    <mergeCell ref="C152:C153"/>
    <mergeCell ref="D148:D149"/>
    <mergeCell ref="E148:E149"/>
    <mergeCell ref="D150:D151"/>
    <mergeCell ref="E150:E151"/>
    <mergeCell ref="D152:D153"/>
    <mergeCell ref="E152:E153"/>
    <mergeCell ref="A143:A144"/>
    <mergeCell ref="A145:A147"/>
    <mergeCell ref="B145:B147"/>
    <mergeCell ref="C145:C147"/>
    <mergeCell ref="D145:D147"/>
    <mergeCell ref="E145:E147"/>
    <mergeCell ref="A148:A149"/>
    <mergeCell ref="A152:A153"/>
    <mergeCell ref="C143:C144"/>
    <mergeCell ref="D143:D144"/>
    <mergeCell ref="A141:A142"/>
    <mergeCell ref="B141:B142"/>
    <mergeCell ref="C141:C142"/>
    <mergeCell ref="D141:D142"/>
    <mergeCell ref="E141:E142"/>
    <mergeCell ref="B143:B144"/>
    <mergeCell ref="E143:E144"/>
    <mergeCell ref="D164:D165"/>
    <mergeCell ref="E164:E165"/>
    <mergeCell ref="A159:A160"/>
    <mergeCell ref="A161:A163"/>
    <mergeCell ref="B161:B163"/>
    <mergeCell ref="C161:C163"/>
    <mergeCell ref="D161:D163"/>
    <mergeCell ref="E161:E163"/>
    <mergeCell ref="A164:A165"/>
    <mergeCell ref="B164:B165"/>
    <mergeCell ref="C164:C165"/>
    <mergeCell ref="D271:D272"/>
    <mergeCell ref="E271:E272"/>
    <mergeCell ref="A273:A274"/>
    <mergeCell ref="B281:B282"/>
    <mergeCell ref="C281:C282"/>
    <mergeCell ref="A283:A284"/>
    <mergeCell ref="B283:B284"/>
    <mergeCell ref="C283:C284"/>
    <mergeCell ref="D283:D284"/>
    <mergeCell ref="E283:E284"/>
    <mergeCell ref="A289:A290"/>
    <mergeCell ref="B289:B290"/>
    <mergeCell ref="C289:C290"/>
    <mergeCell ref="D289:D290"/>
    <mergeCell ref="E289:E290"/>
    <mergeCell ref="A291:A292"/>
    <mergeCell ref="C261:C262"/>
    <mergeCell ref="D261:D262"/>
    <mergeCell ref="A259:A260"/>
    <mergeCell ref="B259:B260"/>
    <mergeCell ref="C259:C260"/>
    <mergeCell ref="D259:D260"/>
    <mergeCell ref="E259:E260"/>
    <mergeCell ref="B261:B262"/>
    <mergeCell ref="E261:E262"/>
    <mergeCell ref="D265:D266"/>
    <mergeCell ref="E265:E266"/>
    <mergeCell ref="D267:D268"/>
    <mergeCell ref="E267:E268"/>
    <mergeCell ref="D269:D270"/>
    <mergeCell ref="E269:E270"/>
    <mergeCell ref="A261:A262"/>
    <mergeCell ref="A263:A264"/>
    <mergeCell ref="B263:B264"/>
    <mergeCell ref="B291:B292"/>
    <mergeCell ref="C291:C292"/>
    <mergeCell ref="D291:D292"/>
    <mergeCell ref="E291:E292"/>
    <mergeCell ref="F297:F298"/>
    <mergeCell ref="G297:N297"/>
    <mergeCell ref="O297:T297"/>
    <mergeCell ref="U297:U298"/>
    <mergeCell ref="V297:V298"/>
    <mergeCell ref="C287:C288"/>
    <mergeCell ref="D287:D288"/>
    <mergeCell ref="A285:A286"/>
    <mergeCell ref="B285:B286"/>
    <mergeCell ref="C285:C286"/>
    <mergeCell ref="D285:D286"/>
    <mergeCell ref="E285:E286"/>
    <mergeCell ref="B287:B288"/>
    <mergeCell ref="E287:E288"/>
    <mergeCell ref="A287:A288"/>
    <mergeCell ref="D281:D282"/>
    <mergeCell ref="E281:E282"/>
    <mergeCell ref="A277:A278"/>
    <mergeCell ref="A279:A280"/>
    <mergeCell ref="B279:B280"/>
    <mergeCell ref="C279:C280"/>
    <mergeCell ref="D279:D280"/>
    <mergeCell ref="E279:E280"/>
    <mergeCell ref="A281:A282"/>
    <mergeCell ref="D277:D278"/>
    <mergeCell ref="E277:E278"/>
    <mergeCell ref="B273:B274"/>
    <mergeCell ref="C273:C274"/>
    <mergeCell ref="A275:A276"/>
    <mergeCell ref="B275:B276"/>
    <mergeCell ref="C275:C276"/>
    <mergeCell ref="B277:B278"/>
    <mergeCell ref="C277:C278"/>
    <mergeCell ref="A257:A258"/>
    <mergeCell ref="B257:B258"/>
    <mergeCell ref="C257:C258"/>
    <mergeCell ref="D257:D258"/>
    <mergeCell ref="E257:E258"/>
    <mergeCell ref="D273:D274"/>
    <mergeCell ref="E273:E274"/>
    <mergeCell ref="D275:D276"/>
    <mergeCell ref="E275:E276"/>
    <mergeCell ref="C263:C264"/>
    <mergeCell ref="D263:D264"/>
    <mergeCell ref="E263:E264"/>
    <mergeCell ref="A265:A266"/>
    <mergeCell ref="B265:B266"/>
    <mergeCell ref="C265:C266"/>
    <mergeCell ref="A267:A268"/>
    <mergeCell ref="B267:B268"/>
    <mergeCell ref="C267:C268"/>
    <mergeCell ref="B269:B270"/>
    <mergeCell ref="C269:C270"/>
    <mergeCell ref="A269:A270"/>
    <mergeCell ref="A271:A272"/>
    <mergeCell ref="B271:B272"/>
    <mergeCell ref="C271:C272"/>
    <mergeCell ref="D243:D244"/>
    <mergeCell ref="E243:E244"/>
    <mergeCell ref="D245:D246"/>
    <mergeCell ref="E245:E246"/>
    <mergeCell ref="D247:D248"/>
    <mergeCell ref="E247:E248"/>
    <mergeCell ref="A239:A240"/>
    <mergeCell ref="A241:A242"/>
    <mergeCell ref="B241:B242"/>
    <mergeCell ref="C241:C242"/>
    <mergeCell ref="D241:D242"/>
    <mergeCell ref="E241:E242"/>
    <mergeCell ref="A243:A244"/>
    <mergeCell ref="B243:B244"/>
    <mergeCell ref="C243:C244"/>
    <mergeCell ref="B245:B246"/>
    <mergeCell ref="C245:C246"/>
    <mergeCell ref="A247:A248"/>
    <mergeCell ref="B247:B248"/>
    <mergeCell ref="C247:C248"/>
    <mergeCell ref="C239:C240"/>
    <mergeCell ref="D239:D240"/>
    <mergeCell ref="A237:A238"/>
    <mergeCell ref="B237:B238"/>
    <mergeCell ref="C237:C238"/>
    <mergeCell ref="D237:D238"/>
    <mergeCell ref="E237:E238"/>
    <mergeCell ref="B239:B240"/>
    <mergeCell ref="E239:E240"/>
    <mergeCell ref="A249:A250"/>
    <mergeCell ref="B249:B250"/>
    <mergeCell ref="C249:C250"/>
    <mergeCell ref="D249:D250"/>
    <mergeCell ref="E249:E250"/>
    <mergeCell ref="B251:B252"/>
    <mergeCell ref="E251:E252"/>
    <mergeCell ref="D255:D256"/>
    <mergeCell ref="E255:E256"/>
    <mergeCell ref="A251:A252"/>
    <mergeCell ref="A253:A254"/>
    <mergeCell ref="B253:B254"/>
    <mergeCell ref="C253:C254"/>
    <mergeCell ref="D253:D254"/>
    <mergeCell ref="E253:E254"/>
    <mergeCell ref="A255:A256"/>
    <mergeCell ref="C251:C252"/>
    <mergeCell ref="D251:D252"/>
    <mergeCell ref="B255:B256"/>
    <mergeCell ref="C255:C256"/>
    <mergeCell ref="A223:A224"/>
    <mergeCell ref="B223:B224"/>
    <mergeCell ref="C223:C224"/>
    <mergeCell ref="D223:D224"/>
    <mergeCell ref="E223:E224"/>
    <mergeCell ref="A225:A226"/>
    <mergeCell ref="B233:B234"/>
    <mergeCell ref="C233:C234"/>
    <mergeCell ref="A235:A236"/>
    <mergeCell ref="B235:B236"/>
    <mergeCell ref="C235:C236"/>
    <mergeCell ref="D235:D236"/>
    <mergeCell ref="E235:E236"/>
    <mergeCell ref="D227:D228"/>
    <mergeCell ref="E227:E228"/>
    <mergeCell ref="D229:D230"/>
    <mergeCell ref="E229:E230"/>
    <mergeCell ref="A227:A228"/>
    <mergeCell ref="B227:B228"/>
    <mergeCell ref="C227:C228"/>
    <mergeCell ref="B229:B230"/>
    <mergeCell ref="C229:C230"/>
    <mergeCell ref="D217:D218"/>
    <mergeCell ref="E217:E218"/>
    <mergeCell ref="D219:D220"/>
    <mergeCell ref="E219:E220"/>
    <mergeCell ref="D221:D222"/>
    <mergeCell ref="E221:E222"/>
    <mergeCell ref="A213:A214"/>
    <mergeCell ref="A215:A216"/>
    <mergeCell ref="B215:B216"/>
    <mergeCell ref="C215:C216"/>
    <mergeCell ref="D215:D216"/>
    <mergeCell ref="E215:E216"/>
    <mergeCell ref="A217:A218"/>
    <mergeCell ref="B217:B218"/>
    <mergeCell ref="C217:C218"/>
    <mergeCell ref="A219:A220"/>
    <mergeCell ref="B219:B220"/>
    <mergeCell ref="C219:C220"/>
    <mergeCell ref="B221:B222"/>
    <mergeCell ref="C221:C222"/>
    <mergeCell ref="A221:A222"/>
    <mergeCell ref="C213:C214"/>
    <mergeCell ref="D213:D214"/>
    <mergeCell ref="A211:A212"/>
    <mergeCell ref="B211:B212"/>
    <mergeCell ref="C211:C212"/>
    <mergeCell ref="D211:D212"/>
    <mergeCell ref="E211:E212"/>
    <mergeCell ref="B213:B214"/>
    <mergeCell ref="E213:E214"/>
    <mergeCell ref="D233:D234"/>
    <mergeCell ref="E233:E234"/>
    <mergeCell ref="A229:A230"/>
    <mergeCell ref="A231:A232"/>
    <mergeCell ref="B231:B232"/>
    <mergeCell ref="C231:C232"/>
    <mergeCell ref="D231:D232"/>
    <mergeCell ref="E231:E232"/>
    <mergeCell ref="A233:A234"/>
    <mergeCell ref="C159:C160"/>
    <mergeCell ref="D159:D160"/>
    <mergeCell ref="A156:A158"/>
    <mergeCell ref="B156:B158"/>
    <mergeCell ref="C156:C158"/>
    <mergeCell ref="D156:D158"/>
    <mergeCell ref="E156:E158"/>
    <mergeCell ref="B159:B160"/>
    <mergeCell ref="E159:E160"/>
    <mergeCell ref="A127:A128"/>
    <mergeCell ref="B127:B128"/>
    <mergeCell ref="C127:C128"/>
    <mergeCell ref="D127:D128"/>
    <mergeCell ref="E127:E128"/>
    <mergeCell ref="A129:A130"/>
    <mergeCell ref="B137:B138"/>
    <mergeCell ref="C137:C138"/>
    <mergeCell ref="A139:A140"/>
    <mergeCell ref="B139:B140"/>
    <mergeCell ref="C139:C140"/>
    <mergeCell ref="D139:D140"/>
    <mergeCell ref="E139:E140"/>
    <mergeCell ref="D120:D122"/>
    <mergeCell ref="E120:E122"/>
    <mergeCell ref="D123:D124"/>
    <mergeCell ref="E123:E124"/>
    <mergeCell ref="D125:D126"/>
    <mergeCell ref="E125:E126"/>
    <mergeCell ref="A116:A117"/>
    <mergeCell ref="A118:A119"/>
    <mergeCell ref="B118:B119"/>
    <mergeCell ref="C118:C119"/>
    <mergeCell ref="D118:D119"/>
    <mergeCell ref="E118:E119"/>
    <mergeCell ref="A120:A122"/>
    <mergeCell ref="B120:B122"/>
    <mergeCell ref="C120:C122"/>
    <mergeCell ref="A123:A124"/>
    <mergeCell ref="B123:B124"/>
    <mergeCell ref="C123:C124"/>
    <mergeCell ref="B125:B126"/>
    <mergeCell ref="C125:C126"/>
    <mergeCell ref="A125:A126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8"/>
    <mergeCell ref="E137:E138"/>
    <mergeCell ref="A133:A134"/>
    <mergeCell ref="A135:A136"/>
    <mergeCell ref="B135:B136"/>
    <mergeCell ref="C135:C136"/>
    <mergeCell ref="D135:D136"/>
    <mergeCell ref="E135:E136"/>
    <mergeCell ref="A137:A138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11</v>
      </c>
      <c r="I9" s="62">
        <v>6</v>
      </c>
      <c r="J9" s="62">
        <v>7</v>
      </c>
      <c r="K9" s="62">
        <v>12150.83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12</v>
      </c>
      <c r="J13" s="266">
        <v>17</v>
      </c>
      <c r="K13" s="79">
        <v>50876.52</v>
      </c>
      <c r="L13" s="268">
        <v>17</v>
      </c>
      <c r="M13" s="81">
        <f t="shared" si="0"/>
        <v>50876.52</v>
      </c>
      <c r="N13" s="79">
        <v>50876.52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25</v>
      </c>
      <c r="I15" s="62">
        <v>25</v>
      </c>
      <c r="J15" s="62">
        <v>39</v>
      </c>
      <c r="K15" s="30">
        <v>93857.86</v>
      </c>
      <c r="L15" s="205">
        <v>36</v>
      </c>
      <c r="M15" s="26">
        <f t="shared" si="0"/>
        <v>89619.08</v>
      </c>
      <c r="N15" s="30">
        <v>89619.08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6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4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8</v>
      </c>
      <c r="Q18" s="209">
        <v>40605.910000000003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14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7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10</v>
      </c>
      <c r="I21" s="266">
        <v>9</v>
      </c>
      <c r="J21" s="266">
        <v>13</v>
      </c>
      <c r="K21" s="79">
        <v>21314.18</v>
      </c>
      <c r="L21" s="268">
        <v>13</v>
      </c>
      <c r="M21" s="81">
        <f t="shared" si="0"/>
        <v>21314.18</v>
      </c>
      <c r="N21" s="79">
        <v>21314.18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16</v>
      </c>
      <c r="I23" s="203">
        <v>16</v>
      </c>
      <c r="J23" s="203">
        <v>26</v>
      </c>
      <c r="K23" s="65">
        <v>38432.639999999999</v>
      </c>
      <c r="L23" s="224">
        <v>24</v>
      </c>
      <c r="M23" s="50">
        <f t="shared" si="0"/>
        <v>35816.92</v>
      </c>
      <c r="N23" s="65">
        <v>35816.92</v>
      </c>
      <c r="O23" s="225"/>
      <c r="P23" s="53">
        <v>15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15</v>
      </c>
      <c r="I25" s="62">
        <v>9</v>
      </c>
      <c r="J25" s="62">
        <v>9</v>
      </c>
      <c r="K25" s="62">
        <v>7020.53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8</v>
      </c>
      <c r="Q25" s="30">
        <v>13822.44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14</v>
      </c>
      <c r="I27" s="203">
        <v>13</v>
      </c>
      <c r="J27" s="203">
        <v>21</v>
      </c>
      <c r="K27" s="65">
        <v>38849.480000000003</v>
      </c>
      <c r="L27" s="224">
        <v>20</v>
      </c>
      <c r="M27" s="50">
        <f t="shared" si="0"/>
        <v>38247.379999999997</v>
      </c>
      <c r="N27" s="65">
        <v>38247.379999999997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1</v>
      </c>
      <c r="J28" s="130">
        <v>1</v>
      </c>
      <c r="K28" s="114">
        <v>1204.2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8</v>
      </c>
      <c r="Q28" s="68">
        <v>25627.9</v>
      </c>
      <c r="R28" s="285">
        <v>9</v>
      </c>
      <c r="S28" s="39">
        <f t="shared" si="1"/>
        <v>27294.600000000002</v>
      </c>
      <c r="T28" s="68">
        <f>4302+3533.6+960.5+5240.8+4226.2+5820.3+2007+1204.2</f>
        <v>27294.600000000002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6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14</v>
      </c>
      <c r="I33" s="203">
        <v>6</v>
      </c>
      <c r="J33" s="203">
        <v>7</v>
      </c>
      <c r="K33" s="65">
        <v>15270.19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1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9</v>
      </c>
      <c r="J37" s="203">
        <v>9</v>
      </c>
      <c r="K37" s="65">
        <v>8715.08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3</v>
      </c>
      <c r="I43" s="62">
        <v>2</v>
      </c>
      <c r="J43" s="62">
        <v>4</v>
      </c>
      <c r="K43" s="30">
        <v>9894.3700000000008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17</v>
      </c>
      <c r="I45" s="266">
        <v>16</v>
      </c>
      <c r="J45" s="266">
        <v>19</v>
      </c>
      <c r="K45" s="79">
        <v>30491.93</v>
      </c>
      <c r="L45" s="268">
        <v>18</v>
      </c>
      <c r="M45" s="81">
        <f t="shared" si="2"/>
        <v>29884.81</v>
      </c>
      <c r="N45" s="79">
        <v>29884.81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23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2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9</v>
      </c>
      <c r="I50" s="266">
        <v>5</v>
      </c>
      <c r="J50" s="266">
        <v>6</v>
      </c>
      <c r="K50" s="79">
        <v>8522.93</v>
      </c>
      <c r="L50" s="268">
        <v>4</v>
      </c>
      <c r="M50" s="81">
        <f t="shared" si="2"/>
        <v>5771.33</v>
      </c>
      <c r="N50" s="79">
        <v>5771.33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1</v>
      </c>
      <c r="I53" s="86"/>
      <c r="J53" s="86"/>
      <c r="K53" s="87"/>
      <c r="L53" s="88"/>
      <c r="M53" s="39">
        <f t="shared" si="2"/>
        <v>0</v>
      </c>
      <c r="N53" s="87"/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3</v>
      </c>
      <c r="I56" s="96"/>
      <c r="J56" s="96"/>
      <c r="K56" s="81"/>
      <c r="L56" s="80"/>
      <c r="M56" s="81">
        <f t="shared" si="2"/>
        <v>0</v>
      </c>
      <c r="N56" s="81"/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5</v>
      </c>
      <c r="I57" s="130">
        <v>3</v>
      </c>
      <c r="J57" s="130">
        <v>3</v>
      </c>
      <c r="K57" s="114">
        <v>5619.6</v>
      </c>
      <c r="L57" s="270">
        <v>3</v>
      </c>
      <c r="M57" s="43">
        <f t="shared" si="2"/>
        <v>5619.5999999999995</v>
      </c>
      <c r="N57" s="43">
        <f>1605.6+1806.3+2207.7</f>
        <v>5619.5999999999995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3</v>
      </c>
      <c r="J58" s="62">
        <v>3</v>
      </c>
      <c r="K58" s="30">
        <v>4488.49</v>
      </c>
      <c r="L58" s="205">
        <v>3</v>
      </c>
      <c r="M58" s="26">
        <f t="shared" si="2"/>
        <v>4488.49</v>
      </c>
      <c r="N58" s="30">
        <v>4488.49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5</v>
      </c>
      <c r="I59" s="37">
        <v>1</v>
      </c>
      <c r="J59" s="37">
        <v>1</v>
      </c>
      <c r="K59" s="68">
        <v>2007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8</v>
      </c>
      <c r="Q59" s="68">
        <v>16057.33</v>
      </c>
      <c r="R59" s="285">
        <v>13</v>
      </c>
      <c r="S59" s="39">
        <f t="shared" si="3"/>
        <v>28376.030000000002</v>
      </c>
      <c r="T59" s="68">
        <f>2209.2+576.3+13639.1+1921+1921+3438.83+3265.7+1404.9</f>
        <v>28376.030000000002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6</v>
      </c>
      <c r="I60" s="203">
        <v>4</v>
      </c>
      <c r="J60" s="203">
        <v>6</v>
      </c>
      <c r="K60" s="65">
        <v>9306.16</v>
      </c>
      <c r="L60" s="224">
        <v>6</v>
      </c>
      <c r="M60" s="50">
        <f t="shared" si="2"/>
        <v>9306.16</v>
      </c>
      <c r="N60" s="65">
        <v>9306.16</v>
      </c>
      <c r="O60" s="31"/>
      <c r="P60" s="53">
        <v>4</v>
      </c>
      <c r="Q60" s="30">
        <v>12223.84</v>
      </c>
      <c r="R60" s="205">
        <v>4</v>
      </c>
      <c r="S60" s="26">
        <f t="shared" si="3"/>
        <v>12223.84</v>
      </c>
      <c r="T60" s="30">
        <v>12223.84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17</v>
      </c>
      <c r="I62" s="62">
        <v>15</v>
      </c>
      <c r="J62" s="62">
        <v>16</v>
      </c>
      <c r="K62" s="30">
        <v>29461.16</v>
      </c>
      <c r="L62" s="205">
        <v>16</v>
      </c>
      <c r="M62" s="26">
        <f t="shared" si="2"/>
        <v>29461.16</v>
      </c>
      <c r="N62" s="30">
        <v>29461.16</v>
      </c>
      <c r="O62" s="225"/>
      <c r="P62" s="53">
        <v>6</v>
      </c>
      <c r="Q62" s="30">
        <v>45189.01</v>
      </c>
      <c r="R62" s="205">
        <v>6</v>
      </c>
      <c r="S62" s="26">
        <f t="shared" si="3"/>
        <v>45189.01</v>
      </c>
      <c r="T62" s="30">
        <v>45189.01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6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29</v>
      </c>
      <c r="I64" s="203">
        <v>25</v>
      </c>
      <c r="J64" s="203">
        <v>38</v>
      </c>
      <c r="K64" s="65">
        <v>71264.53</v>
      </c>
      <c r="L64" s="224">
        <v>36</v>
      </c>
      <c r="M64" s="50">
        <f t="shared" si="2"/>
        <v>68351.66</v>
      </c>
      <c r="N64" s="65">
        <v>68351.66</v>
      </c>
      <c r="O64" s="225"/>
      <c r="P64" s="53">
        <v>35</v>
      </c>
      <c r="Q64" s="30">
        <v>95132.75</v>
      </c>
      <c r="R64" s="205">
        <v>35</v>
      </c>
      <c r="S64" s="26">
        <f t="shared" si="3"/>
        <v>95132.75</v>
      </c>
      <c r="T64" s="30">
        <v>95132.75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13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6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7</v>
      </c>
      <c r="I68" s="62">
        <v>4</v>
      </c>
      <c r="J68" s="62">
        <v>5</v>
      </c>
      <c r="K68" s="30">
        <v>9142.82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7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8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7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6</v>
      </c>
      <c r="I74" s="203">
        <v>2</v>
      </c>
      <c r="J74" s="203">
        <v>2</v>
      </c>
      <c r="K74" s="65">
        <v>2391.54</v>
      </c>
      <c r="L74" s="51"/>
      <c r="M74" s="50">
        <f t="shared" si="2"/>
        <v>0</v>
      </c>
      <c r="N74" s="50"/>
      <c r="O74" s="31"/>
      <c r="P74" s="108">
        <v>19</v>
      </c>
      <c r="Q74" s="65">
        <v>88949.07</v>
      </c>
      <c r="R74" s="224">
        <v>16</v>
      </c>
      <c r="S74" s="50">
        <f t="shared" si="3"/>
        <v>85990.73</v>
      </c>
      <c r="T74" s="65">
        <v>85990.73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3</v>
      </c>
      <c r="S75" s="43">
        <f t="shared" si="3"/>
        <v>7115.8</v>
      </c>
      <c r="T75" s="114">
        <f>2881.5+2393.3+1841</f>
        <v>7115.8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14</v>
      </c>
      <c r="I76" s="62">
        <v>10</v>
      </c>
      <c r="J76" s="62">
        <v>13</v>
      </c>
      <c r="K76" s="30">
        <v>36159.94</v>
      </c>
      <c r="L76" s="205">
        <v>12</v>
      </c>
      <c r="M76" s="26">
        <f t="shared" si="2"/>
        <v>34420.35</v>
      </c>
      <c r="N76" s="30">
        <v>34420.35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8"/>
      <c r="J77" s="38"/>
      <c r="K77" s="39"/>
      <c r="L77" s="40"/>
      <c r="M77" s="39">
        <f t="shared" si="2"/>
        <v>0</v>
      </c>
      <c r="N77" s="39"/>
      <c r="O77" s="41"/>
      <c r="P77" s="69"/>
      <c r="Q77" s="39"/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7</v>
      </c>
      <c r="J80" s="62">
        <v>11</v>
      </c>
      <c r="K80" s="30">
        <v>18453.95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4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8</v>
      </c>
      <c r="J82" s="203">
        <v>13</v>
      </c>
      <c r="K82" s="158">
        <v>34489.42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11</v>
      </c>
      <c r="Q82" s="65">
        <v>42582.42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44</v>
      </c>
      <c r="I84" s="62">
        <v>32</v>
      </c>
      <c r="J84" s="62">
        <v>48</v>
      </c>
      <c r="K84" s="30">
        <v>91477.55</v>
      </c>
      <c r="L84" s="205">
        <v>48</v>
      </c>
      <c r="M84" s="26">
        <f t="shared" si="4"/>
        <v>91477.55</v>
      </c>
      <c r="N84" s="30">
        <v>91477.55</v>
      </c>
      <c r="O84" s="225"/>
      <c r="P84" s="29">
        <v>24</v>
      </c>
      <c r="Q84" s="30">
        <v>80699.88</v>
      </c>
      <c r="R84" s="205">
        <v>24</v>
      </c>
      <c r="S84" s="26">
        <f t="shared" si="5"/>
        <v>80699.88</v>
      </c>
      <c r="T84" s="30">
        <v>80699.88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8</v>
      </c>
      <c r="I86" s="62">
        <v>5</v>
      </c>
      <c r="J86" s="62">
        <v>5</v>
      </c>
      <c r="K86" s="30">
        <v>11316.07</v>
      </c>
      <c r="L86" s="205">
        <v>5</v>
      </c>
      <c r="M86" s="26">
        <f t="shared" si="4"/>
        <v>11316.07</v>
      </c>
      <c r="N86" s="30">
        <v>11316.07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5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1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15</v>
      </c>
      <c r="I90" s="266">
        <v>10</v>
      </c>
      <c r="J90" s="266">
        <v>19</v>
      </c>
      <c r="K90" s="79">
        <v>32401.46</v>
      </c>
      <c r="L90" s="268">
        <v>16</v>
      </c>
      <c r="M90" s="81">
        <f t="shared" si="4"/>
        <v>25708.16</v>
      </c>
      <c r="N90" s="79">
        <v>25708.16</v>
      </c>
      <c r="O90" s="269"/>
      <c r="P90" s="267">
        <v>13</v>
      </c>
      <c r="Q90" s="79">
        <v>30265.69</v>
      </c>
      <c r="R90" s="268">
        <v>9</v>
      </c>
      <c r="S90" s="81">
        <f t="shared" si="5"/>
        <v>22011.75</v>
      </c>
      <c r="T90" s="79">
        <v>22011.75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2</v>
      </c>
      <c r="I96" s="62">
        <v>1</v>
      </c>
      <c r="J96" s="62">
        <v>1</v>
      </c>
      <c r="K96" s="30">
        <v>1204.2</v>
      </c>
      <c r="L96" s="27"/>
      <c r="M96" s="26">
        <f t="shared" si="4"/>
        <v>0</v>
      </c>
      <c r="N96" s="26"/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20</v>
      </c>
      <c r="I98" s="62">
        <v>14</v>
      </c>
      <c r="J98" s="62">
        <v>20</v>
      </c>
      <c r="K98" s="30">
        <v>32863.699999999997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8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7</v>
      </c>
      <c r="I100" s="203">
        <v>2</v>
      </c>
      <c r="J100" s="203">
        <v>2</v>
      </c>
      <c r="K100" s="65">
        <v>2539.56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3</v>
      </c>
      <c r="K102" s="30">
        <v>7389.22</v>
      </c>
      <c r="L102" s="205">
        <v>3</v>
      </c>
      <c r="M102" s="26">
        <f t="shared" ref="M102:M106" si="7">N102+O102</f>
        <v>7389.22</v>
      </c>
      <c r="N102" s="30">
        <v>7389.22</v>
      </c>
      <c r="O102" s="31"/>
      <c r="P102" s="53">
        <v>8</v>
      </c>
      <c r="Q102" s="30">
        <v>39013.760000000002</v>
      </c>
      <c r="R102" s="205">
        <v>8</v>
      </c>
      <c r="S102" s="26">
        <f t="shared" si="6"/>
        <v>39013.760000000002</v>
      </c>
      <c r="T102" s="30">
        <v>39013.760000000002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03"/>
      <c r="Q103" s="43"/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5</v>
      </c>
      <c r="J106" s="62">
        <v>7</v>
      </c>
      <c r="K106" s="30">
        <v>19153.98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27</v>
      </c>
      <c r="Q106" s="30">
        <v>93034.72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8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6</v>
      </c>
      <c r="J108" s="62">
        <v>6</v>
      </c>
      <c r="K108" s="30">
        <v>4786.25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14</v>
      </c>
      <c r="I110" s="62">
        <v>10</v>
      </c>
      <c r="J110" s="62">
        <v>14</v>
      </c>
      <c r="K110" s="30">
        <v>26539.61</v>
      </c>
      <c r="L110" s="205">
        <v>14</v>
      </c>
      <c r="M110" s="26">
        <f t="shared" si="8"/>
        <v>26539.61</v>
      </c>
      <c r="N110" s="30">
        <v>26539.61</v>
      </c>
      <c r="O110" s="241"/>
      <c r="P110" s="214">
        <v>13</v>
      </c>
      <c r="Q110" s="30">
        <v>57575.81</v>
      </c>
      <c r="R110" s="205">
        <v>13</v>
      </c>
      <c r="S110" s="26">
        <f t="shared" si="9"/>
        <v>57575.81</v>
      </c>
      <c r="T110" s="30">
        <v>57575.81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8</v>
      </c>
      <c r="I111" s="286">
        <v>6</v>
      </c>
      <c r="J111" s="286">
        <v>6</v>
      </c>
      <c r="K111" s="287">
        <v>13739.4</v>
      </c>
      <c r="L111" s="315">
        <v>6</v>
      </c>
      <c r="M111" s="39">
        <f t="shared" si="8"/>
        <v>13739.4</v>
      </c>
      <c r="N111" s="39">
        <f>1921+3073.6+1921+3010.5+1404.9+2408.4</f>
        <v>13739.4</v>
      </c>
      <c r="O111" s="41"/>
      <c r="P111" s="217">
        <v>3</v>
      </c>
      <c r="Q111" s="37">
        <v>7587.95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12</v>
      </c>
      <c r="I114" s="203">
        <v>6</v>
      </c>
      <c r="J114" s="203">
        <v>7</v>
      </c>
      <c r="K114" s="65">
        <v>11419.72</v>
      </c>
      <c r="L114" s="224">
        <v>7</v>
      </c>
      <c r="M114" s="50">
        <f t="shared" si="8"/>
        <v>11419.72</v>
      </c>
      <c r="N114" s="65">
        <v>11419.72</v>
      </c>
      <c r="O114" s="225"/>
      <c r="P114" s="108">
        <v>9</v>
      </c>
      <c r="Q114" s="65">
        <v>19656.830000000002</v>
      </c>
      <c r="R114" s="224">
        <v>9</v>
      </c>
      <c r="S114" s="50">
        <f t="shared" si="9"/>
        <v>19656.830000000002</v>
      </c>
      <c r="T114" s="65">
        <v>19656.830000000002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9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7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6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24</v>
      </c>
      <c r="I118" s="203">
        <v>18</v>
      </c>
      <c r="J118" s="203">
        <v>21</v>
      </c>
      <c r="K118" s="65">
        <v>47812.95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21</v>
      </c>
      <c r="Q118" s="65">
        <v>73748.09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14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8</v>
      </c>
      <c r="Q122" s="30">
        <v>32433.51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7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7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3</v>
      </c>
      <c r="I125" s="203">
        <v>2</v>
      </c>
      <c r="J125" s="203">
        <v>3</v>
      </c>
      <c r="K125" s="65">
        <v>5015.66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38019.17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12</v>
      </c>
      <c r="I127" s="62">
        <v>10</v>
      </c>
      <c r="J127" s="62">
        <v>12</v>
      </c>
      <c r="K127" s="30">
        <v>29610</v>
      </c>
      <c r="L127" s="205">
        <v>10</v>
      </c>
      <c r="M127" s="26">
        <f t="shared" si="10"/>
        <v>27914.080000000002</v>
      </c>
      <c r="N127" s="30">
        <v>27914.080000000002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18</v>
      </c>
      <c r="I129" s="62">
        <v>16</v>
      </c>
      <c r="J129" s="62">
        <v>22</v>
      </c>
      <c r="K129" s="30">
        <v>45233.25</v>
      </c>
      <c r="L129" s="205">
        <v>22</v>
      </c>
      <c r="M129" s="26">
        <f t="shared" si="10"/>
        <v>45233.25</v>
      </c>
      <c r="N129" s="30">
        <v>45233.25</v>
      </c>
      <c r="O129" s="225"/>
      <c r="P129" s="53">
        <v>10</v>
      </c>
      <c r="Q129" s="30">
        <v>25611.57</v>
      </c>
      <c r="R129" s="205">
        <v>10</v>
      </c>
      <c r="S129" s="26">
        <f t="shared" si="9"/>
        <v>25611.57</v>
      </c>
      <c r="T129" s="30">
        <v>25611.57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8</v>
      </c>
      <c r="I133" s="62">
        <v>7</v>
      </c>
      <c r="J133" s="62">
        <v>11</v>
      </c>
      <c r="K133" s="30">
        <v>20042.34</v>
      </c>
      <c r="L133" s="205">
        <v>10</v>
      </c>
      <c r="M133" s="26">
        <f t="shared" si="10"/>
        <v>16030.26</v>
      </c>
      <c r="N133" s="30">
        <v>16030.26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19</v>
      </c>
      <c r="I135" s="203">
        <v>12</v>
      </c>
      <c r="J135" s="203">
        <v>18</v>
      </c>
      <c r="K135" s="65">
        <v>44935.58</v>
      </c>
      <c r="L135" s="224">
        <v>18</v>
      </c>
      <c r="M135" s="50">
        <f t="shared" si="10"/>
        <v>44935.58</v>
      </c>
      <c r="N135" s="65">
        <v>44935.58</v>
      </c>
      <c r="O135" s="225"/>
      <c r="P135" s="108">
        <v>31</v>
      </c>
      <c r="Q135" s="65">
        <v>116106.08</v>
      </c>
      <c r="R135" s="224">
        <v>30</v>
      </c>
      <c r="S135" s="50">
        <f t="shared" si="9"/>
        <v>114879.71</v>
      </c>
      <c r="T135" s="65">
        <v>114879.71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16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30</v>
      </c>
      <c r="I139" s="62">
        <v>21</v>
      </c>
      <c r="J139" s="62">
        <v>22</v>
      </c>
      <c r="K139" s="30">
        <v>37266.11</v>
      </c>
      <c r="L139" s="205">
        <v>18</v>
      </c>
      <c r="M139" s="26">
        <f t="shared" si="10"/>
        <v>26219.35</v>
      </c>
      <c r="N139" s="30">
        <v>26219.35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6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56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25</v>
      </c>
      <c r="I145" s="266">
        <v>20</v>
      </c>
      <c r="J145" s="266">
        <v>29</v>
      </c>
      <c r="K145" s="79">
        <v>61472.14</v>
      </c>
      <c r="L145" s="268">
        <v>28</v>
      </c>
      <c r="M145" s="81">
        <f t="shared" si="11"/>
        <v>54484.08</v>
      </c>
      <c r="N145" s="79">
        <v>54484.08</v>
      </c>
      <c r="O145" s="269"/>
      <c r="P145" s="267">
        <v>19</v>
      </c>
      <c r="Q145" s="79">
        <v>80617.679999999993</v>
      </c>
      <c r="R145" s="268">
        <v>18</v>
      </c>
      <c r="S145" s="81">
        <f t="shared" si="12"/>
        <v>80617.679999999993</v>
      </c>
      <c r="T145" s="79">
        <v>80617.679999999993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18</v>
      </c>
      <c r="I147" s="203">
        <v>13</v>
      </c>
      <c r="J147" s="203">
        <v>16</v>
      </c>
      <c r="K147" s="65">
        <v>36210.6</v>
      </c>
      <c r="L147" s="224">
        <v>15</v>
      </c>
      <c r="M147" s="50">
        <f t="shared" si="11"/>
        <v>36210.6</v>
      </c>
      <c r="N147" s="65">
        <v>36210.6</v>
      </c>
      <c r="O147" s="225"/>
      <c r="P147" s="108">
        <v>56</v>
      </c>
      <c r="Q147" s="65">
        <v>335574.55</v>
      </c>
      <c r="R147" s="224">
        <v>56</v>
      </c>
      <c r="S147" s="50">
        <f t="shared" si="12"/>
        <v>335574.55</v>
      </c>
      <c r="T147" s="65">
        <v>335574.55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135"/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156"/>
      <c r="Q148" s="129"/>
      <c r="R148" s="128"/>
      <c r="S148" s="129">
        <f t="shared" si="12"/>
        <v>0</v>
      </c>
      <c r="T148" s="129"/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si="12"/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2</v>
      </c>
      <c r="J150" s="62">
        <v>2</v>
      </c>
      <c r="K150" s="30">
        <v>1267.28</v>
      </c>
      <c r="L150" s="205">
        <v>1</v>
      </c>
      <c r="M150" s="26">
        <f t="shared" si="11"/>
        <v>384.2</v>
      </c>
      <c r="N150" s="30">
        <v>384.2</v>
      </c>
      <c r="O150" s="225"/>
      <c r="P150" s="53">
        <v>15</v>
      </c>
      <c r="Q150" s="30">
        <v>10414.84</v>
      </c>
      <c r="R150" s="205">
        <v>4</v>
      </c>
      <c r="S150" s="26">
        <f t="shared" si="12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6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3</v>
      </c>
      <c r="Q151" s="68">
        <v>7062.2</v>
      </c>
      <c r="R151" s="285">
        <v>3</v>
      </c>
      <c r="S151" s="39">
        <f t="shared" si="12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11</v>
      </c>
      <c r="I152" s="203">
        <v>10</v>
      </c>
      <c r="J152" s="203">
        <v>15</v>
      </c>
      <c r="K152" s="65">
        <v>31623.83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2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4</v>
      </c>
      <c r="J153" s="37">
        <v>4</v>
      </c>
      <c r="K153" s="68">
        <v>5174.6000000000004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2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2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2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2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7</v>
      </c>
      <c r="I157" s="130">
        <v>5</v>
      </c>
      <c r="J157" s="130">
        <v>5</v>
      </c>
      <c r="K157" s="114">
        <v>7800.08</v>
      </c>
      <c r="L157" s="270">
        <v>5</v>
      </c>
      <c r="M157" s="114">
        <v>7800.08</v>
      </c>
      <c r="N157" s="114">
        <v>7800.08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13</v>
      </c>
      <c r="I158" s="62">
        <v>10</v>
      </c>
      <c r="J158" s="62">
        <v>13</v>
      </c>
      <c r="K158" s="30">
        <v>21251.69</v>
      </c>
      <c r="L158" s="205">
        <v>13</v>
      </c>
      <c r="M158" s="26">
        <f t="shared" ref="M158:M229" si="13">N158+O158</f>
        <v>21251.69</v>
      </c>
      <c r="N158" s="30">
        <v>21251.69</v>
      </c>
      <c r="O158" s="225"/>
      <c r="P158" s="53">
        <v>13</v>
      </c>
      <c r="Q158" s="30">
        <v>51666.35</v>
      </c>
      <c r="R158" s="205">
        <v>13</v>
      </c>
      <c r="S158" s="26">
        <f t="shared" ref="S158:S164" si="14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15</v>
      </c>
      <c r="I159" s="271">
        <v>9</v>
      </c>
      <c r="J159" s="271">
        <v>9</v>
      </c>
      <c r="K159" s="239">
        <v>17139.849999999999</v>
      </c>
      <c r="L159" s="316">
        <v>9</v>
      </c>
      <c r="M159" s="129">
        <f t="shared" si="13"/>
        <v>17139.849999999999</v>
      </c>
      <c r="N159" s="129">
        <f>1728.9+2305.2+576.3+4802.5+1404.9+1404.9+1404.9+1103.85+2408.4</f>
        <v>17139.849999999999</v>
      </c>
      <c r="O159" s="45"/>
      <c r="P159" s="238">
        <v>9</v>
      </c>
      <c r="Q159" s="239">
        <v>31223.56</v>
      </c>
      <c r="R159" s="316">
        <v>10</v>
      </c>
      <c r="S159" s="129">
        <f t="shared" si="14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3"/>
        <v>0</v>
      </c>
      <c r="N160" s="43"/>
      <c r="O160" s="41"/>
      <c r="P160" s="103"/>
      <c r="Q160" s="43"/>
      <c r="R160" s="44"/>
      <c r="S160" s="43">
        <f t="shared" si="14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10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3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4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3"/>
        <v>0</v>
      </c>
      <c r="N162" s="39"/>
      <c r="O162" s="41"/>
      <c r="P162" s="59"/>
      <c r="Q162" s="39"/>
      <c r="R162" s="40"/>
      <c r="S162" s="39">
        <f t="shared" si="14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9</v>
      </c>
      <c r="J163" s="203">
        <v>9</v>
      </c>
      <c r="K163" s="65">
        <v>11430.48</v>
      </c>
      <c r="L163" s="224">
        <v>9</v>
      </c>
      <c r="M163" s="50">
        <f t="shared" si="13"/>
        <v>11430.48</v>
      </c>
      <c r="N163" s="65">
        <v>11430.48</v>
      </c>
      <c r="O163" s="225"/>
      <c r="P163" s="108">
        <v>6</v>
      </c>
      <c r="Q163" s="65">
        <v>33605.230000000003</v>
      </c>
      <c r="R163" s="224">
        <v>6</v>
      </c>
      <c r="S163" s="50">
        <f t="shared" si="14"/>
        <v>33605.230000000003</v>
      </c>
      <c r="T163" s="65">
        <v>33605.230000000003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4</v>
      </c>
      <c r="J164" s="246">
        <v>4</v>
      </c>
      <c r="K164" s="158">
        <v>8842.2999999999993</v>
      </c>
      <c r="L164" s="317">
        <v>4</v>
      </c>
      <c r="M164" s="142">
        <f t="shared" si="13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4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3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15</v>
      </c>
      <c r="I166" s="62">
        <v>8</v>
      </c>
      <c r="J166" s="62">
        <v>10</v>
      </c>
      <c r="K166" s="30">
        <v>20039.89</v>
      </c>
      <c r="L166" s="205">
        <v>9</v>
      </c>
      <c r="M166" s="26">
        <f t="shared" si="13"/>
        <v>16002.33</v>
      </c>
      <c r="N166" s="30">
        <v>16002.33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5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4</v>
      </c>
      <c r="J167" s="37">
        <v>4</v>
      </c>
      <c r="K167" s="68">
        <v>5042.7</v>
      </c>
      <c r="L167" s="285">
        <v>5</v>
      </c>
      <c r="M167" s="39">
        <f t="shared" si="13"/>
        <v>5042.7000000000007</v>
      </c>
      <c r="N167" s="39">
        <f>576.3+1716.8+1344.7+1404.9</f>
        <v>5042.7000000000007</v>
      </c>
      <c r="O167" s="41"/>
      <c r="P167" s="115">
        <v>2</v>
      </c>
      <c r="Q167" s="68">
        <v>3265.7</v>
      </c>
      <c r="R167" s="285">
        <v>2</v>
      </c>
      <c r="S167" s="39">
        <f t="shared" si="15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3"/>
        <v>19508.22</v>
      </c>
      <c r="N168" s="65">
        <v>19508.22</v>
      </c>
      <c r="O168" s="31"/>
      <c r="P168" s="108">
        <v>9</v>
      </c>
      <c r="Q168" s="65">
        <v>21231.99</v>
      </c>
      <c r="R168" s="224">
        <v>9</v>
      </c>
      <c r="S168" s="50">
        <f t="shared" si="15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6</v>
      </c>
      <c r="I169" s="130">
        <v>5</v>
      </c>
      <c r="J169" s="130">
        <v>5</v>
      </c>
      <c r="K169" s="114">
        <v>18356.64</v>
      </c>
      <c r="L169" s="270">
        <v>7</v>
      </c>
      <c r="M169" s="43">
        <f t="shared" si="13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5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3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5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3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8</v>
      </c>
      <c r="S171" s="43">
        <f t="shared" si="15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15</v>
      </c>
      <c r="I172" s="62">
        <v>10</v>
      </c>
      <c r="J172" s="62">
        <v>11</v>
      </c>
      <c r="K172" s="30">
        <v>24333.17</v>
      </c>
      <c r="L172" s="205">
        <v>11</v>
      </c>
      <c r="M172" s="26">
        <f t="shared" si="13"/>
        <v>24333.17</v>
      </c>
      <c r="N172" s="30">
        <v>24333.17</v>
      </c>
      <c r="O172" s="159"/>
      <c r="P172" s="53">
        <v>4</v>
      </c>
      <c r="Q172" s="30">
        <v>31835.37</v>
      </c>
      <c r="R172" s="205">
        <v>4</v>
      </c>
      <c r="S172" s="26">
        <f t="shared" si="15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3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5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4</v>
      </c>
      <c r="I174" s="62">
        <v>4</v>
      </c>
      <c r="J174" s="62">
        <v>7</v>
      </c>
      <c r="K174" s="30">
        <v>18567.810000000001</v>
      </c>
      <c r="L174" s="205">
        <v>6</v>
      </c>
      <c r="M174" s="26">
        <f t="shared" si="13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5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3"/>
        <v>0</v>
      </c>
      <c r="N175" s="39"/>
      <c r="O175" s="41"/>
      <c r="P175" s="217"/>
      <c r="Q175" s="68"/>
      <c r="R175" s="285"/>
      <c r="S175" s="39">
        <f t="shared" si="15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8</v>
      </c>
      <c r="I176" s="266">
        <v>5</v>
      </c>
      <c r="J176" s="266">
        <v>5</v>
      </c>
      <c r="K176" s="79">
        <v>11395.47</v>
      </c>
      <c r="L176" s="268">
        <v>5</v>
      </c>
      <c r="M176" s="81">
        <f t="shared" si="13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5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3"/>
        <v>0</v>
      </c>
      <c r="N177" s="43"/>
      <c r="O177" s="45"/>
      <c r="P177" s="103"/>
      <c r="Q177" s="43"/>
      <c r="R177" s="44"/>
      <c r="S177" s="43">
        <f t="shared" si="15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3"/>
        <v>524.91</v>
      </c>
      <c r="N178" s="30">
        <v>524.91</v>
      </c>
      <c r="O178" s="241"/>
      <c r="P178" s="53">
        <v>1</v>
      </c>
      <c r="Q178" s="30">
        <v>412.05</v>
      </c>
      <c r="R178" s="205">
        <v>1</v>
      </c>
      <c r="S178" s="26">
        <f t="shared" si="15"/>
        <v>412.05</v>
      </c>
      <c r="T178" s="30">
        <v>412.05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3"/>
        <v>0</v>
      </c>
      <c r="N179" s="211"/>
      <c r="O179" s="212"/>
      <c r="P179" s="273"/>
      <c r="Q179" s="211"/>
      <c r="R179" s="210"/>
      <c r="S179" s="211">
        <f t="shared" si="15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4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3"/>
        <v>9442.35</v>
      </c>
      <c r="N180" s="30">
        <v>9442.35</v>
      </c>
      <c r="O180" s="28"/>
      <c r="P180" s="214"/>
      <c r="Q180" s="30"/>
      <c r="R180" s="205"/>
      <c r="S180" s="26">
        <f t="shared" si="15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3"/>
        <v>0</v>
      </c>
      <c r="N181" s="39"/>
      <c r="O181" s="41"/>
      <c r="P181" s="217"/>
      <c r="Q181" s="68"/>
      <c r="R181" s="285"/>
      <c r="S181" s="39">
        <f t="shared" si="15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6</v>
      </c>
      <c r="I182" s="266">
        <v>4</v>
      </c>
      <c r="J182" s="266">
        <v>5</v>
      </c>
      <c r="K182" s="79">
        <v>12387.84</v>
      </c>
      <c r="L182" s="268">
        <v>5</v>
      </c>
      <c r="M182" s="81">
        <f t="shared" si="13"/>
        <v>12387.84</v>
      </c>
      <c r="N182" s="79">
        <v>12387.84</v>
      </c>
      <c r="O182" s="219"/>
      <c r="P182" s="267">
        <v>16</v>
      </c>
      <c r="Q182" s="79">
        <v>44811.49</v>
      </c>
      <c r="R182" s="268">
        <v>16</v>
      </c>
      <c r="S182" s="81">
        <f t="shared" si="15"/>
        <v>44811.49</v>
      </c>
      <c r="T182" s="79">
        <v>44811.49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3"/>
        <v>21489.82</v>
      </c>
      <c r="N183" s="43">
        <f>2497.3+1152.6+5920.02+4595.4+602.1+6722.4</f>
        <v>21489.82</v>
      </c>
      <c r="O183" s="41"/>
      <c r="P183" s="113">
        <v>2</v>
      </c>
      <c r="Q183" s="114">
        <v>7924</v>
      </c>
      <c r="R183" s="270">
        <v>3</v>
      </c>
      <c r="S183" s="43">
        <f t="shared" si="15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11</v>
      </c>
      <c r="I184" s="62">
        <v>9</v>
      </c>
      <c r="J184" s="62">
        <v>9</v>
      </c>
      <c r="K184" s="30">
        <v>29875.67</v>
      </c>
      <c r="L184" s="205">
        <v>9</v>
      </c>
      <c r="M184" s="26">
        <f t="shared" si="13"/>
        <v>29875.67</v>
      </c>
      <c r="N184" s="30">
        <v>29875.67</v>
      </c>
      <c r="O184" s="225"/>
      <c r="P184" s="53">
        <v>12</v>
      </c>
      <c r="Q184" s="30">
        <v>36322.32</v>
      </c>
      <c r="R184" s="205">
        <v>12</v>
      </c>
      <c r="S184" s="26">
        <f t="shared" si="15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1</v>
      </c>
      <c r="J185" s="130">
        <v>1</v>
      </c>
      <c r="K185" s="114">
        <v>2649.24</v>
      </c>
      <c r="L185" s="270">
        <v>1</v>
      </c>
      <c r="M185" s="43">
        <f t="shared" si="13"/>
        <v>2649.24</v>
      </c>
      <c r="N185" s="43">
        <f>2649.24</f>
        <v>2649.24</v>
      </c>
      <c r="O185" s="41"/>
      <c r="P185" s="115">
        <v>8</v>
      </c>
      <c r="Q185" s="68">
        <v>30985.07</v>
      </c>
      <c r="R185" s="285">
        <v>8</v>
      </c>
      <c r="S185" s="39">
        <f t="shared" si="15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22</v>
      </c>
      <c r="I186" s="62">
        <v>20</v>
      </c>
      <c r="J186" s="204">
        <v>26</v>
      </c>
      <c r="K186" s="30">
        <v>43880.75</v>
      </c>
      <c r="L186" s="205">
        <v>26</v>
      </c>
      <c r="M186" s="26">
        <f t="shared" si="13"/>
        <v>43880.75</v>
      </c>
      <c r="N186" s="30">
        <v>43880.75</v>
      </c>
      <c r="O186" s="225"/>
      <c r="P186" s="108">
        <v>22</v>
      </c>
      <c r="Q186" s="65">
        <v>79924.350000000006</v>
      </c>
      <c r="R186" s="224">
        <v>22</v>
      </c>
      <c r="S186" s="50">
        <f t="shared" si="15"/>
        <v>79924.350000000006</v>
      </c>
      <c r="T186" s="65">
        <v>79924.350000000006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2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3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5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1</v>
      </c>
      <c r="J188" s="62">
        <v>1</v>
      </c>
      <c r="K188" s="326">
        <v>662.31</v>
      </c>
      <c r="L188" s="327">
        <v>1</v>
      </c>
      <c r="M188" s="162">
        <f t="shared" si="13"/>
        <v>662.31</v>
      </c>
      <c r="N188" s="326">
        <v>662.31</v>
      </c>
      <c r="O188" s="28"/>
      <c r="P188" s="275"/>
      <c r="Q188" s="26"/>
      <c r="R188" s="27"/>
      <c r="S188" s="26">
        <f t="shared" si="15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4</v>
      </c>
      <c r="I189" s="37">
        <v>1</v>
      </c>
      <c r="J189" s="37">
        <v>1</v>
      </c>
      <c r="K189" s="318">
        <v>1056.22</v>
      </c>
      <c r="L189" s="343">
        <v>1</v>
      </c>
      <c r="M189" s="164">
        <f t="shared" si="13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5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3"/>
        <v>0</v>
      </c>
      <c r="N190" s="293"/>
      <c r="O190" s="82"/>
      <c r="P190" s="295"/>
      <c r="Q190" s="81"/>
      <c r="R190" s="80"/>
      <c r="S190" s="81">
        <f t="shared" si="15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06"/>
      <c r="I191" s="38"/>
      <c r="J191" s="38"/>
      <c r="K191" s="164"/>
      <c r="L191" s="165"/>
      <c r="M191" s="164">
        <f t="shared" si="13"/>
        <v>0</v>
      </c>
      <c r="N191" s="164"/>
      <c r="O191" s="41"/>
      <c r="P191" s="67">
        <v>4</v>
      </c>
      <c r="Q191" s="68">
        <v>19199.810000000001</v>
      </c>
      <c r="R191" s="285">
        <v>4</v>
      </c>
      <c r="S191" s="68">
        <v>19199.810000000001</v>
      </c>
      <c r="T191" s="68">
        <v>19199.810000000001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23</v>
      </c>
      <c r="I192" s="203">
        <v>21</v>
      </c>
      <c r="J192" s="203">
        <v>31</v>
      </c>
      <c r="K192" s="242">
        <v>68147.179999999993</v>
      </c>
      <c r="L192" s="320">
        <v>30</v>
      </c>
      <c r="M192" s="166">
        <f t="shared" si="13"/>
        <v>64711.199999999997</v>
      </c>
      <c r="N192" s="242">
        <v>64711.199999999997</v>
      </c>
      <c r="O192" s="225"/>
      <c r="P192" s="108">
        <v>7</v>
      </c>
      <c r="Q192" s="65">
        <v>41813.410000000003</v>
      </c>
      <c r="R192" s="224">
        <v>7</v>
      </c>
      <c r="S192" s="50">
        <f t="shared" ref="S192:S211" si="16">T192+U192</f>
        <v>41813.410000000003</v>
      </c>
      <c r="T192" s="65">
        <v>41813.410000000003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3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6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5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3"/>
        <v>5891.75</v>
      </c>
      <c r="N194" s="30">
        <v>5891.75</v>
      </c>
      <c r="O194" s="31"/>
      <c r="P194" s="53">
        <v>8</v>
      </c>
      <c r="Q194" s="30">
        <v>19951.68</v>
      </c>
      <c r="R194" s="205">
        <v>8</v>
      </c>
      <c r="S194" s="26">
        <f t="shared" si="16"/>
        <v>19951.68</v>
      </c>
      <c r="T194" s="30">
        <v>19951.68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3"/>
        <v>0</v>
      </c>
      <c r="N195" s="39"/>
      <c r="O195" s="41"/>
      <c r="P195" s="59"/>
      <c r="Q195" s="39"/>
      <c r="R195" s="40"/>
      <c r="S195" s="39">
        <f t="shared" si="16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3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6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1</v>
      </c>
      <c r="I197" s="57"/>
      <c r="J197" s="57"/>
      <c r="K197" s="43"/>
      <c r="L197" s="44"/>
      <c r="M197" s="43">
        <f t="shared" si="13"/>
        <v>0</v>
      </c>
      <c r="N197" s="43"/>
      <c r="O197" s="41"/>
      <c r="P197" s="113">
        <v>1</v>
      </c>
      <c r="Q197" s="114">
        <v>0</v>
      </c>
      <c r="R197" s="44"/>
      <c r="S197" s="43">
        <f t="shared" si="16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3"/>
        <v>0</v>
      </c>
      <c r="N198" s="26"/>
      <c r="O198" s="31"/>
      <c r="P198" s="120"/>
      <c r="Q198" s="26"/>
      <c r="R198" s="27"/>
      <c r="S198" s="26">
        <f t="shared" si="16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3"/>
        <v>0</v>
      </c>
      <c r="N199" s="39"/>
      <c r="O199" s="41"/>
      <c r="P199" s="69"/>
      <c r="Q199" s="39"/>
      <c r="R199" s="40"/>
      <c r="S199" s="39">
        <f t="shared" si="16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9</v>
      </c>
      <c r="J200" s="203">
        <v>10</v>
      </c>
      <c r="K200" s="65">
        <v>26045.17</v>
      </c>
      <c r="L200" s="224">
        <v>10</v>
      </c>
      <c r="M200" s="50">
        <f t="shared" si="13"/>
        <v>26045.17</v>
      </c>
      <c r="N200" s="65">
        <v>26045.17</v>
      </c>
      <c r="O200" s="225"/>
      <c r="P200" s="108">
        <v>10</v>
      </c>
      <c r="Q200" s="65">
        <v>22956.16</v>
      </c>
      <c r="R200" s="224">
        <v>10</v>
      </c>
      <c r="S200" s="50">
        <f t="shared" si="16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3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6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23</v>
      </c>
      <c r="I202" s="203">
        <v>19</v>
      </c>
      <c r="J202" s="203">
        <v>30</v>
      </c>
      <c r="K202" s="65">
        <v>55035.38</v>
      </c>
      <c r="L202" s="224">
        <v>30</v>
      </c>
      <c r="M202" s="50">
        <f t="shared" si="13"/>
        <v>55035.38</v>
      </c>
      <c r="N202" s="65">
        <v>55035.38</v>
      </c>
      <c r="O202" s="225"/>
      <c r="P202" s="108">
        <v>26</v>
      </c>
      <c r="Q202" s="65">
        <v>42356.26</v>
      </c>
      <c r="R202" s="224">
        <v>26</v>
      </c>
      <c r="S202" s="50">
        <f t="shared" si="16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6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3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6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14</v>
      </c>
      <c r="I204" s="62">
        <v>1</v>
      </c>
      <c r="J204" s="62">
        <v>2</v>
      </c>
      <c r="K204" s="30">
        <v>3016.65</v>
      </c>
      <c r="L204" s="205">
        <v>2</v>
      </c>
      <c r="M204" s="26">
        <f t="shared" si="13"/>
        <v>3016.65</v>
      </c>
      <c r="N204" s="30">
        <v>3016.65</v>
      </c>
      <c r="O204" s="31"/>
      <c r="P204" s="53">
        <v>11</v>
      </c>
      <c r="Q204" s="30">
        <v>35207.21</v>
      </c>
      <c r="R204" s="205">
        <v>11</v>
      </c>
      <c r="S204" s="26">
        <f t="shared" si="16"/>
        <v>35207.21</v>
      </c>
      <c r="T204" s="30">
        <v>35207.21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4</v>
      </c>
      <c r="I205" s="38"/>
      <c r="J205" s="38"/>
      <c r="K205" s="39"/>
      <c r="L205" s="40"/>
      <c r="M205" s="39">
        <f t="shared" si="13"/>
        <v>0</v>
      </c>
      <c r="N205" s="39"/>
      <c r="O205" s="41"/>
      <c r="P205" s="59"/>
      <c r="Q205" s="39"/>
      <c r="R205" s="40"/>
      <c r="S205" s="39">
        <f t="shared" si="16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3"/>
        <v>0</v>
      </c>
      <c r="N206" s="50"/>
      <c r="O206" s="31"/>
      <c r="P206" s="123"/>
      <c r="Q206" s="50"/>
      <c r="R206" s="51"/>
      <c r="S206" s="50">
        <f t="shared" si="16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3"/>
        <v>0</v>
      </c>
      <c r="N207" s="50"/>
      <c r="O207" s="45"/>
      <c r="P207" s="123"/>
      <c r="Q207" s="50"/>
      <c r="R207" s="51"/>
      <c r="S207" s="50">
        <f t="shared" si="16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6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6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57"/>
      <c r="J210" s="57"/>
      <c r="K210" s="43"/>
      <c r="L210" s="44"/>
      <c r="M210" s="43">
        <f t="shared" si="13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6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3"/>
        <v>0</v>
      </c>
      <c r="N211" s="26"/>
      <c r="O211" s="31"/>
      <c r="P211" s="99"/>
      <c r="Q211" s="26"/>
      <c r="R211" s="27"/>
      <c r="S211" s="26">
        <f t="shared" si="16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3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2</v>
      </c>
      <c r="I213" s="231">
        <v>1</v>
      </c>
      <c r="J213" s="231">
        <v>1</v>
      </c>
      <c r="K213" s="91">
        <v>301.05</v>
      </c>
      <c r="L213" s="330">
        <v>1</v>
      </c>
      <c r="M213" s="26">
        <f t="shared" si="13"/>
        <v>301.05</v>
      </c>
      <c r="N213" s="91">
        <v>301.05</v>
      </c>
      <c r="O213" s="94"/>
      <c r="P213" s="329"/>
      <c r="Q213" s="91"/>
      <c r="R213" s="330"/>
      <c r="S213" s="26">
        <f t="shared" ref="S213:S229" si="17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7</v>
      </c>
      <c r="I214" s="37">
        <v>3</v>
      </c>
      <c r="J214" s="37">
        <v>3</v>
      </c>
      <c r="K214" s="68">
        <v>8429.4</v>
      </c>
      <c r="L214" s="285">
        <v>3</v>
      </c>
      <c r="M214" s="87">
        <f t="shared" si="13"/>
        <v>8429.4</v>
      </c>
      <c r="N214" s="39">
        <f>3211.2+2609.1+2609.1</f>
        <v>8429.4</v>
      </c>
      <c r="O214" s="41"/>
      <c r="P214" s="217"/>
      <c r="Q214" s="68"/>
      <c r="R214" s="285"/>
      <c r="S214" s="87">
        <f t="shared" si="17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3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7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3"/>
        <v>0</v>
      </c>
      <c r="N216" s="43"/>
      <c r="O216" s="45"/>
      <c r="P216" s="273"/>
      <c r="Q216" s="211"/>
      <c r="R216" s="210"/>
      <c r="S216" s="211">
        <f t="shared" si="17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4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3"/>
        <v>6502.43</v>
      </c>
      <c r="N217" s="30">
        <v>6502.43</v>
      </c>
      <c r="O217" s="308"/>
      <c r="P217" s="99"/>
      <c r="Q217" s="26"/>
      <c r="R217" s="27"/>
      <c r="S217" s="26">
        <f t="shared" si="17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3"/>
        <v>19304.88</v>
      </c>
      <c r="N218" s="39">
        <f>1985.09+7101.24+2689.4+4418.3+1705.95+1404.9</f>
        <v>19304.88</v>
      </c>
      <c r="O218" s="309"/>
      <c r="P218" s="310">
        <v>6</v>
      </c>
      <c r="Q218" s="245">
        <v>28151.200000000001</v>
      </c>
      <c r="R218" s="285">
        <v>6</v>
      </c>
      <c r="S218" s="39">
        <f t="shared" si="17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3"/>
        <v>0</v>
      </c>
      <c r="N219" s="50"/>
      <c r="O219" s="31"/>
      <c r="P219" s="277"/>
      <c r="Q219" s="81"/>
      <c r="R219" s="80"/>
      <c r="S219" s="81">
        <f t="shared" si="17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57"/>
      <c r="J220" s="57"/>
      <c r="K220" s="43"/>
      <c r="L220" s="44"/>
      <c r="M220" s="43">
        <f t="shared" si="13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7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24</v>
      </c>
      <c r="I221" s="62">
        <v>18</v>
      </c>
      <c r="J221" s="62">
        <v>26</v>
      </c>
      <c r="K221" s="30">
        <v>60016.63</v>
      </c>
      <c r="L221" s="205">
        <v>26</v>
      </c>
      <c r="M221" s="26">
        <f t="shared" si="13"/>
        <v>60016.63</v>
      </c>
      <c r="N221" s="30">
        <v>60016.63</v>
      </c>
      <c r="O221" s="225"/>
      <c r="P221" s="53">
        <v>23</v>
      </c>
      <c r="Q221" s="30">
        <v>69064.09</v>
      </c>
      <c r="R221" s="205">
        <v>23</v>
      </c>
      <c r="S221" s="26">
        <f t="shared" si="17"/>
        <v>69064.09</v>
      </c>
      <c r="T221" s="30">
        <v>69064.09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3"/>
        <v>0</v>
      </c>
      <c r="N222" s="39"/>
      <c r="O222" s="41"/>
      <c r="P222" s="59"/>
      <c r="Q222" s="39"/>
      <c r="R222" s="40"/>
      <c r="S222" s="39">
        <f t="shared" si="17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3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7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3"/>
        <v>3457.8</v>
      </c>
      <c r="N224" s="39">
        <f>3457.8</f>
        <v>3457.8</v>
      </c>
      <c r="O224" s="41"/>
      <c r="P224" s="115">
        <v>2</v>
      </c>
      <c r="Q224" s="68">
        <v>7299.8</v>
      </c>
      <c r="R224" s="285">
        <v>2</v>
      </c>
      <c r="S224" s="39">
        <f t="shared" si="17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3"/>
        <v>0</v>
      </c>
      <c r="N225" s="91"/>
      <c r="O225" s="331"/>
      <c r="P225" s="329"/>
      <c r="Q225" s="91"/>
      <c r="R225" s="330"/>
      <c r="S225" s="142">
        <f t="shared" si="17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3"/>
        <v>0</v>
      </c>
      <c r="N226" s="209"/>
      <c r="O226" s="234"/>
      <c r="P226" s="262"/>
      <c r="Q226" s="209"/>
      <c r="R226" s="290"/>
      <c r="S226" s="87">
        <f t="shared" si="17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32</v>
      </c>
      <c r="I227" s="62">
        <v>15</v>
      </c>
      <c r="J227" s="62">
        <v>16</v>
      </c>
      <c r="K227" s="30">
        <v>15584.37</v>
      </c>
      <c r="L227" s="205">
        <v>14</v>
      </c>
      <c r="M227" s="26">
        <f t="shared" si="13"/>
        <v>12481.62</v>
      </c>
      <c r="N227" s="30">
        <v>12481.62</v>
      </c>
      <c r="O227" s="269"/>
      <c r="P227" s="53">
        <v>29</v>
      </c>
      <c r="Q227" s="30">
        <v>78523.929999999993</v>
      </c>
      <c r="R227" s="205">
        <v>28</v>
      </c>
      <c r="S227" s="26">
        <f t="shared" si="17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3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7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46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3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7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14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23</v>
      </c>
      <c r="I231" s="203">
        <v>15</v>
      </c>
      <c r="J231" s="203">
        <v>18</v>
      </c>
      <c r="K231" s="65">
        <v>31994.6</v>
      </c>
      <c r="L231" s="224">
        <v>18</v>
      </c>
      <c r="M231" s="50">
        <f>N231+O231</f>
        <v>31994.6</v>
      </c>
      <c r="N231" s="65">
        <v>31994.6</v>
      </c>
      <c r="O231" s="225"/>
      <c r="P231" s="108">
        <v>19</v>
      </c>
      <c r="Q231" s="65">
        <v>64564.39</v>
      </c>
      <c r="R231" s="224">
        <v>19</v>
      </c>
      <c r="S231" s="50">
        <f>T231+U231</f>
        <v>64564.39</v>
      </c>
      <c r="T231" s="65">
        <v>64564.39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10</v>
      </c>
      <c r="Q232" s="114">
        <v>46701.760000000002</v>
      </c>
      <c r="R232" s="270">
        <v>10</v>
      </c>
      <c r="S232" s="114">
        <v>46701.760000000002</v>
      </c>
      <c r="T232" s="114">
        <v>46701.760000000002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7</v>
      </c>
      <c r="I233" s="62">
        <v>3</v>
      </c>
      <c r="J233" s="62">
        <v>3</v>
      </c>
      <c r="K233" s="30">
        <v>1969.94</v>
      </c>
      <c r="L233" s="205">
        <v>3</v>
      </c>
      <c r="M233" s="26">
        <f t="shared" ref="M233:M259" si="18">N233+O233</f>
        <v>1969.94</v>
      </c>
      <c r="N233" s="30">
        <v>1969.94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19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8"/>
        <v>0</v>
      </c>
      <c r="N234" s="43"/>
      <c r="O234" s="41"/>
      <c r="P234" s="103"/>
      <c r="Q234" s="43"/>
      <c r="R234" s="44"/>
      <c r="S234" s="43">
        <f t="shared" si="19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7</v>
      </c>
      <c r="J235" s="62">
        <v>7</v>
      </c>
      <c r="K235" s="30">
        <v>7436.01</v>
      </c>
      <c r="L235" s="205">
        <v>7</v>
      </c>
      <c r="M235" s="26">
        <f t="shared" si="18"/>
        <v>7436.01</v>
      </c>
      <c r="N235" s="30">
        <v>7436.01</v>
      </c>
      <c r="O235" s="31"/>
      <c r="P235" s="29">
        <v>1</v>
      </c>
      <c r="Q235" s="30">
        <v>2466.56</v>
      </c>
      <c r="R235" s="205">
        <v>1</v>
      </c>
      <c r="S235" s="26">
        <f t="shared" si="19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8"/>
        <v>0</v>
      </c>
      <c r="N236" s="39"/>
      <c r="O236" s="41"/>
      <c r="P236" s="69"/>
      <c r="Q236" s="39"/>
      <c r="R236" s="40"/>
      <c r="S236" s="39">
        <f t="shared" si="19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8"/>
        <v>0</v>
      </c>
      <c r="N237" s="81"/>
      <c r="O237" s="82"/>
      <c r="P237" s="295"/>
      <c r="Q237" s="81"/>
      <c r="R237" s="80"/>
      <c r="S237" s="142">
        <f t="shared" si="19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8"/>
        <v>0</v>
      </c>
      <c r="N238" s="211"/>
      <c r="O238" s="212"/>
      <c r="P238" s="284"/>
      <c r="Q238" s="211"/>
      <c r="R238" s="210"/>
      <c r="S238" s="39">
        <f t="shared" si="19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8"/>
        <v>0</v>
      </c>
      <c r="N239" s="26"/>
      <c r="O239" s="28"/>
      <c r="P239" s="29">
        <v>4</v>
      </c>
      <c r="Q239" s="30">
        <v>0</v>
      </c>
      <c r="R239" s="27"/>
      <c r="S239" s="26">
        <f t="shared" si="19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8"/>
        <v>0</v>
      </c>
      <c r="N240" s="211"/>
      <c r="O240" s="212"/>
      <c r="P240" s="284"/>
      <c r="Q240" s="211"/>
      <c r="R240" s="210"/>
      <c r="S240" s="211">
        <f t="shared" si="19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19</v>
      </c>
      <c r="I241" s="62">
        <v>14</v>
      </c>
      <c r="J241" s="62">
        <v>17</v>
      </c>
      <c r="K241" s="30">
        <v>33410.71</v>
      </c>
      <c r="L241" s="205">
        <v>8</v>
      </c>
      <c r="M241" s="26">
        <f t="shared" si="18"/>
        <v>8606.68</v>
      </c>
      <c r="N241" s="30">
        <v>8606.68</v>
      </c>
      <c r="O241" s="28"/>
      <c r="P241" s="214"/>
      <c r="Q241" s="30"/>
      <c r="R241" s="205"/>
      <c r="S241" s="26">
        <f t="shared" si="19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5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8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19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16</v>
      </c>
      <c r="I243" s="266">
        <v>10</v>
      </c>
      <c r="J243" s="266">
        <v>11</v>
      </c>
      <c r="K243" s="79">
        <v>18573.689999999999</v>
      </c>
      <c r="L243" s="268">
        <v>11</v>
      </c>
      <c r="M243" s="81">
        <f t="shared" si="18"/>
        <v>18573.689999999999</v>
      </c>
      <c r="N243" s="79">
        <v>18573.689999999999</v>
      </c>
      <c r="O243" s="219"/>
      <c r="P243" s="267">
        <v>16</v>
      </c>
      <c r="Q243" s="79">
        <v>70880.23</v>
      </c>
      <c r="R243" s="268">
        <v>16</v>
      </c>
      <c r="S243" s="26">
        <f t="shared" si="19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8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19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18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8"/>
        <v>27137.19</v>
      </c>
      <c r="N245" s="30">
        <v>27137.19</v>
      </c>
      <c r="O245" s="31"/>
      <c r="P245" s="53">
        <v>12</v>
      </c>
      <c r="Q245" s="30">
        <v>75520.89</v>
      </c>
      <c r="R245" s="205">
        <v>12</v>
      </c>
      <c r="S245" s="26">
        <f t="shared" si="19"/>
        <v>75520.89</v>
      </c>
      <c r="T245" s="30">
        <v>75520.89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8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19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8"/>
        <v>0</v>
      </c>
      <c r="N247" s="79"/>
      <c r="O247" s="82"/>
      <c r="P247" s="267"/>
      <c r="Q247" s="79"/>
      <c r="R247" s="268"/>
      <c r="S247" s="142">
        <f t="shared" si="19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4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8"/>
        <v>1324.62</v>
      </c>
      <c r="N248" s="339">
        <v>1324.62</v>
      </c>
      <c r="O248" s="89"/>
      <c r="P248" s="357"/>
      <c r="Q248" s="339"/>
      <c r="R248" s="340"/>
      <c r="S248" s="39">
        <f t="shared" si="19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15</v>
      </c>
      <c r="I249" s="266">
        <v>4</v>
      </c>
      <c r="J249" s="266">
        <v>5</v>
      </c>
      <c r="K249" s="79">
        <v>6598</v>
      </c>
      <c r="L249" s="268">
        <v>5</v>
      </c>
      <c r="M249" s="81">
        <f t="shared" si="18"/>
        <v>6598</v>
      </c>
      <c r="N249" s="79">
        <v>6598</v>
      </c>
      <c r="O249" s="219"/>
      <c r="P249" s="267">
        <v>12</v>
      </c>
      <c r="Q249" s="79">
        <v>23530.12</v>
      </c>
      <c r="R249" s="268">
        <v>12</v>
      </c>
      <c r="S249" s="81">
        <f t="shared" si="19"/>
        <v>23530.12</v>
      </c>
      <c r="T249" s="79">
        <v>23530.12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1</v>
      </c>
      <c r="J250" s="208">
        <v>1</v>
      </c>
      <c r="K250" s="209">
        <v>3073.6</v>
      </c>
      <c r="L250" s="290">
        <v>2</v>
      </c>
      <c r="M250" s="211">
        <f t="shared" si="18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19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11</v>
      </c>
      <c r="I251" s="62">
        <v>8</v>
      </c>
      <c r="J251" s="62">
        <v>12</v>
      </c>
      <c r="K251" s="30">
        <v>14777.51</v>
      </c>
      <c r="L251" s="205">
        <v>10</v>
      </c>
      <c r="M251" s="26">
        <f t="shared" si="18"/>
        <v>11957.67</v>
      </c>
      <c r="N251" s="30">
        <v>11957.67</v>
      </c>
      <c r="O251" s="28"/>
      <c r="P251" s="275"/>
      <c r="Q251" s="26"/>
      <c r="R251" s="27"/>
      <c r="S251" s="26">
        <f t="shared" si="19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8"/>
        <v>0</v>
      </c>
      <c r="N252" s="39"/>
      <c r="O252" s="41"/>
      <c r="P252" s="276"/>
      <c r="Q252" s="39"/>
      <c r="R252" s="40"/>
      <c r="S252" s="39">
        <f t="shared" si="19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3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8"/>
        <v>3158.6</v>
      </c>
      <c r="N253" s="79">
        <v>3158.6</v>
      </c>
      <c r="O253" s="219"/>
      <c r="P253" s="277"/>
      <c r="Q253" s="81"/>
      <c r="R253" s="80"/>
      <c r="S253" s="81">
        <f t="shared" si="19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4</v>
      </c>
      <c r="I254" s="130">
        <v>3</v>
      </c>
      <c r="J254" s="130">
        <v>3</v>
      </c>
      <c r="K254" s="114">
        <v>8675.82</v>
      </c>
      <c r="L254" s="270">
        <v>3</v>
      </c>
      <c r="M254" s="43">
        <f t="shared" si="18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19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8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19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6</v>
      </c>
      <c r="I256" s="57"/>
      <c r="J256" s="57"/>
      <c r="K256" s="43"/>
      <c r="L256" s="44"/>
      <c r="M256" s="43">
        <f t="shared" si="18"/>
        <v>0</v>
      </c>
      <c r="N256" s="43"/>
      <c r="O256" s="41"/>
      <c r="P256" s="113">
        <v>3</v>
      </c>
      <c r="Q256" s="114">
        <v>15773.67</v>
      </c>
      <c r="R256" s="270">
        <v>3</v>
      </c>
      <c r="S256" s="43">
        <f t="shared" si="19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14</v>
      </c>
      <c r="I257" s="62">
        <v>6</v>
      </c>
      <c r="J257" s="62">
        <v>9</v>
      </c>
      <c r="K257" s="30">
        <v>20964.32</v>
      </c>
      <c r="L257" s="205">
        <v>9</v>
      </c>
      <c r="M257" s="26">
        <f t="shared" si="18"/>
        <v>20964.32</v>
      </c>
      <c r="N257" s="30">
        <v>20964.32</v>
      </c>
      <c r="O257" s="31"/>
      <c r="P257" s="53">
        <v>13</v>
      </c>
      <c r="Q257" s="30">
        <v>34864.89</v>
      </c>
      <c r="R257" s="205">
        <v>13</v>
      </c>
      <c r="S257" s="26">
        <f t="shared" si="19"/>
        <v>34864.89</v>
      </c>
      <c r="T257" s="30">
        <v>34864.89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10</v>
      </c>
      <c r="I258" s="38"/>
      <c r="J258" s="38"/>
      <c r="K258" s="39"/>
      <c r="L258" s="40"/>
      <c r="M258" s="39">
        <f t="shared" si="18"/>
        <v>0</v>
      </c>
      <c r="N258" s="39"/>
      <c r="O258" s="41"/>
      <c r="P258" s="59"/>
      <c r="Q258" s="39"/>
      <c r="R258" s="40"/>
      <c r="S258" s="39">
        <f t="shared" si="19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17</v>
      </c>
      <c r="I259" s="203">
        <v>15</v>
      </c>
      <c r="J259" s="203">
        <v>20</v>
      </c>
      <c r="K259" s="65">
        <v>35824.5</v>
      </c>
      <c r="L259" s="224">
        <v>17</v>
      </c>
      <c r="M259" s="50">
        <f t="shared" si="18"/>
        <v>33407.07</v>
      </c>
      <c r="N259" s="65">
        <v>33407.07</v>
      </c>
      <c r="O259" s="225"/>
      <c r="P259" s="108">
        <v>20</v>
      </c>
      <c r="Q259" s="65">
        <v>57368.51</v>
      </c>
      <c r="R259" s="224">
        <v>19</v>
      </c>
      <c r="S259" s="50">
        <f t="shared" si="19"/>
        <v>55867.27</v>
      </c>
      <c r="T259" s="65">
        <v>55867.27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3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0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1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0"/>
        <v>0</v>
      </c>
      <c r="N262" s="43"/>
      <c r="O262" s="41"/>
      <c r="P262" s="113"/>
      <c r="Q262" s="114"/>
      <c r="R262" s="44"/>
      <c r="S262" s="43">
        <f t="shared" si="21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3</v>
      </c>
      <c r="I263" s="62">
        <v>1</v>
      </c>
      <c r="J263" s="62">
        <v>2</v>
      </c>
      <c r="K263" s="30">
        <v>642.24</v>
      </c>
      <c r="L263" s="205">
        <v>1</v>
      </c>
      <c r="M263" s="26">
        <f t="shared" si="20"/>
        <v>642.24</v>
      </c>
      <c r="N263" s="30">
        <v>642.24</v>
      </c>
      <c r="O263" s="219"/>
      <c r="P263" s="53">
        <v>3</v>
      </c>
      <c r="Q263" s="30">
        <v>8065.3</v>
      </c>
      <c r="R263" s="205">
        <v>1</v>
      </c>
      <c r="S263" s="26">
        <f t="shared" si="21"/>
        <v>3649.9</v>
      </c>
      <c r="T263" s="30">
        <v>3649.9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4</v>
      </c>
      <c r="I264" s="130">
        <v>1</v>
      </c>
      <c r="J264" s="130">
        <v>1</v>
      </c>
      <c r="K264" s="114">
        <v>1052.5999999999999</v>
      </c>
      <c r="L264" s="44"/>
      <c r="M264" s="43">
        <f t="shared" si="20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1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12</v>
      </c>
      <c r="J265" s="62">
        <v>16</v>
      </c>
      <c r="K265" s="30">
        <v>30275.46</v>
      </c>
      <c r="L265" s="205">
        <v>16</v>
      </c>
      <c r="M265" s="26">
        <f t="shared" si="20"/>
        <v>30275.46</v>
      </c>
      <c r="N265" s="30">
        <v>30275.46</v>
      </c>
      <c r="O265" s="241"/>
      <c r="P265" s="29">
        <v>2</v>
      </c>
      <c r="Q265" s="30">
        <v>1870.81</v>
      </c>
      <c r="R265" s="205">
        <v>2</v>
      </c>
      <c r="S265" s="26">
        <f t="shared" si="21"/>
        <v>1870.81</v>
      </c>
      <c r="T265" s="30">
        <v>1870.81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1</v>
      </c>
      <c r="J266" s="37">
        <v>1</v>
      </c>
      <c r="K266" s="68">
        <v>1921</v>
      </c>
      <c r="L266" s="285">
        <v>1</v>
      </c>
      <c r="M266" s="39">
        <f t="shared" si="20"/>
        <v>1921</v>
      </c>
      <c r="N266" s="39">
        <f>1921</f>
        <v>1921</v>
      </c>
      <c r="O266" s="41"/>
      <c r="P266" s="69"/>
      <c r="Q266" s="39"/>
      <c r="R266" s="40"/>
      <c r="S266" s="39">
        <f t="shared" si="21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0"/>
        <v>0</v>
      </c>
      <c r="N267" s="50"/>
      <c r="O267" s="31"/>
      <c r="P267" s="123"/>
      <c r="Q267" s="50"/>
      <c r="R267" s="51"/>
      <c r="S267" s="50">
        <f t="shared" si="21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0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1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21</v>
      </c>
      <c r="I269" s="62">
        <v>19</v>
      </c>
      <c r="J269" s="62">
        <v>21</v>
      </c>
      <c r="K269" s="30">
        <v>31160.87</v>
      </c>
      <c r="L269" s="205">
        <v>21</v>
      </c>
      <c r="M269" s="26">
        <f t="shared" si="20"/>
        <v>31160.87</v>
      </c>
      <c r="N269" s="30">
        <v>31160.87</v>
      </c>
      <c r="O269" s="100"/>
      <c r="P269" s="64">
        <v>20</v>
      </c>
      <c r="Q269" s="65">
        <v>52584.43</v>
      </c>
      <c r="R269" s="224">
        <v>20</v>
      </c>
      <c r="S269" s="50">
        <f t="shared" si="21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0"/>
        <v>1728.9</v>
      </c>
      <c r="N270" s="39">
        <f>1728.9</f>
        <v>1728.9</v>
      </c>
      <c r="O270" s="41"/>
      <c r="P270" s="42"/>
      <c r="Q270" s="43"/>
      <c r="R270" s="44"/>
      <c r="S270" s="43">
        <f t="shared" si="21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5</v>
      </c>
      <c r="J271" s="203">
        <v>5</v>
      </c>
      <c r="K271" s="65">
        <v>5617.57</v>
      </c>
      <c r="L271" s="316">
        <v>5</v>
      </c>
      <c r="M271" s="129">
        <f t="shared" si="20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1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5</v>
      </c>
      <c r="I272" s="37"/>
      <c r="J272" s="37"/>
      <c r="K272" s="39"/>
      <c r="L272" s="44"/>
      <c r="M272" s="43">
        <f t="shared" si="20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1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/>
      <c r="M273" s="26">
        <f t="shared" si="20"/>
        <v>0</v>
      </c>
      <c r="N273" s="26"/>
      <c r="O273" s="31"/>
      <c r="P273" s="64">
        <v>7</v>
      </c>
      <c r="Q273" s="65">
        <v>46859.35</v>
      </c>
      <c r="R273" s="224">
        <v>7</v>
      </c>
      <c r="S273" s="50">
        <f t="shared" si="21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8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0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1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0"/>
        <v>0</v>
      </c>
      <c r="N275" s="26"/>
      <c r="O275" s="28"/>
      <c r="P275" s="120"/>
      <c r="Q275" s="26"/>
      <c r="R275" s="27"/>
      <c r="S275" s="26">
        <f t="shared" si="21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9</v>
      </c>
      <c r="I276" s="38"/>
      <c r="J276" s="38"/>
      <c r="K276" s="39"/>
      <c r="L276" s="40"/>
      <c r="M276" s="39">
        <f t="shared" si="20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1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0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1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0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1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10</v>
      </c>
      <c r="I279" s="62">
        <v>10</v>
      </c>
      <c r="J279" s="62">
        <v>11</v>
      </c>
      <c r="K279" s="30">
        <v>13036.69</v>
      </c>
      <c r="L279" s="205">
        <v>10</v>
      </c>
      <c r="M279" s="26">
        <f t="shared" si="20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1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0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1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0"/>
        <v>0</v>
      </c>
      <c r="N281" s="50"/>
      <c r="O281" s="31"/>
      <c r="P281" s="123"/>
      <c r="Q281" s="50"/>
      <c r="R281" s="51"/>
      <c r="S281" s="50">
        <f t="shared" si="21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0"/>
        <v>0</v>
      </c>
      <c r="N282" s="43"/>
      <c r="O282" s="41"/>
      <c r="P282" s="103"/>
      <c r="Q282" s="43"/>
      <c r="R282" s="44"/>
      <c r="S282" s="43">
        <f t="shared" si="21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0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1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0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1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0"/>
        <v>0</v>
      </c>
      <c r="N285" s="26"/>
      <c r="O285" s="241"/>
      <c r="P285" s="214"/>
      <c r="Q285" s="30"/>
      <c r="R285" s="205"/>
      <c r="S285" s="26">
        <f t="shared" si="21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0"/>
        <v>0</v>
      </c>
      <c r="N286" s="39"/>
      <c r="O286" s="234"/>
      <c r="P286" s="217"/>
      <c r="Q286" s="68"/>
      <c r="R286" s="285"/>
      <c r="S286" s="39">
        <f t="shared" si="21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18</v>
      </c>
      <c r="I287" s="266">
        <v>15</v>
      </c>
      <c r="J287" s="266">
        <v>23</v>
      </c>
      <c r="K287" s="79">
        <v>32610.76</v>
      </c>
      <c r="L287" s="268">
        <v>23</v>
      </c>
      <c r="M287" s="81">
        <f t="shared" si="20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1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3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2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3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4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2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3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2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2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3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2"/>
        <v>0</v>
      </c>
      <c r="N292" s="39"/>
      <c r="O292" s="41"/>
      <c r="P292" s="69"/>
      <c r="Q292" s="39"/>
      <c r="R292" s="40"/>
      <c r="S292" s="39">
        <f t="shared" si="23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7</v>
      </c>
      <c r="J293" s="203">
        <v>8</v>
      </c>
      <c r="K293" s="65">
        <v>10206.33</v>
      </c>
      <c r="L293" s="224">
        <v>8</v>
      </c>
      <c r="M293" s="50">
        <f t="shared" si="22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3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2"/>
        <v>0</v>
      </c>
      <c r="N294" s="39"/>
      <c r="O294" s="41"/>
      <c r="P294" s="115">
        <v>1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4">SUM(H9:H294)</f>
        <v>1786</v>
      </c>
      <c r="I295" s="183">
        <f t="shared" si="24"/>
        <v>1102</v>
      </c>
      <c r="J295" s="183">
        <f t="shared" si="24"/>
        <v>1363</v>
      </c>
      <c r="K295" s="184">
        <f t="shared" si="24"/>
        <v>2496178.8699999996</v>
      </c>
      <c r="L295" s="185">
        <f t="shared" si="24"/>
        <v>1310</v>
      </c>
      <c r="M295" s="184">
        <f t="shared" si="24"/>
        <v>2403005.94</v>
      </c>
      <c r="N295" s="184">
        <f t="shared" si="24"/>
        <v>2404210.1399999997</v>
      </c>
      <c r="O295" s="186">
        <f t="shared" si="24"/>
        <v>0</v>
      </c>
      <c r="P295" s="187">
        <f t="shared" si="24"/>
        <v>1339</v>
      </c>
      <c r="Q295" s="188">
        <f t="shared" si="24"/>
        <v>4530605.32</v>
      </c>
      <c r="R295" s="185">
        <f t="shared" si="24"/>
        <v>1303</v>
      </c>
      <c r="S295" s="188">
        <f t="shared" si="24"/>
        <v>4565707.7899999991</v>
      </c>
      <c r="T295" s="188">
        <f t="shared" si="24"/>
        <v>4565707.7899999991</v>
      </c>
      <c r="U295" s="189">
        <f t="shared" si="24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5">SUMIF($G$9:$G$294,$F$301,H9:H294)</f>
        <v>1309</v>
      </c>
      <c r="H301" s="193">
        <f t="shared" si="25"/>
        <v>919</v>
      </c>
      <c r="I301" s="193">
        <f t="shared" si="25"/>
        <v>1179</v>
      </c>
      <c r="J301" s="194">
        <f t="shared" ref="J301:J303" si="26">SUMIF($G$9:$G$294,F301,$K$9:$K$294)</f>
        <v>2156137.11</v>
      </c>
      <c r="K301" s="195">
        <f t="shared" ref="K301:K303" si="27">SUMIF($G$9:$G$294,F301,$L$9:$L$294)</f>
        <v>1123</v>
      </c>
      <c r="L301" s="194">
        <f t="shared" ref="L301:L303" si="28">SUMIF($G$9:$G$294,F301,$M$9:$M$294)</f>
        <v>2047442.4200000004</v>
      </c>
      <c r="M301" s="194">
        <f t="shared" ref="M301:O301" si="29">SUMIF($G$9:$G$294,$F$301,N9:N294)</f>
        <v>2047442.4200000004</v>
      </c>
      <c r="N301" s="194">
        <f t="shared" si="29"/>
        <v>0</v>
      </c>
      <c r="O301" s="193">
        <f t="shared" si="29"/>
        <v>1075</v>
      </c>
      <c r="P301" s="194">
        <f t="shared" ref="P301:P303" si="30">SUMIF($G$9:$G$294,F301,$Q$9:$Q$294)</f>
        <v>3680324</v>
      </c>
      <c r="Q301" s="195">
        <f t="shared" ref="Q301:Q303" si="31">SUMIF($G$9:$G$294,F301,$R$9:$R$294)</f>
        <v>1017</v>
      </c>
      <c r="R301" s="194">
        <f t="shared" ref="R301:R303" si="32">SUMIF($G$9:$G$294,F301,$S$9:$S$294)</f>
        <v>3655868.9200000004</v>
      </c>
      <c r="S301" s="194">
        <f t="shared" ref="S301:T301" si="33">SUMIF($G$9:$G$294,$F$301,T9:T294)</f>
        <v>3655868.9200000004</v>
      </c>
      <c r="T301" s="194">
        <f t="shared" si="33"/>
        <v>0</v>
      </c>
      <c r="U301" s="194">
        <f t="shared" ref="U301:U303" si="34">S301+M301</f>
        <v>5703311.3400000008</v>
      </c>
      <c r="V301" s="196">
        <f t="shared" ref="V301:V303" si="35">J301-M301+P301-S301</f>
        <v>133149.76999999909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6">SUMIF($G$9:$G$294,$F$302,H9:H294)</f>
        <v>399</v>
      </c>
      <c r="H302" s="193">
        <f t="shared" si="36"/>
        <v>140</v>
      </c>
      <c r="I302" s="193">
        <f t="shared" si="36"/>
        <v>141</v>
      </c>
      <c r="J302" s="194">
        <f t="shared" si="26"/>
        <v>269369.77</v>
      </c>
      <c r="K302" s="195">
        <f t="shared" si="27"/>
        <v>144</v>
      </c>
      <c r="L302" s="194">
        <f t="shared" si="28"/>
        <v>284891.52999999991</v>
      </c>
      <c r="M302" s="194">
        <f t="shared" ref="M302:O302" si="37">SUMIF($G$9:$G$294,$F$302,N9:N294)</f>
        <v>286095.73</v>
      </c>
      <c r="N302" s="194">
        <f t="shared" si="37"/>
        <v>0</v>
      </c>
      <c r="O302" s="193">
        <f t="shared" si="37"/>
        <v>202</v>
      </c>
      <c r="P302" s="194">
        <f t="shared" si="30"/>
        <v>619580.06999999995</v>
      </c>
      <c r="Q302" s="195">
        <f t="shared" si="31"/>
        <v>225</v>
      </c>
      <c r="R302" s="194">
        <f t="shared" si="32"/>
        <v>679137.62000000023</v>
      </c>
      <c r="S302" s="194">
        <f t="shared" ref="S302:T302" si="38">SUMIF($G$9:$G$294,$F$302,T9:T294)</f>
        <v>679137.62000000023</v>
      </c>
      <c r="T302" s="194">
        <f t="shared" si="38"/>
        <v>0</v>
      </c>
      <c r="U302" s="194">
        <f t="shared" si="34"/>
        <v>965233.35000000021</v>
      </c>
      <c r="V302" s="196">
        <f t="shared" si="35"/>
        <v>-76283.510000000242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39">SUMIF($G$9:$G$294,$F$303,H9:H294)</f>
        <v>78</v>
      </c>
      <c r="H303" s="193">
        <f t="shared" si="39"/>
        <v>43</v>
      </c>
      <c r="I303" s="193">
        <f t="shared" si="39"/>
        <v>43</v>
      </c>
      <c r="J303" s="194">
        <f t="shared" si="26"/>
        <v>70671.989999999991</v>
      </c>
      <c r="K303" s="195">
        <f t="shared" si="27"/>
        <v>43</v>
      </c>
      <c r="L303" s="194">
        <f t="shared" si="28"/>
        <v>70671.989999999991</v>
      </c>
      <c r="M303" s="194">
        <f t="shared" ref="M303:O303" si="40">SUMIF($G$9:$G$294,$F$303,N9:N294)</f>
        <v>70671.989999999991</v>
      </c>
      <c r="N303" s="194">
        <f t="shared" si="40"/>
        <v>0</v>
      </c>
      <c r="O303" s="193">
        <f t="shared" si="40"/>
        <v>62</v>
      </c>
      <c r="P303" s="194">
        <f t="shared" si="30"/>
        <v>230701.25</v>
      </c>
      <c r="Q303" s="195">
        <f t="shared" si="31"/>
        <v>61</v>
      </c>
      <c r="R303" s="194">
        <f t="shared" si="32"/>
        <v>230701.25</v>
      </c>
      <c r="S303" s="194">
        <f t="shared" ref="S303:T303" si="41">SUMIF($G$9:$G$294,$F$303,T9:T294)</f>
        <v>230701.25</v>
      </c>
      <c r="T303" s="194">
        <f t="shared" si="41"/>
        <v>0</v>
      </c>
      <c r="U303" s="194">
        <f t="shared" si="34"/>
        <v>301373.24</v>
      </c>
      <c r="V303" s="196">
        <f t="shared" si="35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2">G303+G302+G301</f>
        <v>1786</v>
      </c>
      <c r="H304" s="197">
        <f t="shared" si="42"/>
        <v>1102</v>
      </c>
      <c r="I304" s="197">
        <f t="shared" si="42"/>
        <v>1363</v>
      </c>
      <c r="J304" s="198">
        <f t="shared" si="42"/>
        <v>2496178.87</v>
      </c>
      <c r="K304" s="199">
        <f t="shared" si="42"/>
        <v>1310</v>
      </c>
      <c r="L304" s="198">
        <f t="shared" si="42"/>
        <v>2403005.9400000004</v>
      </c>
      <c r="M304" s="198">
        <f t="shared" si="42"/>
        <v>2404210.1400000006</v>
      </c>
      <c r="N304" s="198">
        <f t="shared" si="42"/>
        <v>0</v>
      </c>
      <c r="O304" s="197">
        <f t="shared" si="42"/>
        <v>1339</v>
      </c>
      <c r="P304" s="198">
        <f t="shared" si="42"/>
        <v>4530605.32</v>
      </c>
      <c r="Q304" s="200">
        <f t="shared" si="42"/>
        <v>1303</v>
      </c>
      <c r="R304" s="198">
        <f t="shared" si="42"/>
        <v>4565707.790000001</v>
      </c>
      <c r="S304" s="198">
        <f t="shared" si="42"/>
        <v>4565707.790000001</v>
      </c>
      <c r="T304" s="198">
        <f t="shared" si="42"/>
        <v>0</v>
      </c>
      <c r="U304" s="198">
        <f t="shared" si="42"/>
        <v>6969917.9300000016</v>
      </c>
      <c r="V304" s="198">
        <f t="shared" si="42"/>
        <v>56866.259999998845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11</v>
      </c>
      <c r="I9" s="62">
        <v>7</v>
      </c>
      <c r="J9" s="62">
        <v>8</v>
      </c>
      <c r="K9" s="62">
        <v>13001.3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12</v>
      </c>
      <c r="J13" s="266">
        <v>17</v>
      </c>
      <c r="K13" s="79">
        <v>50876.52</v>
      </c>
      <c r="L13" s="268">
        <v>17</v>
      </c>
      <c r="M13" s="81">
        <f t="shared" si="0"/>
        <v>50876.52</v>
      </c>
      <c r="N13" s="79">
        <v>50876.52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26</v>
      </c>
      <c r="I15" s="62">
        <v>26</v>
      </c>
      <c r="J15" s="62">
        <v>42</v>
      </c>
      <c r="K15" s="30" t="s">
        <v>487</v>
      </c>
      <c r="L15" s="205">
        <v>36</v>
      </c>
      <c r="M15" s="26">
        <f t="shared" si="0"/>
        <v>89619.08</v>
      </c>
      <c r="N15" s="30">
        <v>89619.08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6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4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8</v>
      </c>
      <c r="Q18" s="209">
        <v>40605.910000000003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14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10</v>
      </c>
      <c r="I21" s="266">
        <v>9</v>
      </c>
      <c r="J21" s="266">
        <v>13</v>
      </c>
      <c r="K21" s="79">
        <v>21314.18</v>
      </c>
      <c r="L21" s="268">
        <v>13</v>
      </c>
      <c r="M21" s="81">
        <f t="shared" si="0"/>
        <v>21314.18</v>
      </c>
      <c r="N21" s="79">
        <v>21314.18</v>
      </c>
      <c r="O21" s="269"/>
      <c r="P21" s="267">
        <v>10</v>
      </c>
      <c r="Q21" s="79">
        <v>22605.93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16</v>
      </c>
      <c r="I23" s="203">
        <v>16</v>
      </c>
      <c r="J23" s="203">
        <v>26</v>
      </c>
      <c r="K23" s="65">
        <v>38432.639999999999</v>
      </c>
      <c r="L23" s="224">
        <v>26</v>
      </c>
      <c r="M23" s="50">
        <f t="shared" si="0"/>
        <v>38432.639999999999</v>
      </c>
      <c r="N23" s="65">
        <v>38432.639999999999</v>
      </c>
      <c r="O23" s="225"/>
      <c r="P23" s="53">
        <v>15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15</v>
      </c>
      <c r="I25" s="62">
        <v>9</v>
      </c>
      <c r="J25" s="62">
        <v>9</v>
      </c>
      <c r="K25" s="62">
        <v>7020.53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8</v>
      </c>
      <c r="Q25" s="30">
        <v>13822.44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14</v>
      </c>
      <c r="I27" s="203">
        <v>13</v>
      </c>
      <c r="J27" s="203">
        <v>21</v>
      </c>
      <c r="K27" s="65">
        <v>38849.480000000003</v>
      </c>
      <c r="L27" s="224">
        <v>20</v>
      </c>
      <c r="M27" s="50">
        <f t="shared" si="0"/>
        <v>38247.379999999997</v>
      </c>
      <c r="N27" s="65">
        <v>38247.379999999997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2</v>
      </c>
      <c r="J28" s="130">
        <v>2</v>
      </c>
      <c r="K28" s="114">
        <v>2609.1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8</v>
      </c>
      <c r="Q28" s="68">
        <v>25627.9</v>
      </c>
      <c r="R28" s="285">
        <v>9</v>
      </c>
      <c r="S28" s="39">
        <f t="shared" si="1"/>
        <v>27294.600000000002</v>
      </c>
      <c r="T28" s="68">
        <f>4302+3533.6+960.5+5240.8+4226.2+5820.3+2007+1204.2</f>
        <v>27294.600000000002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6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14</v>
      </c>
      <c r="I33" s="203">
        <v>6</v>
      </c>
      <c r="J33" s="203">
        <v>7</v>
      </c>
      <c r="K33" s="65">
        <v>15270.19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4</v>
      </c>
      <c r="I43" s="62">
        <v>3</v>
      </c>
      <c r="J43" s="62">
        <v>5</v>
      </c>
      <c r="K43" s="30">
        <v>10750.36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17</v>
      </c>
      <c r="I45" s="266">
        <v>16</v>
      </c>
      <c r="J45" s="266">
        <v>19</v>
      </c>
      <c r="K45" s="79">
        <v>30491.93</v>
      </c>
      <c r="L45" s="268">
        <v>18</v>
      </c>
      <c r="M45" s="81">
        <f t="shared" si="2"/>
        <v>29884.81</v>
      </c>
      <c r="N45" s="79">
        <v>29884.81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23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9</v>
      </c>
      <c r="I50" s="266">
        <v>5</v>
      </c>
      <c r="J50" s="266">
        <v>6</v>
      </c>
      <c r="K50" s="79">
        <v>8522.93</v>
      </c>
      <c r="L50" s="268">
        <v>4</v>
      </c>
      <c r="M50" s="81">
        <f t="shared" si="2"/>
        <v>5771.33</v>
      </c>
      <c r="N50" s="79">
        <v>5771.33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1</v>
      </c>
      <c r="I53" s="86"/>
      <c r="J53" s="86"/>
      <c r="K53" s="87"/>
      <c r="L53" s="88"/>
      <c r="M53" s="39">
        <f t="shared" si="2"/>
        <v>0</v>
      </c>
      <c r="N53" s="87"/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3</v>
      </c>
      <c r="I56" s="96"/>
      <c r="J56" s="96"/>
      <c r="K56" s="81"/>
      <c r="L56" s="80"/>
      <c r="M56" s="81">
        <f t="shared" si="2"/>
        <v>0</v>
      </c>
      <c r="N56" s="81"/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5</v>
      </c>
      <c r="I57" s="130">
        <v>5</v>
      </c>
      <c r="J57" s="130">
        <v>5</v>
      </c>
      <c r="K57" s="114">
        <v>13125.78</v>
      </c>
      <c r="L57" s="270">
        <v>3</v>
      </c>
      <c r="M57" s="43">
        <f t="shared" si="2"/>
        <v>5619.5999999999995</v>
      </c>
      <c r="N57" s="43">
        <f>1605.6+1806.3+2207.7</f>
        <v>5619.5999999999995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3</v>
      </c>
      <c r="M58" s="26">
        <f t="shared" si="2"/>
        <v>4488.49</v>
      </c>
      <c r="N58" s="30">
        <v>4488.49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5</v>
      </c>
      <c r="I59" s="37">
        <v>1</v>
      </c>
      <c r="J59" s="37">
        <v>1</v>
      </c>
      <c r="K59" s="68">
        <v>2007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8</v>
      </c>
      <c r="Q59" s="68">
        <v>16057.33</v>
      </c>
      <c r="R59" s="285">
        <v>13</v>
      </c>
      <c r="S59" s="39">
        <f t="shared" si="3"/>
        <v>28376.030000000002</v>
      </c>
      <c r="T59" s="68">
        <f>2209.2+576.3+13639.1+1921+1921+3438.83+3265.7+1404.9</f>
        <v>28376.030000000002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8</v>
      </c>
      <c r="I60" s="203">
        <v>4</v>
      </c>
      <c r="J60" s="203">
        <v>7</v>
      </c>
      <c r="K60" s="65">
        <v>12948.87</v>
      </c>
      <c r="L60" s="224">
        <v>6</v>
      </c>
      <c r="M60" s="50">
        <f t="shared" si="2"/>
        <v>9306.16</v>
      </c>
      <c r="N60" s="65">
        <v>9306.16</v>
      </c>
      <c r="O60" s="31"/>
      <c r="P60" s="53">
        <v>5</v>
      </c>
      <c r="Q60" s="30">
        <v>13725.08</v>
      </c>
      <c r="R60" s="205">
        <v>4</v>
      </c>
      <c r="S60" s="26">
        <f t="shared" si="3"/>
        <v>12223.84</v>
      </c>
      <c r="T60" s="30">
        <v>12223.84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17</v>
      </c>
      <c r="I62" s="62">
        <v>16</v>
      </c>
      <c r="J62" s="62">
        <v>18</v>
      </c>
      <c r="K62" s="30">
        <v>33307.97</v>
      </c>
      <c r="L62" s="205">
        <v>16</v>
      </c>
      <c r="M62" s="26">
        <f t="shared" si="2"/>
        <v>29461.16</v>
      </c>
      <c r="N62" s="30">
        <v>29461.16</v>
      </c>
      <c r="O62" s="225"/>
      <c r="P62" s="53">
        <v>6</v>
      </c>
      <c r="Q62" s="30">
        <v>45189.01</v>
      </c>
      <c r="R62" s="205">
        <v>6</v>
      </c>
      <c r="S62" s="26">
        <f t="shared" si="3"/>
        <v>45189.01</v>
      </c>
      <c r="T62" s="30">
        <v>45189.01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6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30</v>
      </c>
      <c r="I64" s="203">
        <v>25</v>
      </c>
      <c r="J64" s="203">
        <v>38</v>
      </c>
      <c r="K64" s="65">
        <v>70731.710000000006</v>
      </c>
      <c r="L64" s="224">
        <v>38</v>
      </c>
      <c r="M64" s="50">
        <f t="shared" si="2"/>
        <v>70731.710000000006</v>
      </c>
      <c r="N64" s="65">
        <v>70731.710000000006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13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6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7</v>
      </c>
      <c r="I68" s="62">
        <v>4</v>
      </c>
      <c r="J68" s="62">
        <v>5</v>
      </c>
      <c r="K68" s="30">
        <v>9142.82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8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7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8</v>
      </c>
      <c r="I74" s="203">
        <v>2</v>
      </c>
      <c r="J74" s="203">
        <v>2</v>
      </c>
      <c r="K74" s="65">
        <v>2391.54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88949.07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3</v>
      </c>
      <c r="S75" s="43">
        <f t="shared" si="3"/>
        <v>7115.8</v>
      </c>
      <c r="T75" s="114">
        <f>2881.5+2393.3+1841</f>
        <v>7115.8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15</v>
      </c>
      <c r="I76" s="62">
        <v>10</v>
      </c>
      <c r="J76" s="62">
        <v>13</v>
      </c>
      <c r="K76" s="30">
        <v>36159.94</v>
      </c>
      <c r="L76" s="205">
        <v>12</v>
      </c>
      <c r="M76" s="26">
        <f t="shared" si="2"/>
        <v>34420.35</v>
      </c>
      <c r="N76" s="30">
        <v>34420.35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8"/>
      <c r="J77" s="38"/>
      <c r="K77" s="39"/>
      <c r="L77" s="40"/>
      <c r="M77" s="39">
        <f t="shared" si="2"/>
        <v>0</v>
      </c>
      <c r="N77" s="39"/>
      <c r="O77" s="41"/>
      <c r="P77" s="69"/>
      <c r="Q77" s="39"/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7</v>
      </c>
      <c r="J80" s="62">
        <v>11</v>
      </c>
      <c r="K80" s="30">
        <v>18453.95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8</v>
      </c>
      <c r="J82" s="203">
        <v>13</v>
      </c>
      <c r="K82" s="158">
        <v>34489.42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11</v>
      </c>
      <c r="Q82" s="65">
        <v>42582.42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45</v>
      </c>
      <c r="I84" s="62">
        <v>42</v>
      </c>
      <c r="J84" s="62">
        <v>63</v>
      </c>
      <c r="K84" s="30">
        <v>123161.98</v>
      </c>
      <c r="L84" s="205">
        <v>48</v>
      </c>
      <c r="M84" s="26">
        <f t="shared" si="4"/>
        <v>91477.55</v>
      </c>
      <c r="N84" s="30">
        <v>91477.55</v>
      </c>
      <c r="O84" s="225"/>
      <c r="P84" s="29">
        <v>26</v>
      </c>
      <c r="Q84" s="30">
        <v>88997.34</v>
      </c>
      <c r="R84" s="205">
        <v>24</v>
      </c>
      <c r="S84" s="26">
        <f t="shared" si="5"/>
        <v>80699.88</v>
      </c>
      <c r="T84" s="30">
        <v>80699.88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8</v>
      </c>
      <c r="I86" s="62">
        <v>5</v>
      </c>
      <c r="J86" s="62">
        <v>5</v>
      </c>
      <c r="K86" s="30">
        <v>11316.07</v>
      </c>
      <c r="L86" s="205">
        <v>5</v>
      </c>
      <c r="M86" s="26">
        <f t="shared" si="4"/>
        <v>11316.07</v>
      </c>
      <c r="N86" s="30">
        <v>11316.07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5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1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15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2</v>
      </c>
      <c r="I96" s="62">
        <v>1</v>
      </c>
      <c r="J96" s="62">
        <v>1</v>
      </c>
      <c r="K96" s="30">
        <v>1204.2</v>
      </c>
      <c r="L96" s="27"/>
      <c r="M96" s="26">
        <f t="shared" si="4"/>
        <v>0</v>
      </c>
      <c r="N96" s="26"/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21</v>
      </c>
      <c r="I98" s="62">
        <v>14</v>
      </c>
      <c r="J98" s="62">
        <v>20</v>
      </c>
      <c r="K98" s="30">
        <v>32863.699999999997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8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7</v>
      </c>
      <c r="I100" s="203">
        <v>3</v>
      </c>
      <c r="J100" s="203">
        <v>3</v>
      </c>
      <c r="K100" s="65">
        <v>6560.64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3</v>
      </c>
      <c r="K102" s="30">
        <v>7389.22</v>
      </c>
      <c r="L102" s="205">
        <v>3</v>
      </c>
      <c r="M102" s="26">
        <f t="shared" ref="M102:M106" si="7">N102+O102</f>
        <v>7389.22</v>
      </c>
      <c r="N102" s="30">
        <v>7389.22</v>
      </c>
      <c r="O102" s="31"/>
      <c r="P102" s="53">
        <v>8</v>
      </c>
      <c r="Q102" s="30">
        <v>39013.760000000002</v>
      </c>
      <c r="R102" s="205">
        <v>8</v>
      </c>
      <c r="S102" s="26">
        <f t="shared" si="6"/>
        <v>39013.760000000002</v>
      </c>
      <c r="T102" s="30">
        <v>39013.760000000002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03"/>
      <c r="Q103" s="43"/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5</v>
      </c>
      <c r="J106" s="62">
        <v>7</v>
      </c>
      <c r="K106" s="30">
        <v>19153.98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27</v>
      </c>
      <c r="Q106" s="30">
        <v>93034.72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8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14</v>
      </c>
      <c r="I110" s="62">
        <v>10</v>
      </c>
      <c r="J110" s="62">
        <v>15</v>
      </c>
      <c r="K110" s="30">
        <v>28182.9</v>
      </c>
      <c r="L110" s="205">
        <v>14</v>
      </c>
      <c r="M110" s="26">
        <f t="shared" si="8"/>
        <v>26539.61</v>
      </c>
      <c r="N110" s="30">
        <v>26539.61</v>
      </c>
      <c r="O110" s="241"/>
      <c r="P110" s="214">
        <v>13</v>
      </c>
      <c r="Q110" s="30">
        <v>57575.81</v>
      </c>
      <c r="R110" s="205">
        <v>13</v>
      </c>
      <c r="S110" s="26">
        <f t="shared" si="9"/>
        <v>57575.81</v>
      </c>
      <c r="T110" s="30">
        <v>57575.81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9</v>
      </c>
      <c r="I111" s="286">
        <v>6</v>
      </c>
      <c r="J111" s="286">
        <v>6</v>
      </c>
      <c r="K111" s="287">
        <v>13739.4</v>
      </c>
      <c r="L111" s="315">
        <v>6</v>
      </c>
      <c r="M111" s="39">
        <f t="shared" si="8"/>
        <v>13739.4</v>
      </c>
      <c r="N111" s="39">
        <f>1921+3073.6+1921+3010.5+1404.9+2408.4</f>
        <v>13739.4</v>
      </c>
      <c r="O111" s="41"/>
      <c r="P111" s="217">
        <v>4</v>
      </c>
      <c r="Q111" s="37">
        <v>19940.650000000001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12</v>
      </c>
      <c r="I114" s="203">
        <v>6</v>
      </c>
      <c r="J114" s="203">
        <v>7</v>
      </c>
      <c r="K114" s="65">
        <v>11419.72</v>
      </c>
      <c r="L114" s="224">
        <v>7</v>
      </c>
      <c r="M114" s="50">
        <f t="shared" si="8"/>
        <v>11419.72</v>
      </c>
      <c r="N114" s="65">
        <v>11419.72</v>
      </c>
      <c r="O114" s="225"/>
      <c r="P114" s="108">
        <v>9</v>
      </c>
      <c r="Q114" s="65">
        <v>19656.830000000002</v>
      </c>
      <c r="R114" s="224">
        <v>9</v>
      </c>
      <c r="S114" s="50">
        <f t="shared" si="9"/>
        <v>19656.830000000002</v>
      </c>
      <c r="T114" s="65">
        <v>19656.830000000002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9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7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6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18</v>
      </c>
      <c r="J118" s="203">
        <v>21</v>
      </c>
      <c r="K118" s="65">
        <v>47812.95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21</v>
      </c>
      <c r="Q118" s="65">
        <v>73748.09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14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7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7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3</v>
      </c>
      <c r="I125" s="203">
        <v>2</v>
      </c>
      <c r="J125" s="203">
        <v>3</v>
      </c>
      <c r="K125" s="65">
        <v>5015.66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38019.17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13</v>
      </c>
      <c r="I127" s="62">
        <v>10</v>
      </c>
      <c r="J127" s="62">
        <v>12</v>
      </c>
      <c r="K127" s="30">
        <v>29389.23</v>
      </c>
      <c r="L127" s="205">
        <v>12</v>
      </c>
      <c r="M127" s="26">
        <f t="shared" si="10"/>
        <v>29389.23</v>
      </c>
      <c r="N127" s="30">
        <v>29389.23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18</v>
      </c>
      <c r="I129" s="62">
        <v>18</v>
      </c>
      <c r="J129" s="62">
        <v>25</v>
      </c>
      <c r="K129" s="30">
        <v>50749.49</v>
      </c>
      <c r="L129" s="205">
        <v>22</v>
      </c>
      <c r="M129" s="26">
        <f t="shared" si="10"/>
        <v>45233.25</v>
      </c>
      <c r="N129" s="30">
        <v>45233.25</v>
      </c>
      <c r="O129" s="225"/>
      <c r="P129" s="53">
        <v>11</v>
      </c>
      <c r="Q129" s="30">
        <v>31033.06</v>
      </c>
      <c r="R129" s="205">
        <v>10</v>
      </c>
      <c r="S129" s="26">
        <f t="shared" si="9"/>
        <v>25611.57</v>
      </c>
      <c r="T129" s="30">
        <v>25611.57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8</v>
      </c>
      <c r="I133" s="62">
        <v>7</v>
      </c>
      <c r="J133" s="62">
        <v>11</v>
      </c>
      <c r="K133" s="30">
        <v>20042.34</v>
      </c>
      <c r="L133" s="205">
        <v>10</v>
      </c>
      <c r="M133" s="26">
        <f t="shared" si="10"/>
        <v>16030.26</v>
      </c>
      <c r="N133" s="30">
        <v>16030.26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19</v>
      </c>
      <c r="I135" s="203">
        <v>12</v>
      </c>
      <c r="J135" s="203">
        <v>18</v>
      </c>
      <c r="K135" s="65">
        <v>44935.58</v>
      </c>
      <c r="L135" s="224">
        <v>18</v>
      </c>
      <c r="M135" s="50">
        <f t="shared" si="10"/>
        <v>44935.58</v>
      </c>
      <c r="N135" s="65">
        <v>44935.58</v>
      </c>
      <c r="O135" s="225"/>
      <c r="P135" s="108">
        <v>31</v>
      </c>
      <c r="Q135" s="65">
        <v>116106.08</v>
      </c>
      <c r="R135" s="224">
        <v>30</v>
      </c>
      <c r="S135" s="50">
        <f t="shared" si="9"/>
        <v>114879.71</v>
      </c>
      <c r="T135" s="65">
        <v>114879.71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17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32</v>
      </c>
      <c r="I139" s="62">
        <v>22</v>
      </c>
      <c r="J139" s="62">
        <v>23</v>
      </c>
      <c r="K139" s="30">
        <v>37589.230000000003</v>
      </c>
      <c r="L139" s="205">
        <v>23</v>
      </c>
      <c r="M139" s="26">
        <f t="shared" si="10"/>
        <v>37589.230000000003</v>
      </c>
      <c r="N139" s="30">
        <v>37589.230000000003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6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56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25</v>
      </c>
      <c r="I145" s="266">
        <v>21</v>
      </c>
      <c r="J145" s="266">
        <v>31</v>
      </c>
      <c r="K145" s="79">
        <v>63666.23</v>
      </c>
      <c r="L145" s="268">
        <v>31</v>
      </c>
      <c r="M145" s="81">
        <f t="shared" si="11"/>
        <v>63666.23</v>
      </c>
      <c r="N145" s="79">
        <v>63666.23</v>
      </c>
      <c r="O145" s="269"/>
      <c r="P145" s="267">
        <v>20</v>
      </c>
      <c r="Q145" s="79">
        <v>83320.600000000006</v>
      </c>
      <c r="R145" s="268">
        <v>19</v>
      </c>
      <c r="S145" s="81">
        <f t="shared" si="12"/>
        <v>83320.600000000006</v>
      </c>
      <c r="T145" s="79">
        <v>83320.600000000006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18</v>
      </c>
      <c r="I147" s="203">
        <v>15</v>
      </c>
      <c r="J147" s="203">
        <v>18</v>
      </c>
      <c r="K147" s="65">
        <v>47249.1</v>
      </c>
      <c r="L147" s="224">
        <v>15</v>
      </c>
      <c r="M147" s="50">
        <f t="shared" si="11"/>
        <v>36210.6</v>
      </c>
      <c r="N147" s="65">
        <v>36210.6</v>
      </c>
      <c r="O147" s="225"/>
      <c r="P147" s="108">
        <v>57</v>
      </c>
      <c r="Q147" s="65">
        <v>338665.33</v>
      </c>
      <c r="R147" s="224">
        <v>56</v>
      </c>
      <c r="S147" s="50">
        <f t="shared" si="12"/>
        <v>335574.55</v>
      </c>
      <c r="T147" s="65">
        <v>335574.55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135"/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156"/>
      <c r="Q148" s="129"/>
      <c r="R148" s="128"/>
      <c r="S148" s="129">
        <f t="shared" si="12"/>
        <v>0</v>
      </c>
      <c r="T148" s="129"/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si="12"/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2</v>
      </c>
      <c r="J150" s="62">
        <v>2</v>
      </c>
      <c r="K150" s="30">
        <v>1267.28</v>
      </c>
      <c r="L150" s="205">
        <v>1</v>
      </c>
      <c r="M150" s="26">
        <f t="shared" si="11"/>
        <v>384.2</v>
      </c>
      <c r="N150" s="30">
        <v>384.2</v>
      </c>
      <c r="O150" s="225"/>
      <c r="P150" s="53">
        <v>15</v>
      </c>
      <c r="Q150" s="30">
        <v>10414.84</v>
      </c>
      <c r="R150" s="205">
        <v>4</v>
      </c>
      <c r="S150" s="26">
        <f t="shared" si="12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6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3</v>
      </c>
      <c r="Q151" s="68">
        <v>7062.2</v>
      </c>
      <c r="R151" s="285">
        <v>3</v>
      </c>
      <c r="S151" s="39">
        <f t="shared" si="12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11</v>
      </c>
      <c r="I152" s="203">
        <v>11</v>
      </c>
      <c r="J152" s="203">
        <v>16</v>
      </c>
      <c r="K152" s="65">
        <v>32617.3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2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4</v>
      </c>
      <c r="J153" s="37">
        <v>4</v>
      </c>
      <c r="K153" s="68">
        <v>5174.6000000000004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2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2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2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2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8</v>
      </c>
      <c r="I157" s="130">
        <v>5</v>
      </c>
      <c r="J157" s="130">
        <v>5</v>
      </c>
      <c r="K157" s="114">
        <v>7800.08</v>
      </c>
      <c r="L157" s="270">
        <v>5</v>
      </c>
      <c r="M157" s="114">
        <v>7800.08</v>
      </c>
      <c r="N157" s="114">
        <v>7800.08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14</v>
      </c>
      <c r="I158" s="62">
        <v>10</v>
      </c>
      <c r="J158" s="62">
        <v>13</v>
      </c>
      <c r="K158" s="30">
        <v>21251.69</v>
      </c>
      <c r="L158" s="205">
        <v>13</v>
      </c>
      <c r="M158" s="26">
        <f t="shared" ref="M158:M229" si="13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4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15</v>
      </c>
      <c r="I159" s="271">
        <v>10</v>
      </c>
      <c r="J159" s="271">
        <v>10</v>
      </c>
      <c r="K159" s="239">
        <v>17440.900000000001</v>
      </c>
      <c r="L159" s="316">
        <v>9</v>
      </c>
      <c r="M159" s="129">
        <f t="shared" si="13"/>
        <v>17139.849999999999</v>
      </c>
      <c r="N159" s="129">
        <f>1728.9+2305.2+576.3+4802.5+1404.9+1404.9+1404.9+1103.85+2408.4</f>
        <v>17139.849999999999</v>
      </c>
      <c r="O159" s="45"/>
      <c r="P159" s="238">
        <v>9</v>
      </c>
      <c r="Q159" s="239">
        <v>31223.56</v>
      </c>
      <c r="R159" s="316">
        <v>10</v>
      </c>
      <c r="S159" s="129">
        <f t="shared" si="14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3"/>
        <v>0</v>
      </c>
      <c r="N160" s="43"/>
      <c r="O160" s="41"/>
      <c r="P160" s="103"/>
      <c r="Q160" s="43"/>
      <c r="R160" s="44"/>
      <c r="S160" s="43">
        <f t="shared" si="14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10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3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4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3"/>
        <v>0</v>
      </c>
      <c r="N162" s="39"/>
      <c r="O162" s="41"/>
      <c r="P162" s="59"/>
      <c r="Q162" s="39"/>
      <c r="R162" s="40"/>
      <c r="S162" s="39">
        <f t="shared" si="14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11</v>
      </c>
      <c r="J163" s="203">
        <v>12</v>
      </c>
      <c r="K163" s="65">
        <v>16411.849999999999</v>
      </c>
      <c r="L163" s="224">
        <v>9</v>
      </c>
      <c r="M163" s="50">
        <f t="shared" si="13"/>
        <v>11430.48</v>
      </c>
      <c r="N163" s="65">
        <v>11430.48</v>
      </c>
      <c r="O163" s="225"/>
      <c r="P163" s="108">
        <v>7</v>
      </c>
      <c r="Q163" s="65">
        <v>51817.59</v>
      </c>
      <c r="R163" s="224">
        <v>6</v>
      </c>
      <c r="S163" s="50">
        <f t="shared" si="14"/>
        <v>33605.230000000003</v>
      </c>
      <c r="T163" s="65">
        <v>33605.230000000003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4</v>
      </c>
      <c r="J164" s="246">
        <v>4</v>
      </c>
      <c r="K164" s="158">
        <v>8842.2999999999993</v>
      </c>
      <c r="L164" s="317">
        <v>4</v>
      </c>
      <c r="M164" s="142">
        <f t="shared" si="13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4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3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15</v>
      </c>
      <c r="I166" s="62">
        <v>9</v>
      </c>
      <c r="J166" s="62">
        <v>11</v>
      </c>
      <c r="K166" s="30">
        <v>22729.13</v>
      </c>
      <c r="L166" s="205">
        <v>9</v>
      </c>
      <c r="M166" s="26">
        <f t="shared" si="13"/>
        <v>16002.33</v>
      </c>
      <c r="N166" s="30">
        <v>16002.33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5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4</v>
      </c>
      <c r="J167" s="37">
        <v>4</v>
      </c>
      <c r="K167" s="68">
        <v>5042.7</v>
      </c>
      <c r="L167" s="285">
        <v>5</v>
      </c>
      <c r="M167" s="39">
        <f t="shared" si="13"/>
        <v>5042.7000000000007</v>
      </c>
      <c r="N167" s="39">
        <f>576.3+1716.8+1344.7+1404.9</f>
        <v>5042.7000000000007</v>
      </c>
      <c r="O167" s="41"/>
      <c r="P167" s="115">
        <v>2</v>
      </c>
      <c r="Q167" s="68">
        <v>3265.7</v>
      </c>
      <c r="R167" s="285">
        <v>2</v>
      </c>
      <c r="S167" s="39">
        <f t="shared" si="15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3"/>
        <v>19508.22</v>
      </c>
      <c r="N168" s="65">
        <v>19508.22</v>
      </c>
      <c r="O168" s="31"/>
      <c r="P168" s="108">
        <v>9</v>
      </c>
      <c r="Q168" s="65">
        <v>21231.99</v>
      </c>
      <c r="R168" s="224">
        <v>9</v>
      </c>
      <c r="S168" s="50">
        <f t="shared" si="15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6</v>
      </c>
      <c r="I169" s="130">
        <v>5</v>
      </c>
      <c r="J169" s="130">
        <v>5</v>
      </c>
      <c r="K169" s="114">
        <v>18356.64</v>
      </c>
      <c r="L169" s="270">
        <v>7</v>
      </c>
      <c r="M169" s="43">
        <f t="shared" si="13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5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3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5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3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8</v>
      </c>
      <c r="S171" s="43">
        <f t="shared" si="15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15</v>
      </c>
      <c r="I172" s="62">
        <v>12</v>
      </c>
      <c r="J172" s="62">
        <v>15</v>
      </c>
      <c r="K172" s="30">
        <v>32804</v>
      </c>
      <c r="L172" s="205">
        <v>11</v>
      </c>
      <c r="M172" s="26">
        <f t="shared" si="13"/>
        <v>24333.17</v>
      </c>
      <c r="N172" s="30">
        <v>24333.17</v>
      </c>
      <c r="O172" s="159"/>
      <c r="P172" s="53">
        <v>4</v>
      </c>
      <c r="Q172" s="30">
        <v>31835.37</v>
      </c>
      <c r="R172" s="205">
        <v>4</v>
      </c>
      <c r="S172" s="26">
        <f t="shared" si="15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3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5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4</v>
      </c>
      <c r="I174" s="62">
        <v>4</v>
      </c>
      <c r="J174" s="62">
        <v>7</v>
      </c>
      <c r="K174" s="30">
        <v>18567.810000000001</v>
      </c>
      <c r="L174" s="205">
        <v>6</v>
      </c>
      <c r="M174" s="26">
        <f t="shared" si="13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5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3"/>
        <v>0</v>
      </c>
      <c r="N175" s="39"/>
      <c r="O175" s="41"/>
      <c r="P175" s="217"/>
      <c r="Q175" s="68"/>
      <c r="R175" s="285"/>
      <c r="S175" s="39">
        <f t="shared" si="15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8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3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5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3"/>
        <v>0</v>
      </c>
      <c r="N177" s="43"/>
      <c r="O177" s="45"/>
      <c r="P177" s="103"/>
      <c r="Q177" s="43"/>
      <c r="R177" s="44"/>
      <c r="S177" s="43">
        <f t="shared" si="15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3"/>
        <v>524.91</v>
      </c>
      <c r="N178" s="30">
        <v>524.91</v>
      </c>
      <c r="O178" s="241"/>
      <c r="P178" s="53">
        <v>2</v>
      </c>
      <c r="Q178" s="30">
        <v>6607.52</v>
      </c>
      <c r="R178" s="205">
        <v>1</v>
      </c>
      <c r="S178" s="26">
        <f t="shared" si="15"/>
        <v>412.05</v>
      </c>
      <c r="T178" s="30">
        <v>412.05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3"/>
        <v>0</v>
      </c>
      <c r="N179" s="211"/>
      <c r="O179" s="212"/>
      <c r="P179" s="273"/>
      <c r="Q179" s="211"/>
      <c r="R179" s="210"/>
      <c r="S179" s="211">
        <f t="shared" si="15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5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3"/>
        <v>9442.35</v>
      </c>
      <c r="N180" s="30">
        <v>9442.35</v>
      </c>
      <c r="O180" s="28"/>
      <c r="P180" s="214"/>
      <c r="Q180" s="30"/>
      <c r="R180" s="205"/>
      <c r="S180" s="26">
        <f t="shared" si="15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3"/>
        <v>0</v>
      </c>
      <c r="N181" s="39"/>
      <c r="O181" s="41"/>
      <c r="P181" s="217"/>
      <c r="Q181" s="68"/>
      <c r="R181" s="285"/>
      <c r="S181" s="39">
        <f t="shared" si="15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6</v>
      </c>
      <c r="I182" s="266">
        <v>4</v>
      </c>
      <c r="J182" s="266">
        <v>5</v>
      </c>
      <c r="K182" s="79">
        <v>12387.84</v>
      </c>
      <c r="L182" s="268">
        <v>5</v>
      </c>
      <c r="M182" s="81">
        <f t="shared" si="13"/>
        <v>12387.84</v>
      </c>
      <c r="N182" s="79">
        <v>12387.84</v>
      </c>
      <c r="O182" s="219"/>
      <c r="P182" s="267">
        <v>16</v>
      </c>
      <c r="Q182" s="79">
        <v>44811.49</v>
      </c>
      <c r="R182" s="268">
        <v>16</v>
      </c>
      <c r="S182" s="81">
        <f t="shared" si="15"/>
        <v>44811.49</v>
      </c>
      <c r="T182" s="79">
        <v>44811.49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3"/>
        <v>21489.82</v>
      </c>
      <c r="N183" s="43">
        <f>2497.3+1152.6+5920.02+4595.4+602.1+6722.4</f>
        <v>21489.82</v>
      </c>
      <c r="O183" s="41"/>
      <c r="P183" s="113">
        <v>2</v>
      </c>
      <c r="Q183" s="114">
        <v>7924</v>
      </c>
      <c r="R183" s="270">
        <v>3</v>
      </c>
      <c r="S183" s="43">
        <f t="shared" si="15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12</v>
      </c>
      <c r="I184" s="62">
        <v>9</v>
      </c>
      <c r="J184" s="62">
        <v>9</v>
      </c>
      <c r="K184" s="30">
        <v>29875.67</v>
      </c>
      <c r="L184" s="205">
        <v>9</v>
      </c>
      <c r="M184" s="26">
        <f t="shared" si="13"/>
        <v>29875.67</v>
      </c>
      <c r="N184" s="30">
        <v>29875.67</v>
      </c>
      <c r="O184" s="225"/>
      <c r="P184" s="53">
        <v>12</v>
      </c>
      <c r="Q184" s="30">
        <v>36322.32</v>
      </c>
      <c r="R184" s="205">
        <v>12</v>
      </c>
      <c r="S184" s="26">
        <f t="shared" si="15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1</v>
      </c>
      <c r="J185" s="130">
        <v>1</v>
      </c>
      <c r="K185" s="114">
        <v>2649.24</v>
      </c>
      <c r="L185" s="270">
        <v>1</v>
      </c>
      <c r="M185" s="43">
        <f t="shared" si="13"/>
        <v>2649.24</v>
      </c>
      <c r="N185" s="43">
        <f>2649.24</f>
        <v>2649.24</v>
      </c>
      <c r="O185" s="41"/>
      <c r="P185" s="115">
        <v>8</v>
      </c>
      <c r="Q185" s="68">
        <v>30985.07</v>
      </c>
      <c r="R185" s="285">
        <v>8</v>
      </c>
      <c r="S185" s="39">
        <f t="shared" si="15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22</v>
      </c>
      <c r="I186" s="62">
        <v>21</v>
      </c>
      <c r="J186" s="204">
        <v>29</v>
      </c>
      <c r="K186" s="30">
        <v>49041.25</v>
      </c>
      <c r="L186" s="205">
        <v>26</v>
      </c>
      <c r="M186" s="26">
        <f t="shared" si="13"/>
        <v>43880.75</v>
      </c>
      <c r="N186" s="30">
        <v>43880.75</v>
      </c>
      <c r="O186" s="225"/>
      <c r="P186" s="108">
        <v>23</v>
      </c>
      <c r="Q186" s="65">
        <v>84634.18</v>
      </c>
      <c r="R186" s="224">
        <v>22</v>
      </c>
      <c r="S186" s="50">
        <f t="shared" si="15"/>
        <v>79924.350000000006</v>
      </c>
      <c r="T186" s="65">
        <v>79924.350000000006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2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3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5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1</v>
      </c>
      <c r="J188" s="62">
        <v>1</v>
      </c>
      <c r="K188" s="326">
        <v>662.31</v>
      </c>
      <c r="L188" s="327">
        <v>1</v>
      </c>
      <c r="M188" s="162">
        <f t="shared" si="13"/>
        <v>662.31</v>
      </c>
      <c r="N188" s="326">
        <v>662.31</v>
      </c>
      <c r="O188" s="28"/>
      <c r="P188" s="275"/>
      <c r="Q188" s="26"/>
      <c r="R188" s="27"/>
      <c r="S188" s="26">
        <f t="shared" si="15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4</v>
      </c>
      <c r="I189" s="37">
        <v>1</v>
      </c>
      <c r="J189" s="37">
        <v>1</v>
      </c>
      <c r="K189" s="318">
        <v>1056.22</v>
      </c>
      <c r="L189" s="343">
        <v>1</v>
      </c>
      <c r="M189" s="164">
        <f t="shared" si="13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5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3"/>
        <v>0</v>
      </c>
      <c r="N190" s="293"/>
      <c r="O190" s="82"/>
      <c r="P190" s="295"/>
      <c r="Q190" s="81"/>
      <c r="R190" s="80"/>
      <c r="S190" s="81">
        <f t="shared" si="15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06"/>
      <c r="I191" s="38"/>
      <c r="J191" s="38"/>
      <c r="K191" s="164"/>
      <c r="L191" s="165"/>
      <c r="M191" s="164">
        <f t="shared" si="13"/>
        <v>0</v>
      </c>
      <c r="N191" s="164"/>
      <c r="O191" s="41"/>
      <c r="P191" s="67">
        <v>4</v>
      </c>
      <c r="Q191" s="68">
        <v>19199.810000000001</v>
      </c>
      <c r="R191" s="285">
        <v>4</v>
      </c>
      <c r="S191" s="68">
        <v>19199.810000000001</v>
      </c>
      <c r="T191" s="68">
        <v>19199.810000000001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23</v>
      </c>
      <c r="I192" s="203">
        <v>22</v>
      </c>
      <c r="J192" s="203">
        <v>34</v>
      </c>
      <c r="K192" s="242">
        <v>75518.820000000007</v>
      </c>
      <c r="L192" s="320">
        <v>30</v>
      </c>
      <c r="M192" s="166">
        <f t="shared" si="13"/>
        <v>64711.199999999997</v>
      </c>
      <c r="N192" s="242">
        <v>64711.199999999997</v>
      </c>
      <c r="O192" s="225"/>
      <c r="P192" s="108">
        <v>7</v>
      </c>
      <c r="Q192" s="65">
        <v>41813.410000000003</v>
      </c>
      <c r="R192" s="224">
        <v>7</v>
      </c>
      <c r="S192" s="50">
        <f t="shared" ref="S192:S211" si="16">T192+U192</f>
        <v>41813.410000000003</v>
      </c>
      <c r="T192" s="65">
        <v>41813.410000000003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3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6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5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3"/>
        <v>5891.75</v>
      </c>
      <c r="N194" s="30">
        <v>5891.75</v>
      </c>
      <c r="O194" s="31"/>
      <c r="P194" s="53">
        <v>8</v>
      </c>
      <c r="Q194" s="30">
        <v>19951.68</v>
      </c>
      <c r="R194" s="205">
        <v>8</v>
      </c>
      <c r="S194" s="26">
        <f t="shared" si="16"/>
        <v>19951.68</v>
      </c>
      <c r="T194" s="30">
        <v>19951.68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3"/>
        <v>0</v>
      </c>
      <c r="N195" s="39"/>
      <c r="O195" s="41"/>
      <c r="P195" s="59"/>
      <c r="Q195" s="39"/>
      <c r="R195" s="40"/>
      <c r="S195" s="39">
        <f t="shared" si="16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3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6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1</v>
      </c>
      <c r="I197" s="57"/>
      <c r="J197" s="57"/>
      <c r="K197" s="43"/>
      <c r="L197" s="44"/>
      <c r="M197" s="43">
        <f t="shared" si="13"/>
        <v>0</v>
      </c>
      <c r="N197" s="43"/>
      <c r="O197" s="41"/>
      <c r="P197" s="113">
        <v>1</v>
      </c>
      <c r="Q197" s="114">
        <v>0</v>
      </c>
      <c r="R197" s="44"/>
      <c r="S197" s="43">
        <f t="shared" si="16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3"/>
        <v>0</v>
      </c>
      <c r="N198" s="26"/>
      <c r="O198" s="31"/>
      <c r="P198" s="120"/>
      <c r="Q198" s="26"/>
      <c r="R198" s="27"/>
      <c r="S198" s="26">
        <f t="shared" si="16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3"/>
        <v>0</v>
      </c>
      <c r="N199" s="39"/>
      <c r="O199" s="41"/>
      <c r="P199" s="69"/>
      <c r="Q199" s="39"/>
      <c r="R199" s="40"/>
      <c r="S199" s="39">
        <f t="shared" si="16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9</v>
      </c>
      <c r="J200" s="203">
        <v>10</v>
      </c>
      <c r="K200" s="65">
        <v>26045.17</v>
      </c>
      <c r="L200" s="224">
        <v>10</v>
      </c>
      <c r="M200" s="50">
        <f t="shared" si="13"/>
        <v>26045.17</v>
      </c>
      <c r="N200" s="65">
        <v>26045.17</v>
      </c>
      <c r="O200" s="225"/>
      <c r="P200" s="108">
        <v>10</v>
      </c>
      <c r="Q200" s="65">
        <v>22956.16</v>
      </c>
      <c r="R200" s="224">
        <v>10</v>
      </c>
      <c r="S200" s="50">
        <f t="shared" si="16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3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6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24</v>
      </c>
      <c r="I202" s="203">
        <v>21</v>
      </c>
      <c r="J202" s="203">
        <v>33</v>
      </c>
      <c r="K202" s="65">
        <v>58578.74</v>
      </c>
      <c r="L202" s="224">
        <v>30</v>
      </c>
      <c r="M202" s="50">
        <f t="shared" si="13"/>
        <v>55035.38</v>
      </c>
      <c r="N202" s="65">
        <v>55035.38</v>
      </c>
      <c r="O202" s="225"/>
      <c r="P202" s="108">
        <v>26</v>
      </c>
      <c r="Q202" s="65">
        <v>42356.26</v>
      </c>
      <c r="R202" s="224">
        <v>26</v>
      </c>
      <c r="S202" s="50">
        <f t="shared" si="16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6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3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6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15</v>
      </c>
      <c r="I204" s="62">
        <v>1</v>
      </c>
      <c r="J204" s="62">
        <v>2</v>
      </c>
      <c r="K204" s="30">
        <v>3016.65</v>
      </c>
      <c r="L204" s="205">
        <v>2</v>
      </c>
      <c r="M204" s="26">
        <f t="shared" si="13"/>
        <v>3016.65</v>
      </c>
      <c r="N204" s="30">
        <v>3016.65</v>
      </c>
      <c r="O204" s="31"/>
      <c r="P204" s="53">
        <v>11</v>
      </c>
      <c r="Q204" s="30">
        <v>35207.21</v>
      </c>
      <c r="R204" s="205">
        <v>11</v>
      </c>
      <c r="S204" s="26">
        <f t="shared" si="16"/>
        <v>35207.21</v>
      </c>
      <c r="T204" s="30">
        <v>35207.21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6</v>
      </c>
      <c r="I205" s="38"/>
      <c r="J205" s="38"/>
      <c r="K205" s="39"/>
      <c r="L205" s="40"/>
      <c r="M205" s="39">
        <f t="shared" si="13"/>
        <v>0</v>
      </c>
      <c r="N205" s="39"/>
      <c r="O205" s="41"/>
      <c r="P205" s="59"/>
      <c r="Q205" s="39"/>
      <c r="R205" s="40"/>
      <c r="S205" s="39">
        <f t="shared" si="16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3"/>
        <v>0</v>
      </c>
      <c r="N206" s="50"/>
      <c r="O206" s="31"/>
      <c r="P206" s="123"/>
      <c r="Q206" s="50"/>
      <c r="R206" s="51"/>
      <c r="S206" s="50">
        <f t="shared" si="16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3"/>
        <v>0</v>
      </c>
      <c r="N207" s="50"/>
      <c r="O207" s="45"/>
      <c r="P207" s="123"/>
      <c r="Q207" s="50"/>
      <c r="R207" s="51"/>
      <c r="S207" s="50">
        <f t="shared" si="16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6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6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57"/>
      <c r="J210" s="57"/>
      <c r="K210" s="43"/>
      <c r="L210" s="44"/>
      <c r="M210" s="43">
        <f t="shared" si="13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6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3"/>
        <v>0</v>
      </c>
      <c r="N211" s="26"/>
      <c r="O211" s="31"/>
      <c r="P211" s="99"/>
      <c r="Q211" s="26"/>
      <c r="R211" s="27"/>
      <c r="S211" s="26">
        <f t="shared" si="16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3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3</v>
      </c>
      <c r="I213" s="231">
        <v>2</v>
      </c>
      <c r="J213" s="231">
        <v>2</v>
      </c>
      <c r="K213" s="91">
        <v>1393.86</v>
      </c>
      <c r="L213" s="330">
        <v>1</v>
      </c>
      <c r="M213" s="26">
        <f t="shared" si="13"/>
        <v>301.05</v>
      </c>
      <c r="N213" s="91">
        <v>301.05</v>
      </c>
      <c r="O213" s="94"/>
      <c r="P213" s="329"/>
      <c r="Q213" s="91"/>
      <c r="R213" s="330"/>
      <c r="S213" s="26">
        <f t="shared" ref="S213:S229" si="17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7</v>
      </c>
      <c r="I214" s="37">
        <v>4</v>
      </c>
      <c r="J214" s="37">
        <v>4</v>
      </c>
      <c r="K214" s="68">
        <v>9533.25</v>
      </c>
      <c r="L214" s="285">
        <v>3</v>
      </c>
      <c r="M214" s="87">
        <f t="shared" si="13"/>
        <v>8429.4</v>
      </c>
      <c r="N214" s="39">
        <f>3211.2+2609.1+2609.1</f>
        <v>8429.4</v>
      </c>
      <c r="O214" s="41"/>
      <c r="P214" s="217"/>
      <c r="Q214" s="68"/>
      <c r="R214" s="285"/>
      <c r="S214" s="87">
        <f t="shared" si="17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3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7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3"/>
        <v>0</v>
      </c>
      <c r="N216" s="43"/>
      <c r="O216" s="45"/>
      <c r="P216" s="273"/>
      <c r="Q216" s="211"/>
      <c r="R216" s="210"/>
      <c r="S216" s="211">
        <f t="shared" si="17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4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3"/>
        <v>6502.43</v>
      </c>
      <c r="N217" s="30">
        <v>6502.43</v>
      </c>
      <c r="O217" s="308"/>
      <c r="P217" s="99"/>
      <c r="Q217" s="26"/>
      <c r="R217" s="27"/>
      <c r="S217" s="26">
        <f t="shared" si="17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3"/>
        <v>19304.88</v>
      </c>
      <c r="N218" s="39">
        <f>1985.09+7101.24+2689.4+4418.3+1705.95+1404.9</f>
        <v>19304.88</v>
      </c>
      <c r="O218" s="309"/>
      <c r="P218" s="310">
        <v>6</v>
      </c>
      <c r="Q218" s="245">
        <v>28151.200000000001</v>
      </c>
      <c r="R218" s="285">
        <v>6</v>
      </c>
      <c r="S218" s="39">
        <f t="shared" si="17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3"/>
        <v>0</v>
      </c>
      <c r="N219" s="50"/>
      <c r="O219" s="31"/>
      <c r="P219" s="277"/>
      <c r="Q219" s="81"/>
      <c r="R219" s="80"/>
      <c r="S219" s="81">
        <f t="shared" si="17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57"/>
      <c r="J220" s="57"/>
      <c r="K220" s="43"/>
      <c r="L220" s="44"/>
      <c r="M220" s="43">
        <f t="shared" si="13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7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24</v>
      </c>
      <c r="I221" s="62">
        <v>21</v>
      </c>
      <c r="J221" s="62">
        <v>29</v>
      </c>
      <c r="K221" s="30">
        <v>66005.97</v>
      </c>
      <c r="L221" s="205">
        <v>26</v>
      </c>
      <c r="M221" s="26">
        <f t="shared" si="13"/>
        <v>60016.63</v>
      </c>
      <c r="N221" s="30">
        <v>60016.63</v>
      </c>
      <c r="O221" s="225"/>
      <c r="P221" s="53">
        <v>23</v>
      </c>
      <c r="Q221" s="30">
        <v>69064.09</v>
      </c>
      <c r="R221" s="205">
        <v>23</v>
      </c>
      <c r="S221" s="26">
        <f t="shared" si="17"/>
        <v>69064.09</v>
      </c>
      <c r="T221" s="30">
        <v>69064.09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3"/>
        <v>0</v>
      </c>
      <c r="N222" s="39"/>
      <c r="O222" s="41"/>
      <c r="P222" s="59"/>
      <c r="Q222" s="39"/>
      <c r="R222" s="40"/>
      <c r="S222" s="39">
        <f t="shared" si="17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3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7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3"/>
        <v>3457.8</v>
      </c>
      <c r="N224" s="39">
        <f>3457.8</f>
        <v>3457.8</v>
      </c>
      <c r="O224" s="41"/>
      <c r="P224" s="115">
        <v>2</v>
      </c>
      <c r="Q224" s="68">
        <v>7299.8</v>
      </c>
      <c r="R224" s="285">
        <v>2</v>
      </c>
      <c r="S224" s="39">
        <f t="shared" si="17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3"/>
        <v>0</v>
      </c>
      <c r="N225" s="91"/>
      <c r="O225" s="331"/>
      <c r="P225" s="329"/>
      <c r="Q225" s="91"/>
      <c r="R225" s="330"/>
      <c r="S225" s="142">
        <f t="shared" si="17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3"/>
        <v>0</v>
      </c>
      <c r="N226" s="209"/>
      <c r="O226" s="234"/>
      <c r="P226" s="262"/>
      <c r="Q226" s="209"/>
      <c r="R226" s="290"/>
      <c r="S226" s="87">
        <f t="shared" si="17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33</v>
      </c>
      <c r="I227" s="62">
        <v>15</v>
      </c>
      <c r="J227" s="62">
        <v>16</v>
      </c>
      <c r="K227" s="30">
        <v>15584.37</v>
      </c>
      <c r="L227" s="205">
        <v>14</v>
      </c>
      <c r="M227" s="26">
        <f t="shared" si="13"/>
        <v>12481.62</v>
      </c>
      <c r="N227" s="30">
        <v>12481.62</v>
      </c>
      <c r="O227" s="269"/>
      <c r="P227" s="53">
        <v>29</v>
      </c>
      <c r="Q227" s="30">
        <v>78523.929999999993</v>
      </c>
      <c r="R227" s="205">
        <v>28</v>
      </c>
      <c r="S227" s="26">
        <f t="shared" si="17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3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7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47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3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7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14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24</v>
      </c>
      <c r="I231" s="203">
        <v>17</v>
      </c>
      <c r="J231" s="203">
        <v>20</v>
      </c>
      <c r="K231" s="65">
        <v>35466.71</v>
      </c>
      <c r="L231" s="224">
        <v>18</v>
      </c>
      <c r="M231" s="50">
        <f>N231+O231</f>
        <v>31994.6</v>
      </c>
      <c r="N231" s="65">
        <v>31994.6</v>
      </c>
      <c r="O231" s="225"/>
      <c r="P231" s="108">
        <v>19</v>
      </c>
      <c r="Q231" s="65">
        <v>64564.39</v>
      </c>
      <c r="R231" s="224">
        <v>19</v>
      </c>
      <c r="S231" s="50">
        <f>T231+U231</f>
        <v>64564.39</v>
      </c>
      <c r="T231" s="65">
        <v>64564.39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7</v>
      </c>
      <c r="I233" s="62">
        <v>5</v>
      </c>
      <c r="J233" s="62">
        <v>5</v>
      </c>
      <c r="K233" s="30">
        <v>8372.27</v>
      </c>
      <c r="L233" s="205">
        <v>3</v>
      </c>
      <c r="M233" s="26">
        <f t="shared" ref="M233:M259" si="18">N233+O233</f>
        <v>1969.94</v>
      </c>
      <c r="N233" s="30">
        <v>1969.94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19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8"/>
        <v>0</v>
      </c>
      <c r="N234" s="43"/>
      <c r="O234" s="41"/>
      <c r="P234" s="103"/>
      <c r="Q234" s="43"/>
      <c r="R234" s="44"/>
      <c r="S234" s="43">
        <f t="shared" si="19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7</v>
      </c>
      <c r="J235" s="62">
        <v>7</v>
      </c>
      <c r="K235" s="30">
        <v>7436.01</v>
      </c>
      <c r="L235" s="205">
        <v>7</v>
      </c>
      <c r="M235" s="26">
        <f t="shared" si="18"/>
        <v>7436.01</v>
      </c>
      <c r="N235" s="30">
        <v>7436.01</v>
      </c>
      <c r="O235" s="31"/>
      <c r="P235" s="29">
        <v>1</v>
      </c>
      <c r="Q235" s="30">
        <v>2466.56</v>
      </c>
      <c r="R235" s="205">
        <v>1</v>
      </c>
      <c r="S235" s="26">
        <f t="shared" si="19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8"/>
        <v>0</v>
      </c>
      <c r="N236" s="39"/>
      <c r="O236" s="41"/>
      <c r="P236" s="69"/>
      <c r="Q236" s="39"/>
      <c r="R236" s="40"/>
      <c r="S236" s="39">
        <f t="shared" si="19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8"/>
        <v>0</v>
      </c>
      <c r="N237" s="81"/>
      <c r="O237" s="82"/>
      <c r="P237" s="295"/>
      <c r="Q237" s="81"/>
      <c r="R237" s="80"/>
      <c r="S237" s="142">
        <f t="shared" si="19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8"/>
        <v>0</v>
      </c>
      <c r="N238" s="211"/>
      <c r="O238" s="212"/>
      <c r="P238" s="284"/>
      <c r="Q238" s="211"/>
      <c r="R238" s="210"/>
      <c r="S238" s="39">
        <f t="shared" si="19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8"/>
        <v>0</v>
      </c>
      <c r="N239" s="26"/>
      <c r="O239" s="28"/>
      <c r="P239" s="29">
        <v>4</v>
      </c>
      <c r="Q239" s="30">
        <v>0</v>
      </c>
      <c r="R239" s="27"/>
      <c r="S239" s="26">
        <f t="shared" si="19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8"/>
        <v>0</v>
      </c>
      <c r="N240" s="211"/>
      <c r="O240" s="212"/>
      <c r="P240" s="284"/>
      <c r="Q240" s="211"/>
      <c r="R240" s="210"/>
      <c r="S240" s="211">
        <f t="shared" si="19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20</v>
      </c>
      <c r="I241" s="62">
        <v>14</v>
      </c>
      <c r="J241" s="62">
        <v>17</v>
      </c>
      <c r="K241" s="30">
        <v>31536.51</v>
      </c>
      <c r="L241" s="205">
        <v>17</v>
      </c>
      <c r="M241" s="26">
        <f t="shared" si="18"/>
        <v>31536.51</v>
      </c>
      <c r="N241" s="30">
        <v>31536.51</v>
      </c>
      <c r="O241" s="28"/>
      <c r="P241" s="214"/>
      <c r="Q241" s="30"/>
      <c r="R241" s="205"/>
      <c r="S241" s="26">
        <f t="shared" si="19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5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8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19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16</v>
      </c>
      <c r="I243" s="266">
        <v>10</v>
      </c>
      <c r="J243" s="266">
        <v>11</v>
      </c>
      <c r="K243" s="79">
        <v>18573.689999999999</v>
      </c>
      <c r="L243" s="268">
        <v>11</v>
      </c>
      <c r="M243" s="81">
        <f t="shared" si="18"/>
        <v>18573.689999999999</v>
      </c>
      <c r="N243" s="79">
        <v>18573.689999999999</v>
      </c>
      <c r="O243" s="219"/>
      <c r="P243" s="267">
        <v>16</v>
      </c>
      <c r="Q243" s="79">
        <v>70880.23</v>
      </c>
      <c r="R243" s="268">
        <v>16</v>
      </c>
      <c r="S243" s="26">
        <f t="shared" si="19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8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19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18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8"/>
        <v>27137.19</v>
      </c>
      <c r="N245" s="30">
        <v>27137.19</v>
      </c>
      <c r="O245" s="31"/>
      <c r="P245" s="53">
        <v>12</v>
      </c>
      <c r="Q245" s="30">
        <v>75520.89</v>
      </c>
      <c r="R245" s="205">
        <v>12</v>
      </c>
      <c r="S245" s="26">
        <f t="shared" si="19"/>
        <v>75520.89</v>
      </c>
      <c r="T245" s="30">
        <v>75520.89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8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19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8"/>
        <v>0</v>
      </c>
      <c r="N247" s="79"/>
      <c r="O247" s="82"/>
      <c r="P247" s="267"/>
      <c r="Q247" s="79"/>
      <c r="R247" s="268"/>
      <c r="S247" s="142">
        <f t="shared" si="19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5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8"/>
        <v>1324.62</v>
      </c>
      <c r="N248" s="339">
        <v>1324.62</v>
      </c>
      <c r="O248" s="89"/>
      <c r="P248" s="357"/>
      <c r="Q248" s="339"/>
      <c r="R248" s="340"/>
      <c r="S248" s="39">
        <f t="shared" si="19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17</v>
      </c>
      <c r="I249" s="266">
        <v>4</v>
      </c>
      <c r="J249" s="266">
        <v>5</v>
      </c>
      <c r="K249" s="79">
        <v>6598</v>
      </c>
      <c r="L249" s="268">
        <v>5</v>
      </c>
      <c r="M249" s="81">
        <f t="shared" si="18"/>
        <v>6598</v>
      </c>
      <c r="N249" s="79">
        <v>6598</v>
      </c>
      <c r="O249" s="219"/>
      <c r="P249" s="267">
        <v>12</v>
      </c>
      <c r="Q249" s="79">
        <v>23530.12</v>
      </c>
      <c r="R249" s="268">
        <v>12</v>
      </c>
      <c r="S249" s="81">
        <f t="shared" si="19"/>
        <v>23530.12</v>
      </c>
      <c r="T249" s="79">
        <v>23530.12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1</v>
      </c>
      <c r="J250" s="208">
        <v>1</v>
      </c>
      <c r="K250" s="209">
        <v>3073.6</v>
      </c>
      <c r="L250" s="290">
        <v>2</v>
      </c>
      <c r="M250" s="211">
        <f t="shared" si="18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19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11</v>
      </c>
      <c r="I251" s="62">
        <v>8</v>
      </c>
      <c r="J251" s="62">
        <v>13</v>
      </c>
      <c r="K251" s="30">
        <v>16702.03</v>
      </c>
      <c r="L251" s="205">
        <v>13</v>
      </c>
      <c r="M251" s="26">
        <f t="shared" si="18"/>
        <v>16702.03</v>
      </c>
      <c r="N251" s="30">
        <v>16702.03</v>
      </c>
      <c r="O251" s="28"/>
      <c r="P251" s="275"/>
      <c r="Q251" s="26"/>
      <c r="R251" s="27"/>
      <c r="S251" s="26">
        <f t="shared" si="19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8"/>
        <v>0</v>
      </c>
      <c r="N252" s="39"/>
      <c r="O252" s="41"/>
      <c r="P252" s="276"/>
      <c r="Q252" s="39"/>
      <c r="R252" s="40"/>
      <c r="S252" s="39">
        <f t="shared" si="19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3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8"/>
        <v>3158.6</v>
      </c>
      <c r="N253" s="79">
        <v>3158.6</v>
      </c>
      <c r="O253" s="219"/>
      <c r="P253" s="277"/>
      <c r="Q253" s="81"/>
      <c r="R253" s="80"/>
      <c r="S253" s="81">
        <f t="shared" si="19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5</v>
      </c>
      <c r="I254" s="130">
        <v>3</v>
      </c>
      <c r="J254" s="130">
        <v>3</v>
      </c>
      <c r="K254" s="114">
        <v>8675.82</v>
      </c>
      <c r="L254" s="270">
        <v>3</v>
      </c>
      <c r="M254" s="43">
        <f t="shared" si="18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19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8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19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6</v>
      </c>
      <c r="I256" s="57"/>
      <c r="J256" s="57"/>
      <c r="K256" s="43"/>
      <c r="L256" s="44"/>
      <c r="M256" s="43">
        <f t="shared" si="18"/>
        <v>0</v>
      </c>
      <c r="N256" s="43"/>
      <c r="O256" s="41"/>
      <c r="P256" s="113">
        <v>3</v>
      </c>
      <c r="Q256" s="114">
        <v>15773.67</v>
      </c>
      <c r="R256" s="270">
        <v>3</v>
      </c>
      <c r="S256" s="43">
        <f t="shared" si="19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14</v>
      </c>
      <c r="I257" s="62">
        <v>9</v>
      </c>
      <c r="J257" s="62">
        <v>12</v>
      </c>
      <c r="K257" s="30">
        <v>23063.84</v>
      </c>
      <c r="L257" s="205">
        <v>9</v>
      </c>
      <c r="M257" s="26">
        <f t="shared" si="18"/>
        <v>20964.32</v>
      </c>
      <c r="N257" s="30">
        <v>20964.32</v>
      </c>
      <c r="O257" s="31"/>
      <c r="P257" s="53">
        <v>13</v>
      </c>
      <c r="Q257" s="30">
        <v>34864.89</v>
      </c>
      <c r="R257" s="205">
        <v>13</v>
      </c>
      <c r="S257" s="26">
        <f t="shared" si="19"/>
        <v>34864.89</v>
      </c>
      <c r="T257" s="30">
        <v>34864.89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10</v>
      </c>
      <c r="I258" s="37">
        <v>1</v>
      </c>
      <c r="J258" s="37">
        <v>1</v>
      </c>
      <c r="K258" s="68">
        <v>3010</v>
      </c>
      <c r="L258" s="40"/>
      <c r="M258" s="39">
        <f t="shared" si="18"/>
        <v>0</v>
      </c>
      <c r="N258" s="39"/>
      <c r="O258" s="41"/>
      <c r="P258" s="59"/>
      <c r="Q258" s="39"/>
      <c r="R258" s="40"/>
      <c r="S258" s="39">
        <f t="shared" si="19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17</v>
      </c>
      <c r="I259" s="203">
        <v>15</v>
      </c>
      <c r="J259" s="203">
        <v>20</v>
      </c>
      <c r="K259" s="65">
        <v>35824.5</v>
      </c>
      <c r="L259" s="224">
        <v>20</v>
      </c>
      <c r="M259" s="50">
        <f t="shared" si="18"/>
        <v>35824.5</v>
      </c>
      <c r="N259" s="65">
        <v>35824.5</v>
      </c>
      <c r="O259" s="225"/>
      <c r="P259" s="108">
        <v>20</v>
      </c>
      <c r="Q259" s="65">
        <v>57368.51</v>
      </c>
      <c r="R259" s="224">
        <v>20</v>
      </c>
      <c r="S259" s="50">
        <f t="shared" si="19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4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0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1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0"/>
        <v>0</v>
      </c>
      <c r="N262" s="43"/>
      <c r="O262" s="41"/>
      <c r="P262" s="113"/>
      <c r="Q262" s="114"/>
      <c r="R262" s="44"/>
      <c r="S262" s="43">
        <f t="shared" si="21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3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0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1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0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1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12</v>
      </c>
      <c r="J265" s="62">
        <v>16</v>
      </c>
      <c r="K265" s="30">
        <v>30275.46</v>
      </c>
      <c r="L265" s="205">
        <v>16</v>
      </c>
      <c r="M265" s="26">
        <f t="shared" si="20"/>
        <v>30275.46</v>
      </c>
      <c r="N265" s="30">
        <v>30275.46</v>
      </c>
      <c r="O265" s="241"/>
      <c r="P265" s="29">
        <v>2</v>
      </c>
      <c r="Q265" s="30">
        <v>1870.81</v>
      </c>
      <c r="R265" s="205">
        <v>2</v>
      </c>
      <c r="S265" s="26">
        <f t="shared" si="21"/>
        <v>1870.81</v>
      </c>
      <c r="T265" s="30">
        <v>1870.81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1</v>
      </c>
      <c r="J266" s="37">
        <v>1</v>
      </c>
      <c r="K266" s="68">
        <v>1921</v>
      </c>
      <c r="L266" s="285">
        <v>1</v>
      </c>
      <c r="M266" s="39">
        <f t="shared" si="20"/>
        <v>1921</v>
      </c>
      <c r="N266" s="39">
        <f>1921</f>
        <v>1921</v>
      </c>
      <c r="O266" s="41"/>
      <c r="P266" s="69"/>
      <c r="Q266" s="39"/>
      <c r="R266" s="40"/>
      <c r="S266" s="39">
        <f t="shared" si="21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0"/>
        <v>0</v>
      </c>
      <c r="N267" s="50"/>
      <c r="O267" s="31"/>
      <c r="P267" s="123"/>
      <c r="Q267" s="50"/>
      <c r="R267" s="51"/>
      <c r="S267" s="50">
        <f t="shared" si="21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0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1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22</v>
      </c>
      <c r="I269" s="62">
        <v>20</v>
      </c>
      <c r="J269" s="62">
        <v>23</v>
      </c>
      <c r="K269" s="30">
        <v>33262</v>
      </c>
      <c r="L269" s="205">
        <v>21</v>
      </c>
      <c r="M269" s="26">
        <f t="shared" si="20"/>
        <v>31160.87</v>
      </c>
      <c r="N269" s="30">
        <v>31160.87</v>
      </c>
      <c r="O269" s="100"/>
      <c r="P269" s="64">
        <v>20</v>
      </c>
      <c r="Q269" s="65">
        <v>52584.43</v>
      </c>
      <c r="R269" s="224">
        <v>20</v>
      </c>
      <c r="S269" s="50">
        <f t="shared" si="21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0"/>
        <v>1728.9</v>
      </c>
      <c r="N270" s="39">
        <f>1728.9</f>
        <v>1728.9</v>
      </c>
      <c r="O270" s="41"/>
      <c r="P270" s="42"/>
      <c r="Q270" s="43"/>
      <c r="R270" s="44"/>
      <c r="S270" s="43">
        <f t="shared" si="21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5</v>
      </c>
      <c r="J271" s="203">
        <v>5</v>
      </c>
      <c r="K271" s="65">
        <v>5617.57</v>
      </c>
      <c r="L271" s="316">
        <v>5</v>
      </c>
      <c r="M271" s="129">
        <f t="shared" si="20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1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5</v>
      </c>
      <c r="I272" s="37"/>
      <c r="J272" s="37"/>
      <c r="K272" s="39"/>
      <c r="L272" s="44"/>
      <c r="M272" s="43">
        <f t="shared" si="20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1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/>
      <c r="M273" s="26">
        <f t="shared" si="20"/>
        <v>0</v>
      </c>
      <c r="N273" s="26"/>
      <c r="O273" s="31"/>
      <c r="P273" s="64">
        <v>7</v>
      </c>
      <c r="Q273" s="65">
        <v>46859.35</v>
      </c>
      <c r="R273" s="224">
        <v>7</v>
      </c>
      <c r="S273" s="50">
        <f t="shared" si="21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8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0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1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0"/>
        <v>0</v>
      </c>
      <c r="N275" s="26"/>
      <c r="O275" s="28"/>
      <c r="P275" s="120"/>
      <c r="Q275" s="26"/>
      <c r="R275" s="27"/>
      <c r="S275" s="26">
        <f t="shared" si="21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9</v>
      </c>
      <c r="I276" s="38"/>
      <c r="J276" s="38"/>
      <c r="K276" s="39"/>
      <c r="L276" s="40"/>
      <c r="M276" s="39">
        <f t="shared" si="20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1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0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1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0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1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11</v>
      </c>
      <c r="I279" s="62">
        <v>10</v>
      </c>
      <c r="J279" s="62">
        <v>11</v>
      </c>
      <c r="K279" s="30">
        <v>13036.69</v>
      </c>
      <c r="L279" s="205">
        <v>10</v>
      </c>
      <c r="M279" s="26">
        <f t="shared" si="20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1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0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1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0"/>
        <v>0</v>
      </c>
      <c r="N281" s="50"/>
      <c r="O281" s="31"/>
      <c r="P281" s="123"/>
      <c r="Q281" s="50"/>
      <c r="R281" s="51"/>
      <c r="S281" s="50">
        <f t="shared" si="21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0"/>
        <v>0</v>
      </c>
      <c r="N282" s="43"/>
      <c r="O282" s="41"/>
      <c r="P282" s="103"/>
      <c r="Q282" s="43"/>
      <c r="R282" s="44"/>
      <c r="S282" s="43">
        <f t="shared" si="21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0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1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0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1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0"/>
        <v>0</v>
      </c>
      <c r="N285" s="26"/>
      <c r="O285" s="241"/>
      <c r="P285" s="214"/>
      <c r="Q285" s="30"/>
      <c r="R285" s="205"/>
      <c r="S285" s="26">
        <f t="shared" si="21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0"/>
        <v>0</v>
      </c>
      <c r="N286" s="39"/>
      <c r="O286" s="234"/>
      <c r="P286" s="217"/>
      <c r="Q286" s="68"/>
      <c r="R286" s="285"/>
      <c r="S286" s="39">
        <f t="shared" si="21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19</v>
      </c>
      <c r="I287" s="266">
        <v>15</v>
      </c>
      <c r="J287" s="266">
        <v>23</v>
      </c>
      <c r="K287" s="79">
        <v>32610.76</v>
      </c>
      <c r="L287" s="268">
        <v>23</v>
      </c>
      <c r="M287" s="81">
        <f t="shared" si="20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1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3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2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3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2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3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2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2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3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2"/>
        <v>0</v>
      </c>
      <c r="N292" s="39"/>
      <c r="O292" s="41"/>
      <c r="P292" s="69"/>
      <c r="Q292" s="39"/>
      <c r="R292" s="40"/>
      <c r="S292" s="39">
        <f t="shared" si="23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7</v>
      </c>
      <c r="J293" s="203">
        <v>8</v>
      </c>
      <c r="K293" s="65">
        <v>10206.33</v>
      </c>
      <c r="L293" s="224">
        <v>8</v>
      </c>
      <c r="M293" s="50">
        <f t="shared" si="22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3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2"/>
        <v>0</v>
      </c>
      <c r="N294" s="39"/>
      <c r="O294" s="41"/>
      <c r="P294" s="115">
        <v>1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4">SUM(H9:H294)</f>
        <v>1835</v>
      </c>
      <c r="I295" s="183">
        <f t="shared" si="24"/>
        <v>1157</v>
      </c>
      <c r="J295" s="183">
        <f t="shared" si="24"/>
        <v>1440</v>
      </c>
      <c r="K295" s="184">
        <f t="shared" si="24"/>
        <v>2543420.7799999993</v>
      </c>
      <c r="L295" s="185">
        <f t="shared" si="24"/>
        <v>1346</v>
      </c>
      <c r="M295" s="184">
        <f t="shared" si="24"/>
        <v>2473353.8199999989</v>
      </c>
      <c r="N295" s="184">
        <f t="shared" si="24"/>
        <v>2474558.0199999991</v>
      </c>
      <c r="O295" s="186">
        <f t="shared" si="24"/>
        <v>0</v>
      </c>
      <c r="P295" s="187">
        <f t="shared" si="24"/>
        <v>1353</v>
      </c>
      <c r="Q295" s="188">
        <f t="shared" si="24"/>
        <v>4629744.5300000012</v>
      </c>
      <c r="R295" s="185">
        <f t="shared" si="24"/>
        <v>1312</v>
      </c>
      <c r="S295" s="188">
        <f t="shared" si="24"/>
        <v>4615836.8299999991</v>
      </c>
      <c r="T295" s="188">
        <f t="shared" si="24"/>
        <v>4615836.8299999991</v>
      </c>
      <c r="U295" s="189">
        <f t="shared" si="24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5">SUMIF($G$9:$G$294,$F$301,H9:H294)</f>
        <v>1341</v>
      </c>
      <c r="H301" s="193">
        <f t="shared" si="25"/>
        <v>968</v>
      </c>
      <c r="I301" s="193">
        <f t="shared" si="25"/>
        <v>1250</v>
      </c>
      <c r="J301" s="194">
        <f t="shared" ref="J301:J303" si="26">SUMIF($G$9:$G$294,F301,$K$9:$K$294)</f>
        <v>2190053.04</v>
      </c>
      <c r="K301" s="195">
        <f t="shared" ref="K301:K303" si="27">SUMIF($G$9:$G$294,F301,$L$9:$L$294)</f>
        <v>1159</v>
      </c>
      <c r="L301" s="194">
        <f t="shared" ref="L301:L303" si="28">SUMIF($G$9:$G$294,F301,$M$9:$M$294)</f>
        <v>2117790.3000000003</v>
      </c>
      <c r="M301" s="194">
        <f t="shared" ref="M301:O301" si="29">SUMIF($G$9:$G$294,$F$301,N9:N294)</f>
        <v>2117790.3000000003</v>
      </c>
      <c r="N301" s="194">
        <f t="shared" si="29"/>
        <v>0</v>
      </c>
      <c r="O301" s="193">
        <f t="shared" si="29"/>
        <v>1087</v>
      </c>
      <c r="P301" s="194">
        <f t="shared" ref="P301:P303" si="30">SUMIF($G$9:$G$294,F301,$Q$9:$Q$294)</f>
        <v>3758881.8100000005</v>
      </c>
      <c r="Q301" s="195">
        <f t="shared" ref="Q301:Q303" si="31">SUMIF($G$9:$G$294,F301,$R$9:$R$294)</f>
        <v>1025</v>
      </c>
      <c r="R301" s="194">
        <f t="shared" ref="R301:R303" si="32">SUMIF($G$9:$G$294,F301,$S$9:$S$294)</f>
        <v>3697769.2600000002</v>
      </c>
      <c r="S301" s="194">
        <f t="shared" ref="S301:T301" si="33">SUMIF($G$9:$G$294,$F$301,T9:T294)</f>
        <v>3697769.2600000002</v>
      </c>
      <c r="T301" s="194">
        <f t="shared" si="33"/>
        <v>0</v>
      </c>
      <c r="U301" s="194">
        <f t="shared" ref="U301:U303" si="34">S301+M301</f>
        <v>5815559.5600000005</v>
      </c>
      <c r="V301" s="196">
        <f t="shared" ref="V301:V303" si="35">J301-M301+P301-S301</f>
        <v>133375.29000000004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6">SUMIF($G$9:$G$294,$F$302,H9:H294)</f>
        <v>412</v>
      </c>
      <c r="H302" s="193">
        <f t="shared" si="36"/>
        <v>146</v>
      </c>
      <c r="I302" s="193">
        <f t="shared" si="36"/>
        <v>147</v>
      </c>
      <c r="J302" s="194">
        <f t="shared" si="26"/>
        <v>282695.74999999994</v>
      </c>
      <c r="K302" s="195">
        <f t="shared" si="27"/>
        <v>144</v>
      </c>
      <c r="L302" s="194">
        <f t="shared" si="28"/>
        <v>284891.52999999991</v>
      </c>
      <c r="M302" s="194">
        <f t="shared" ref="M302:O302" si="37">SUMIF($G$9:$G$294,$F$302,N9:N294)</f>
        <v>286095.73</v>
      </c>
      <c r="N302" s="194">
        <f t="shared" si="37"/>
        <v>0</v>
      </c>
      <c r="O302" s="193">
        <f t="shared" si="37"/>
        <v>203</v>
      </c>
      <c r="P302" s="194">
        <f t="shared" si="30"/>
        <v>631932.77</v>
      </c>
      <c r="Q302" s="195">
        <f t="shared" si="31"/>
        <v>225</v>
      </c>
      <c r="R302" s="194">
        <f t="shared" si="32"/>
        <v>679137.62000000023</v>
      </c>
      <c r="S302" s="194">
        <f t="shared" ref="S302:T302" si="38">SUMIF($G$9:$G$294,$F$302,T9:T294)</f>
        <v>679137.62000000023</v>
      </c>
      <c r="T302" s="194">
        <f t="shared" si="38"/>
        <v>0</v>
      </c>
      <c r="U302" s="194">
        <f t="shared" si="34"/>
        <v>965233.35000000021</v>
      </c>
      <c r="V302" s="196">
        <f t="shared" si="35"/>
        <v>-50604.830000000191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39">SUMIF($G$9:$G$294,$F$303,H9:H294)</f>
        <v>82</v>
      </c>
      <c r="H303" s="193">
        <f t="shared" si="39"/>
        <v>43</v>
      </c>
      <c r="I303" s="193">
        <f t="shared" si="39"/>
        <v>43</v>
      </c>
      <c r="J303" s="194">
        <f t="shared" si="26"/>
        <v>70671.989999999991</v>
      </c>
      <c r="K303" s="195">
        <f t="shared" si="27"/>
        <v>43</v>
      </c>
      <c r="L303" s="194">
        <f t="shared" si="28"/>
        <v>70671.989999999991</v>
      </c>
      <c r="M303" s="194">
        <f t="shared" ref="M303:O303" si="40">SUMIF($G$9:$G$294,$F$303,N9:N294)</f>
        <v>70671.989999999991</v>
      </c>
      <c r="N303" s="194">
        <f t="shared" si="40"/>
        <v>0</v>
      </c>
      <c r="O303" s="193">
        <f t="shared" si="40"/>
        <v>63</v>
      </c>
      <c r="P303" s="194">
        <f t="shared" si="30"/>
        <v>238929.94999999998</v>
      </c>
      <c r="Q303" s="195">
        <f t="shared" si="31"/>
        <v>62</v>
      </c>
      <c r="R303" s="194">
        <f t="shared" si="32"/>
        <v>238929.94999999998</v>
      </c>
      <c r="S303" s="194">
        <f t="shared" ref="S303:T303" si="41">SUMIF($G$9:$G$294,$F$303,T9:T294)</f>
        <v>238929.94999999998</v>
      </c>
      <c r="T303" s="194">
        <f t="shared" si="41"/>
        <v>0</v>
      </c>
      <c r="U303" s="194">
        <f t="shared" si="34"/>
        <v>309601.93999999994</v>
      </c>
      <c r="V303" s="196">
        <f t="shared" si="35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2">G303+G302+G301</f>
        <v>1835</v>
      </c>
      <c r="H304" s="197">
        <f t="shared" si="42"/>
        <v>1157</v>
      </c>
      <c r="I304" s="197">
        <f t="shared" si="42"/>
        <v>1440</v>
      </c>
      <c r="J304" s="198">
        <f t="shared" si="42"/>
        <v>2543420.7799999998</v>
      </c>
      <c r="K304" s="199">
        <f t="shared" si="42"/>
        <v>1346</v>
      </c>
      <c r="L304" s="198">
        <f t="shared" si="42"/>
        <v>2473353.8200000003</v>
      </c>
      <c r="M304" s="198">
        <f t="shared" si="42"/>
        <v>2474558.0200000005</v>
      </c>
      <c r="N304" s="198">
        <f t="shared" si="42"/>
        <v>0</v>
      </c>
      <c r="O304" s="197">
        <f t="shared" si="42"/>
        <v>1353</v>
      </c>
      <c r="P304" s="198">
        <f t="shared" si="42"/>
        <v>4629744.53</v>
      </c>
      <c r="Q304" s="200">
        <f t="shared" si="42"/>
        <v>1312</v>
      </c>
      <c r="R304" s="198">
        <f t="shared" si="42"/>
        <v>4615836.83</v>
      </c>
      <c r="S304" s="198">
        <f t="shared" si="42"/>
        <v>4615836.83</v>
      </c>
      <c r="T304" s="198">
        <f t="shared" si="42"/>
        <v>0</v>
      </c>
      <c r="U304" s="198">
        <f t="shared" si="42"/>
        <v>7090394.8500000006</v>
      </c>
      <c r="V304" s="198">
        <f t="shared" si="42"/>
        <v>82770.459999999846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2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36"/>
      <c r="I10" s="37"/>
      <c r="J10" s="38"/>
      <c r="K10" s="39"/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46"/>
      <c r="G11" s="47" t="s">
        <v>24</v>
      </c>
      <c r="H11" s="48">
        <v>2</v>
      </c>
      <c r="I11" s="49"/>
      <c r="J11" s="49"/>
      <c r="K11" s="50"/>
      <c r="L11" s="51"/>
      <c r="M11" s="50">
        <f t="shared" si="0"/>
        <v>0</v>
      </c>
      <c r="N11" s="50"/>
      <c r="O11" s="52"/>
      <c r="P11" s="53">
        <v>3</v>
      </c>
      <c r="Q11" s="30">
        <v>40319.660000000003</v>
      </c>
      <c r="R11" s="27"/>
      <c r="S11" s="26">
        <f t="shared" si="1"/>
        <v>0</v>
      </c>
      <c r="T11" s="26"/>
      <c r="U11" s="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54"/>
      <c r="G12" s="55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60"/>
      <c r="G13" s="23" t="s">
        <v>24</v>
      </c>
      <c r="H13" s="61">
        <v>2</v>
      </c>
      <c r="I13" s="62">
        <v>1</v>
      </c>
      <c r="J13" s="62">
        <v>2</v>
      </c>
      <c r="K13" s="30">
        <v>5049.43</v>
      </c>
      <c r="L13" s="27"/>
      <c r="M13" s="26">
        <f t="shared" si="0"/>
        <v>0</v>
      </c>
      <c r="N13" s="26"/>
      <c r="O13" s="63"/>
      <c r="P13" s="64">
        <v>6</v>
      </c>
      <c r="Q13" s="65">
        <v>13737.84</v>
      </c>
      <c r="R13" s="51"/>
      <c r="S13" s="50">
        <f t="shared" si="1"/>
        <v>0</v>
      </c>
      <c r="T13" s="50"/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34"/>
      <c r="G14" s="35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82"/>
      <c r="B15" s="381" t="s">
        <v>31</v>
      </c>
      <c r="C15" s="381" t="s">
        <v>22</v>
      </c>
      <c r="D15" s="381" t="s">
        <v>32</v>
      </c>
      <c r="E15" s="381" t="s">
        <v>27</v>
      </c>
      <c r="F15" s="46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54"/>
      <c r="G16" s="101" t="s">
        <v>28</v>
      </c>
      <c r="H16" s="112">
        <v>1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1</v>
      </c>
      <c r="Q16" s="114">
        <v>1344.7</v>
      </c>
      <c r="R16" s="44"/>
      <c r="S16" s="43">
        <f t="shared" si="1"/>
        <v>0</v>
      </c>
      <c r="T16" s="43"/>
      <c r="U16" s="45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107"/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22</v>
      </c>
      <c r="D21" s="381" t="s">
        <v>36</v>
      </c>
      <c r="E21" s="381" t="s">
        <v>37</v>
      </c>
      <c r="F21" s="110"/>
      <c r="G21" s="47" t="s">
        <v>24</v>
      </c>
      <c r="H21" s="107"/>
      <c r="I21" s="49"/>
      <c r="J21" s="49"/>
      <c r="K21" s="50"/>
      <c r="L21" s="51"/>
      <c r="M21" s="50">
        <f t="shared" si="0"/>
        <v>0</v>
      </c>
      <c r="N21" s="50"/>
      <c r="O21" s="31"/>
      <c r="P21" s="108">
        <v>3</v>
      </c>
      <c r="Q21" s="65">
        <v>3095.69</v>
      </c>
      <c r="R21" s="51"/>
      <c r="S21" s="50">
        <f t="shared" si="1"/>
        <v>0</v>
      </c>
      <c r="T21" s="50"/>
      <c r="U21" s="31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46"/>
      <c r="G23" s="23" t="s">
        <v>24</v>
      </c>
      <c r="H23" s="48">
        <v>1</v>
      </c>
      <c r="I23" s="49"/>
      <c r="J23" s="49"/>
      <c r="K23" s="50"/>
      <c r="L23" s="51"/>
      <c r="M23" s="50">
        <f t="shared" si="0"/>
        <v>0</v>
      </c>
      <c r="N23" s="50"/>
      <c r="O23" s="31"/>
      <c r="P23" s="53">
        <v>3</v>
      </c>
      <c r="Q23" s="30">
        <v>4567.24</v>
      </c>
      <c r="R23" s="27"/>
      <c r="S23" s="26">
        <f t="shared" si="1"/>
        <v>0</v>
      </c>
      <c r="T23" s="26"/>
      <c r="U23" s="100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54"/>
      <c r="G24" s="55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/>
      <c r="D25" s="374"/>
      <c r="E25" s="374"/>
      <c r="F25" s="22"/>
      <c r="G25" s="23" t="s">
        <v>24</v>
      </c>
      <c r="H25" s="61">
        <v>1</v>
      </c>
      <c r="I25" s="25"/>
      <c r="J25" s="25"/>
      <c r="K25" s="25"/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0</v>
      </c>
      <c r="T25" s="26"/>
      <c r="U25" s="31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105"/>
      <c r="G26" s="35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82"/>
      <c r="B27" s="381" t="s">
        <v>44</v>
      </c>
      <c r="C27" s="381" t="s">
        <v>22</v>
      </c>
      <c r="D27" s="381"/>
      <c r="E27" s="381" t="s">
        <v>27</v>
      </c>
      <c r="F27" s="46"/>
      <c r="G27" s="47" t="s">
        <v>24</v>
      </c>
      <c r="H27" s="48">
        <v>2</v>
      </c>
      <c r="I27" s="49"/>
      <c r="J27" s="49"/>
      <c r="K27" s="50"/>
      <c r="L27" s="51"/>
      <c r="M27" s="50">
        <f t="shared" si="0"/>
        <v>0</v>
      </c>
      <c r="N27" s="50"/>
      <c r="O27" s="31"/>
      <c r="P27" s="53">
        <v>5</v>
      </c>
      <c r="Q27" s="30">
        <v>7620.87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54"/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59"/>
      <c r="Q28" s="39"/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54"/>
      <c r="G30" s="55" t="s">
        <v>28</v>
      </c>
      <c r="H30" s="56">
        <v>2</v>
      </c>
      <c r="I30" s="57"/>
      <c r="J30" s="57"/>
      <c r="K30" s="43"/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0</v>
      </c>
      <c r="T30" s="43"/>
      <c r="U30" s="45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46"/>
      <c r="G33" s="47" t="s">
        <v>24</v>
      </c>
      <c r="H33" s="151">
        <v>1</v>
      </c>
      <c r="I33" s="49"/>
      <c r="J33" s="49"/>
      <c r="K33" s="50"/>
      <c r="L33" s="51"/>
      <c r="M33" s="50">
        <f t="shared" si="0"/>
        <v>0</v>
      </c>
      <c r="N33" s="50"/>
      <c r="O33" s="31"/>
      <c r="P33" s="108">
        <v>8</v>
      </c>
      <c r="Q33" s="65">
        <v>23443.62</v>
      </c>
      <c r="R33" s="51"/>
      <c r="S33" s="50">
        <f t="shared" si="1"/>
        <v>0</v>
      </c>
      <c r="T33" s="50"/>
      <c r="U33" s="31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1</v>
      </c>
      <c r="I34" s="57"/>
      <c r="J34" s="57"/>
      <c r="K34" s="43"/>
      <c r="L34" s="44"/>
      <c r="M34" s="43">
        <f t="shared" si="0"/>
        <v>0</v>
      </c>
      <c r="N34" s="43"/>
      <c r="O34" s="45"/>
      <c r="P34" s="113">
        <v>1</v>
      </c>
      <c r="Q34" s="114">
        <v>288.14999999999998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/>
      <c r="D37" s="381"/>
      <c r="E37" s="381"/>
      <c r="F37" s="46"/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3</v>
      </c>
      <c r="Q37" s="65">
        <v>8719.3799999999992</v>
      </c>
      <c r="R37" s="51"/>
      <c r="S37" s="50">
        <f t="shared" si="1"/>
        <v>0</v>
      </c>
      <c r="T37" s="50"/>
      <c r="U37" s="31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34"/>
      <c r="G38" s="35" t="s">
        <v>28</v>
      </c>
      <c r="H38" s="66">
        <v>2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9"/>
      <c r="Q38" s="39"/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57</v>
      </c>
      <c r="E41" s="381" t="s">
        <v>58</v>
      </c>
      <c r="F41" s="46"/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0</v>
      </c>
      <c r="T41" s="26"/>
      <c r="U41" s="100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46"/>
      <c r="G43" s="23" t="s">
        <v>24</v>
      </c>
      <c r="H43" s="107"/>
      <c r="I43" s="49"/>
      <c r="J43" s="49"/>
      <c r="K43" s="50"/>
      <c r="L43" s="51"/>
      <c r="M43" s="50">
        <f t="shared" si="0"/>
        <v>0</v>
      </c>
      <c r="N43" s="50"/>
      <c r="O43" s="52"/>
      <c r="P43" s="53">
        <v>12</v>
      </c>
      <c r="Q43" s="30">
        <v>53218.61</v>
      </c>
      <c r="R43" s="27"/>
      <c r="S43" s="26">
        <f t="shared" si="1"/>
        <v>0</v>
      </c>
      <c r="T43" s="26"/>
      <c r="U43" s="2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1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1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2</v>
      </c>
      <c r="Q48" s="68">
        <v>2761.2</v>
      </c>
      <c r="R48" s="40"/>
      <c r="S48" s="39">
        <f t="shared" si="1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105"/>
      <c r="G50" s="35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82"/>
      <c r="B51" s="381" t="s">
        <v>66</v>
      </c>
      <c r="C51" s="381" t="s">
        <v>22</v>
      </c>
      <c r="D51" s="381"/>
      <c r="E51" s="381" t="s">
        <v>67</v>
      </c>
      <c r="F51" s="46"/>
      <c r="G51" s="23" t="s">
        <v>24</v>
      </c>
      <c r="H51" s="9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9"/>
      <c r="B52" s="380"/>
      <c r="C52" s="380"/>
      <c r="D52" s="380"/>
      <c r="E52" s="380"/>
      <c r="F52" s="126"/>
      <c r="G52" s="55" t="s">
        <v>28</v>
      </c>
      <c r="H52" s="118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68</v>
      </c>
      <c r="C53" s="374"/>
      <c r="D53" s="374" t="s">
        <v>69</v>
      </c>
      <c r="E53" s="374"/>
      <c r="F53" s="22"/>
      <c r="G53" s="23" t="s">
        <v>24</v>
      </c>
      <c r="H53" s="61">
        <v>2</v>
      </c>
      <c r="I53" s="62">
        <v>2</v>
      </c>
      <c r="J53" s="62">
        <v>2</v>
      </c>
      <c r="K53" s="30">
        <v>5787.98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7"/>
      <c r="S53" s="26">
        <f t="shared" si="1"/>
        <v>0</v>
      </c>
      <c r="T53" s="26"/>
      <c r="U53" s="31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106"/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71</v>
      </c>
      <c r="E55" s="381" t="s">
        <v>55</v>
      </c>
      <c r="F55" s="46"/>
      <c r="G55" s="47" t="s">
        <v>24</v>
      </c>
      <c r="H55" s="48">
        <v>1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54261.79</v>
      </c>
      <c r="R55" s="27"/>
      <c r="S55" s="26">
        <f t="shared" si="1"/>
        <v>0</v>
      </c>
      <c r="T55" s="26"/>
      <c r="U55" s="10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1</v>
      </c>
      <c r="I57" s="49"/>
      <c r="J57" s="49"/>
      <c r="K57" s="50"/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54"/>
      <c r="G58" s="55" t="s">
        <v>28</v>
      </c>
      <c r="H58" s="112">
        <v>1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81" t="s">
        <v>22</v>
      </c>
      <c r="D59" s="374"/>
      <c r="E59" s="374" t="s">
        <v>27</v>
      </c>
      <c r="F59" s="204" t="s">
        <v>209</v>
      </c>
      <c r="G59" s="23" t="s">
        <v>24</v>
      </c>
      <c r="H59" s="104"/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9062.41</v>
      </c>
      <c r="T59" s="30">
        <v>9062.41</v>
      </c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80"/>
      <c r="D60" s="375"/>
      <c r="E60" s="375"/>
      <c r="F60" s="105"/>
      <c r="G60" s="35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82"/>
      <c r="B61" s="381" t="s">
        <v>74</v>
      </c>
      <c r="C61" s="381" t="s">
        <v>39</v>
      </c>
      <c r="D61" s="381" t="s">
        <v>75</v>
      </c>
      <c r="E61" s="381" t="s">
        <v>27</v>
      </c>
      <c r="F61" s="46"/>
      <c r="G61" s="47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8</v>
      </c>
      <c r="Q61" s="65">
        <v>25479.99</v>
      </c>
      <c r="R61" s="51"/>
      <c r="S61" s="50">
        <f t="shared" si="1"/>
        <v>0</v>
      </c>
      <c r="T61" s="50"/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54"/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1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3</v>
      </c>
      <c r="Q63" s="30">
        <v>2561.66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34"/>
      <c r="G64" s="35" t="s">
        <v>28</v>
      </c>
      <c r="H64" s="117">
        <v>1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49"/>
      <c r="J65" s="49"/>
      <c r="K65" s="50"/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104"/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107"/>
      <c r="I69" s="49"/>
      <c r="J69" s="49"/>
      <c r="K69" s="50"/>
      <c r="L69" s="51"/>
      <c r="M69" s="50">
        <f t="shared" si="0"/>
        <v>0</v>
      </c>
      <c r="N69" s="50"/>
      <c r="O69" s="31"/>
      <c r="P69" s="123"/>
      <c r="Q69" s="50"/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126"/>
      <c r="G70" s="55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/>
      <c r="D71" s="378"/>
      <c r="E71" s="374"/>
      <c r="F71" s="60"/>
      <c r="G71" s="23" t="s">
        <v>24</v>
      </c>
      <c r="H71" s="24">
        <v>4</v>
      </c>
      <c r="I71" s="62">
        <v>1</v>
      </c>
      <c r="J71" s="62">
        <v>1</v>
      </c>
      <c r="K71" s="30">
        <v>3901.52</v>
      </c>
      <c r="L71" s="27"/>
      <c r="M71" s="26">
        <f t="shared" si="0"/>
        <v>0</v>
      </c>
      <c r="N71" s="26"/>
      <c r="O71" s="31"/>
      <c r="P71" s="29">
        <v>16</v>
      </c>
      <c r="Q71" s="30">
        <v>45118.13</v>
      </c>
      <c r="R71" s="27"/>
      <c r="S71" s="26">
        <f t="shared" si="1"/>
        <v>0</v>
      </c>
      <c r="T71" s="26"/>
      <c r="U71" s="31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28</v>
      </c>
      <c r="H72" s="36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82</v>
      </c>
      <c r="C73" s="381" t="s">
        <v>22</v>
      </c>
      <c r="D73" s="385"/>
      <c r="E73" s="381" t="s">
        <v>83</v>
      </c>
      <c r="F73" s="127"/>
      <c r="G73" s="47" t="s">
        <v>24</v>
      </c>
      <c r="H73" s="151">
        <v>1</v>
      </c>
      <c r="I73" s="49"/>
      <c r="J73" s="49"/>
      <c r="K73" s="50"/>
      <c r="L73" s="51"/>
      <c r="M73" s="50">
        <f t="shared" si="0"/>
        <v>0</v>
      </c>
      <c r="N73" s="50"/>
      <c r="O73" s="31"/>
      <c r="P73" s="108">
        <v>1</v>
      </c>
      <c r="Q73" s="65">
        <v>1104.5999999999999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2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126"/>
      <c r="G78" s="55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22</v>
      </c>
      <c r="D79" s="374"/>
      <c r="E79" s="374" t="s">
        <v>23</v>
      </c>
      <c r="F79" s="60"/>
      <c r="G79" s="23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99"/>
      <c r="Q79" s="26"/>
      <c r="R79" s="27"/>
      <c r="S79" s="26">
        <f t="shared" si="1"/>
        <v>0</v>
      </c>
      <c r="T79" s="26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26"/>
      <c r="G80" s="55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2"/>
      <c r="G81" s="23" t="s">
        <v>24</v>
      </c>
      <c r="H81" s="61">
        <v>1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4</v>
      </c>
      <c r="Q81" s="30">
        <v>6839.79</v>
      </c>
      <c r="R81" s="27"/>
      <c r="S81" s="26">
        <f t="shared" si="1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35" t="s">
        <v>25</v>
      </c>
      <c r="H82" s="117">
        <v>2</v>
      </c>
      <c r="I82" s="38"/>
      <c r="J82" s="38"/>
      <c r="K82" s="39"/>
      <c r="L82" s="40"/>
      <c r="M82" s="39">
        <f t="shared" si="0"/>
        <v>0</v>
      </c>
      <c r="N82" s="39"/>
      <c r="O82" s="41"/>
      <c r="P82" s="115">
        <v>4</v>
      </c>
      <c r="Q82" s="68">
        <v>9028.7000000000007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90</v>
      </c>
      <c r="C83" s="381" t="s">
        <v>39</v>
      </c>
      <c r="D83" s="381" t="s">
        <v>91</v>
      </c>
      <c r="E83" s="381" t="s">
        <v>27</v>
      </c>
      <c r="F83" s="46"/>
      <c r="G83" s="47" t="s">
        <v>24</v>
      </c>
      <c r="H83" s="48">
        <v>1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2</v>
      </c>
      <c r="Q83" s="65">
        <v>11023.43</v>
      </c>
      <c r="R83" s="51"/>
      <c r="S83" s="50">
        <f t="shared" si="1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75"/>
      <c r="E84" s="380"/>
      <c r="F84" s="54"/>
      <c r="G84" s="55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2"/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3</v>
      </c>
      <c r="Q85" s="30">
        <v>12637.19</v>
      </c>
      <c r="R85" s="27"/>
      <c r="S85" s="26">
        <f t="shared" si="1"/>
        <v>0</v>
      </c>
      <c r="T85" s="26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54"/>
      <c r="G86" s="55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126"/>
      <c r="G88" s="55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2"/>
      <c r="G89" s="23" t="s">
        <v>24</v>
      </c>
      <c r="H89" s="48">
        <v>2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11</v>
      </c>
      <c r="Q89" s="30">
        <v>22045.33</v>
      </c>
      <c r="R89" s="27"/>
      <c r="S89" s="26">
        <f t="shared" si="1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54"/>
      <c r="G90" s="55" t="s">
        <v>25</v>
      </c>
      <c r="H90" s="112">
        <v>2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134"/>
      <c r="G91" s="23" t="s">
        <v>24</v>
      </c>
      <c r="H91" s="119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35"/>
      <c r="G92" s="55" t="s">
        <v>28</v>
      </c>
      <c r="H92" s="207">
        <v>1</v>
      </c>
      <c r="I92" s="208">
        <v>1</v>
      </c>
      <c r="J92" s="208">
        <v>1</v>
      </c>
      <c r="K92" s="209">
        <v>1344.7</v>
      </c>
      <c r="L92" s="210"/>
      <c r="M92" s="211">
        <f t="shared" si="0"/>
        <v>0</v>
      </c>
      <c r="N92" s="211"/>
      <c r="O92" s="212"/>
      <c r="P92" s="103"/>
      <c r="Q92" s="43"/>
      <c r="R92" s="44"/>
      <c r="S92" s="43">
        <f t="shared" si="1"/>
        <v>0</v>
      </c>
      <c r="T92" s="43"/>
      <c r="U92" s="4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98</v>
      </c>
      <c r="C93" s="374" t="s">
        <v>22</v>
      </c>
      <c r="D93" s="374"/>
      <c r="E93" s="374" t="s">
        <v>99</v>
      </c>
      <c r="F93" s="60"/>
      <c r="G93" s="213" t="s">
        <v>24</v>
      </c>
      <c r="H93" s="24">
        <v>1</v>
      </c>
      <c r="I93" s="25"/>
      <c r="J93" s="25"/>
      <c r="K93" s="26"/>
      <c r="L93" s="27"/>
      <c r="M93" s="26">
        <f t="shared" si="0"/>
        <v>0</v>
      </c>
      <c r="N93" s="26"/>
      <c r="O93" s="100"/>
      <c r="P93" s="214">
        <v>8</v>
      </c>
      <c r="Q93" s="30">
        <v>7994.89</v>
      </c>
      <c r="R93" s="27"/>
      <c r="S93" s="26">
        <f t="shared" si="1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34"/>
      <c r="G94" s="215" t="s">
        <v>28</v>
      </c>
      <c r="H94" s="133">
        <v>1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0</v>
      </c>
      <c r="T94" s="39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81" t="s">
        <v>22</v>
      </c>
      <c r="D95" s="381" t="s">
        <v>101</v>
      </c>
      <c r="E95" s="381" t="s">
        <v>27</v>
      </c>
      <c r="F95" s="46"/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0</v>
      </c>
      <c r="T95" s="50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16"/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46"/>
      <c r="G97" s="23" t="s">
        <v>24</v>
      </c>
      <c r="H97" s="48">
        <v>1</v>
      </c>
      <c r="I97" s="49"/>
      <c r="J97" s="49"/>
      <c r="K97" s="50"/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51"/>
      <c r="S97" s="50">
        <f t="shared" si="1"/>
        <v>0</v>
      </c>
      <c r="T97" s="50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54"/>
      <c r="G98" s="55" t="s">
        <v>28</v>
      </c>
      <c r="H98" s="111"/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1</v>
      </c>
      <c r="Q98" s="114">
        <v>4358.2</v>
      </c>
      <c r="R98" s="44"/>
      <c r="S98" s="43">
        <f t="shared" si="1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107"/>
      <c r="I99" s="25"/>
      <c r="J99" s="25"/>
      <c r="K99" s="26"/>
      <c r="L99" s="27"/>
      <c r="M99" s="26">
        <f t="shared" si="0"/>
        <v>0</v>
      </c>
      <c r="N99" s="26"/>
      <c r="O99" s="31"/>
      <c r="P99" s="53">
        <v>4</v>
      </c>
      <c r="Q99" s="30">
        <v>5054.3999999999996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34"/>
      <c r="G100" s="35" t="s">
        <v>28</v>
      </c>
      <c r="H100" s="116"/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105</v>
      </c>
      <c r="E101" s="381" t="s">
        <v>27</v>
      </c>
      <c r="F101" s="46"/>
      <c r="G101" s="23" t="s">
        <v>24</v>
      </c>
      <c r="H101" s="48">
        <v>1</v>
      </c>
      <c r="I101" s="49"/>
      <c r="J101" s="49"/>
      <c r="K101" s="50"/>
      <c r="L101" s="51"/>
      <c r="M101" s="50">
        <f t="shared" si="0"/>
        <v>0</v>
      </c>
      <c r="N101" s="50"/>
      <c r="O101" s="31"/>
      <c r="P101" s="108">
        <v>7</v>
      </c>
      <c r="Q101" s="65">
        <v>18298</v>
      </c>
      <c r="R101" s="51"/>
      <c r="S101" s="50">
        <f t="shared" si="1"/>
        <v>0</v>
      </c>
      <c r="T101" s="50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107"/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16534.97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54"/>
      <c r="G104" s="55" t="s">
        <v>28</v>
      </c>
      <c r="H104" s="111"/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60"/>
      <c r="G105" s="23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3</v>
      </c>
      <c r="Q105" s="30">
        <v>13277.84</v>
      </c>
      <c r="R105" s="27"/>
      <c r="S105" s="26">
        <f t="shared" si="1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140"/>
      <c r="G106" s="141" t="s">
        <v>28</v>
      </c>
      <c r="H106" s="107"/>
      <c r="I106" s="139"/>
      <c r="J106" s="139"/>
      <c r="K106" s="142"/>
      <c r="L106" s="143"/>
      <c r="M106" s="142">
        <f t="shared" si="0"/>
        <v>0</v>
      </c>
      <c r="N106" s="142"/>
      <c r="O106" s="45"/>
      <c r="P106" s="144"/>
      <c r="Q106" s="142"/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146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2"/>
      <c r="B108" s="381" t="s">
        <v>110</v>
      </c>
      <c r="C108" s="381" t="s">
        <v>22</v>
      </c>
      <c r="D108" s="381"/>
      <c r="E108" s="381" t="s">
        <v>67</v>
      </c>
      <c r="F108" s="127"/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0</v>
      </c>
      <c r="T108" s="50"/>
      <c r="U108" s="3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99"/>
      <c r="Q110" s="26"/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54"/>
      <c r="G111" s="55" t="s">
        <v>28</v>
      </c>
      <c r="H111" s="116"/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22</v>
      </c>
      <c r="D112" s="374" t="s">
        <v>114</v>
      </c>
      <c r="E112" s="374" t="s">
        <v>27</v>
      </c>
      <c r="F112" s="60"/>
      <c r="G112" s="23" t="s">
        <v>24</v>
      </c>
      <c r="H112" s="48">
        <v>3</v>
      </c>
      <c r="I112" s="62">
        <v>1</v>
      </c>
      <c r="J112" s="62">
        <v>1</v>
      </c>
      <c r="K112" s="30">
        <v>950.9</v>
      </c>
      <c r="L112" s="27"/>
      <c r="M112" s="26">
        <f t="shared" si="0"/>
        <v>0</v>
      </c>
      <c r="N112" s="26"/>
      <c r="O112" s="31"/>
      <c r="P112" s="53">
        <v>7</v>
      </c>
      <c r="Q112" s="30">
        <v>17784.37</v>
      </c>
      <c r="R112" s="27"/>
      <c r="S112" s="26">
        <f t="shared" si="1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54"/>
      <c r="G113" s="55" t="s">
        <v>28</v>
      </c>
      <c r="H113" s="118"/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46"/>
      <c r="G116" s="47" t="s">
        <v>24</v>
      </c>
      <c r="H116" s="61">
        <v>1</v>
      </c>
      <c r="I116" s="25"/>
      <c r="J116" s="25"/>
      <c r="K116" s="26"/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0</v>
      </c>
      <c r="T116" s="50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46"/>
      <c r="G118" s="23" t="s">
        <v>24</v>
      </c>
      <c r="H118" s="48">
        <v>2</v>
      </c>
      <c r="I118" s="49"/>
      <c r="J118" s="49"/>
      <c r="K118" s="50"/>
      <c r="L118" s="51"/>
      <c r="M118" s="50">
        <f t="shared" si="0"/>
        <v>0</v>
      </c>
      <c r="N118" s="50"/>
      <c r="O118" s="31"/>
      <c r="P118" s="108">
        <v>17</v>
      </c>
      <c r="Q118" s="65">
        <v>55454.879999999997</v>
      </c>
      <c r="R118" s="51"/>
      <c r="S118" s="50">
        <f t="shared" si="1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126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22</v>
      </c>
      <c r="D120" s="374"/>
      <c r="E120" s="374" t="s">
        <v>27</v>
      </c>
      <c r="F120" s="150"/>
      <c r="G120" s="23" t="s">
        <v>24</v>
      </c>
      <c r="H120" s="151">
        <v>1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5</v>
      </c>
      <c r="Q120" s="30">
        <v>20346.849999999999</v>
      </c>
      <c r="R120" s="27"/>
      <c r="S120" s="26">
        <f t="shared" si="1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120</v>
      </c>
      <c r="E122" s="374" t="s">
        <v>121</v>
      </c>
      <c r="F122" s="22"/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16</v>
      </c>
      <c r="Q122" s="30">
        <v>23285.119999999999</v>
      </c>
      <c r="R122" s="27"/>
      <c r="S122" s="26">
        <f t="shared" si="1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54"/>
      <c r="G123" s="55" t="s">
        <v>25</v>
      </c>
      <c r="H123" s="15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22</v>
      </c>
      <c r="D124" s="374" t="s">
        <v>123</v>
      </c>
      <c r="E124" s="374" t="s">
        <v>55</v>
      </c>
      <c r="F124" s="22"/>
      <c r="G124" s="23" t="s">
        <v>24</v>
      </c>
      <c r="H124" s="48">
        <v>1</v>
      </c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8</v>
      </c>
      <c r="Q124" s="30">
        <v>20369.080000000002</v>
      </c>
      <c r="R124" s="27"/>
      <c r="S124" s="26">
        <f t="shared" si="1"/>
        <v>0</v>
      </c>
      <c r="T124" s="26"/>
      <c r="U124" s="3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124</v>
      </c>
      <c r="C126" s="381" t="s">
        <v>39</v>
      </c>
      <c r="D126" s="381" t="s">
        <v>125</v>
      </c>
      <c r="E126" s="381" t="s">
        <v>27</v>
      </c>
      <c r="F126" s="127"/>
      <c r="G126" s="23" t="s">
        <v>24</v>
      </c>
      <c r="H126" s="48">
        <v>6</v>
      </c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28</v>
      </c>
      <c r="Q126" s="65">
        <v>179329.47</v>
      </c>
      <c r="R126" s="51"/>
      <c r="S126" s="50">
        <f t="shared" si="1"/>
        <v>0</v>
      </c>
      <c r="T126" s="50"/>
      <c r="U126" s="3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129"/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152"/>
      <c r="G130" s="35" t="s">
        <v>28</v>
      </c>
      <c r="H130" s="153">
        <v>2</v>
      </c>
      <c r="I130" s="38"/>
      <c r="J130" s="38"/>
      <c r="K130" s="39"/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107"/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3</v>
      </c>
      <c r="Q131" s="65">
        <v>9508.6200000000008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54"/>
      <c r="G132" s="55" t="s">
        <v>28</v>
      </c>
      <c r="H132" s="153">
        <v>1</v>
      </c>
      <c r="I132" s="38"/>
      <c r="J132" s="38"/>
      <c r="K132" s="39"/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25</v>
      </c>
      <c r="H134" s="111"/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23" t="s">
        <v>24</v>
      </c>
      <c r="H135" s="107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1</v>
      </c>
      <c r="Q135" s="30">
        <v>2466.56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12">
        <v>1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/>
      <c r="D137" s="374"/>
      <c r="E137" s="374"/>
      <c r="F137" s="22"/>
      <c r="G137" s="23" t="s">
        <v>24</v>
      </c>
      <c r="H137" s="61">
        <v>1</v>
      </c>
      <c r="I137" s="25"/>
      <c r="J137" s="25"/>
      <c r="K137" s="26"/>
      <c r="L137" s="27"/>
      <c r="M137" s="26">
        <f t="shared" si="0"/>
        <v>0</v>
      </c>
      <c r="N137" s="26"/>
      <c r="O137" s="31"/>
      <c r="P137" s="53">
        <v>8</v>
      </c>
      <c r="Q137" s="30">
        <v>18419.52</v>
      </c>
      <c r="R137" s="27"/>
      <c r="S137" s="26">
        <f t="shared" si="1"/>
        <v>0</v>
      </c>
      <c r="T137" s="26"/>
      <c r="U137" s="31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135"/>
      <c r="G138" s="154" t="s">
        <v>28</v>
      </c>
      <c r="H138" s="102"/>
      <c r="I138" s="155"/>
      <c r="J138" s="155"/>
      <c r="K138" s="129"/>
      <c r="L138" s="128"/>
      <c r="M138" s="129">
        <f t="shared" si="0"/>
        <v>0</v>
      </c>
      <c r="N138" s="129"/>
      <c r="O138" s="45"/>
      <c r="P138" s="156"/>
      <c r="Q138" s="129"/>
      <c r="R138" s="128"/>
      <c r="S138" s="129">
        <f t="shared" si="1"/>
        <v>0</v>
      </c>
      <c r="T138" s="129"/>
      <c r="U138" s="45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74"/>
      <c r="F140" s="22"/>
      <c r="G140" s="23" t="s">
        <v>24</v>
      </c>
      <c r="H140" s="61">
        <v>3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2"/>
      <c r="B142" s="381" t="s">
        <v>134</v>
      </c>
      <c r="C142" s="381" t="s">
        <v>39</v>
      </c>
      <c r="D142" s="381" t="s">
        <v>135</v>
      </c>
      <c r="E142" s="381" t="s">
        <v>136</v>
      </c>
      <c r="F142" s="46"/>
      <c r="G142" s="47" t="s">
        <v>24</v>
      </c>
      <c r="H142" s="48">
        <v>2</v>
      </c>
      <c r="I142" s="49"/>
      <c r="J142" s="49"/>
      <c r="K142" s="50"/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51"/>
      <c r="S142" s="50">
        <f t="shared" si="1"/>
        <v>0</v>
      </c>
      <c r="T142" s="50"/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140"/>
      <c r="G143" s="141" t="s">
        <v>28</v>
      </c>
      <c r="H143" s="151">
        <v>1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0</v>
      </c>
      <c r="T143" s="142"/>
      <c r="U143" s="4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54"/>
      <c r="G144" s="55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4"/>
      <c r="D145" s="374"/>
      <c r="E145" s="374"/>
      <c r="F145" s="22"/>
      <c r="G145" s="23" t="s">
        <v>24</v>
      </c>
      <c r="H145" s="24">
        <v>1</v>
      </c>
      <c r="I145" s="25"/>
      <c r="J145" s="25"/>
      <c r="K145" s="26"/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0</v>
      </c>
      <c r="T145" s="26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35" t="s">
        <v>28</v>
      </c>
      <c r="H146" s="66">
        <v>2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2"/>
      <c r="B147" s="381" t="s">
        <v>138</v>
      </c>
      <c r="C147" s="381" t="s">
        <v>22</v>
      </c>
      <c r="D147" s="381"/>
      <c r="E147" s="381" t="s">
        <v>27</v>
      </c>
      <c r="F147" s="46"/>
      <c r="G147" s="47" t="s">
        <v>24</v>
      </c>
      <c r="H147" s="151">
        <v>1</v>
      </c>
      <c r="I147" s="49"/>
      <c r="J147" s="49"/>
      <c r="K147" s="50"/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9"/>
      <c r="B148" s="380"/>
      <c r="C148" s="380"/>
      <c r="D148" s="380"/>
      <c r="E148" s="380"/>
      <c r="F148" s="54"/>
      <c r="G148" s="55" t="s">
        <v>28</v>
      </c>
      <c r="H148" s="13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1</v>
      </c>
      <c r="Q148" s="114">
        <v>4802.5</v>
      </c>
      <c r="R148" s="44"/>
      <c r="S148" s="43">
        <f t="shared" si="1"/>
        <v>0</v>
      </c>
      <c r="T148" s="43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2"/>
      <c r="G149" s="23" t="s">
        <v>24</v>
      </c>
      <c r="H149" s="151">
        <v>2</v>
      </c>
      <c r="I149" s="25"/>
      <c r="J149" s="25"/>
      <c r="K149" s="26"/>
      <c r="L149" s="27"/>
      <c r="M149" s="26">
        <f t="shared" si="0"/>
        <v>0</v>
      </c>
      <c r="N149" s="26"/>
      <c r="O149" s="31"/>
      <c r="P149" s="53">
        <v>7</v>
      </c>
      <c r="Q149" s="30">
        <v>15149.34</v>
      </c>
      <c r="R149" s="27"/>
      <c r="S149" s="26">
        <f t="shared" si="1"/>
        <v>0</v>
      </c>
      <c r="T149" s="26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54"/>
      <c r="G150" s="55" t="s">
        <v>28</v>
      </c>
      <c r="H150" s="102"/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1</v>
      </c>
      <c r="Q150" s="114">
        <v>2393.3000000000002</v>
      </c>
      <c r="R150" s="44"/>
      <c r="S150" s="43">
        <f t="shared" si="1"/>
        <v>0</v>
      </c>
      <c r="T150" s="43"/>
      <c r="U150" s="4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20981.75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34"/>
      <c r="G152" s="35" t="s">
        <v>28</v>
      </c>
      <c r="H152" s="66">
        <v>1</v>
      </c>
      <c r="I152" s="38"/>
      <c r="J152" s="38"/>
      <c r="K152" s="39"/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1</v>
      </c>
      <c r="I155" s="25"/>
      <c r="J155" s="25"/>
      <c r="K155" s="26"/>
      <c r="L155" s="27"/>
      <c r="M155" s="26">
        <f t="shared" si="0"/>
        <v>0</v>
      </c>
      <c r="N155" s="26"/>
      <c r="O155" s="28"/>
      <c r="P155" s="99"/>
      <c r="Q155" s="26"/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144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8</v>
      </c>
      <c r="Q157" s="65">
        <v>27662.38</v>
      </c>
      <c r="R157" s="224">
        <v>4</v>
      </c>
      <c r="S157" s="50">
        <f t="shared" si="1"/>
        <v>14714.18</v>
      </c>
      <c r="T157" s="65">
        <v>14714.18</v>
      </c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54"/>
      <c r="G158" s="55" t="s">
        <v>28</v>
      </c>
      <c r="H158" s="116"/>
      <c r="I158" s="57"/>
      <c r="J158" s="57"/>
      <c r="K158" s="43"/>
      <c r="L158" s="128"/>
      <c r="M158" s="50">
        <f t="shared" si="0"/>
        <v>0</v>
      </c>
      <c r="N158" s="43"/>
      <c r="O158" s="41"/>
      <c r="P158" s="103"/>
      <c r="Q158" s="43"/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147</v>
      </c>
      <c r="E159" s="374" t="s">
        <v>27</v>
      </c>
      <c r="F159" s="22"/>
      <c r="G159" s="23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5</v>
      </c>
      <c r="Q159" s="30">
        <v>10544.03</v>
      </c>
      <c r="R159" s="27"/>
      <c r="S159" s="26">
        <f t="shared" si="1"/>
        <v>0</v>
      </c>
      <c r="T159" s="26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1"/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2</v>
      </c>
      <c r="Q160" s="68">
        <v>15944.3</v>
      </c>
      <c r="R160" s="40"/>
      <c r="S160" s="39">
        <f t="shared" si="1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23" t="s">
        <v>218</v>
      </c>
      <c r="G161" s="23" t="s">
        <v>24</v>
      </c>
      <c r="H161" s="48">
        <v>4</v>
      </c>
      <c r="I161" s="62">
        <v>1</v>
      </c>
      <c r="J161" s="204">
        <v>1</v>
      </c>
      <c r="K161" s="30">
        <v>1477.25</v>
      </c>
      <c r="L161" s="27"/>
      <c r="M161" s="26">
        <f t="shared" si="0"/>
        <v>0</v>
      </c>
      <c r="N161" s="26"/>
      <c r="O161" s="31"/>
      <c r="P161" s="108">
        <v>12</v>
      </c>
      <c r="Q161" s="65">
        <v>31163.87</v>
      </c>
      <c r="R161" s="224">
        <v>2</v>
      </c>
      <c r="S161" s="50">
        <f t="shared" si="1"/>
        <v>17249.09</v>
      </c>
      <c r="T161" s="65">
        <v>14024.29</v>
      </c>
      <c r="U161" s="225">
        <v>3224.8</v>
      </c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34"/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9"/>
      <c r="Q164" s="39"/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81" t="s">
        <v>22</v>
      </c>
      <c r="D165" s="381" t="s">
        <v>154</v>
      </c>
      <c r="E165" s="381" t="s">
        <v>27</v>
      </c>
      <c r="F165" s="46"/>
      <c r="G165" s="47" t="s">
        <v>24</v>
      </c>
      <c r="H165" s="107"/>
      <c r="I165" s="49"/>
      <c r="J165" s="49"/>
      <c r="K165" s="166"/>
      <c r="L165" s="167"/>
      <c r="M165" s="166">
        <f t="shared" si="0"/>
        <v>0</v>
      </c>
      <c r="N165" s="166"/>
      <c r="O165" s="31"/>
      <c r="P165" s="108">
        <v>4</v>
      </c>
      <c r="Q165" s="65">
        <v>15452.64</v>
      </c>
      <c r="R165" s="51"/>
      <c r="S165" s="50">
        <f t="shared" si="1"/>
        <v>0</v>
      </c>
      <c r="T165" s="50"/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46"/>
      <c r="G167" s="23" t="s">
        <v>24</v>
      </c>
      <c r="H167" s="107"/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2</v>
      </c>
      <c r="Q167" s="30">
        <v>7187.89</v>
      </c>
      <c r="R167" s="27"/>
      <c r="S167" s="26">
        <f t="shared" si="1"/>
        <v>0</v>
      </c>
      <c r="T167" s="26"/>
      <c r="U167" s="3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158</v>
      </c>
      <c r="C173" s="391"/>
      <c r="D173" s="381"/>
      <c r="E173" s="381"/>
      <c r="F173" s="46"/>
      <c r="G173" s="47" t="s">
        <v>24</v>
      </c>
      <c r="H173" s="48">
        <v>2</v>
      </c>
      <c r="I173" s="203">
        <v>1</v>
      </c>
      <c r="J173" s="203">
        <v>1</v>
      </c>
      <c r="K173" s="65">
        <v>576.29999999999995</v>
      </c>
      <c r="L173" s="51"/>
      <c r="M173" s="50">
        <f t="shared" si="0"/>
        <v>0</v>
      </c>
      <c r="N173" s="50"/>
      <c r="O173" s="31"/>
      <c r="P173" s="108">
        <v>3</v>
      </c>
      <c r="Q173" s="65">
        <v>4741.03</v>
      </c>
      <c r="R173" s="51"/>
      <c r="S173" s="50">
        <f t="shared" si="1"/>
        <v>0</v>
      </c>
      <c r="T173" s="50"/>
      <c r="U173" s="3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105"/>
      <c r="G174" s="35" t="s">
        <v>28</v>
      </c>
      <c r="H174" s="106"/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159</v>
      </c>
      <c r="C175" s="381" t="s">
        <v>22</v>
      </c>
      <c r="D175" s="381"/>
      <c r="E175" s="381" t="s">
        <v>160</v>
      </c>
      <c r="F175" s="46"/>
      <c r="G175" s="47" t="s">
        <v>24</v>
      </c>
      <c r="H175" s="48">
        <v>1</v>
      </c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16</v>
      </c>
      <c r="Q175" s="65">
        <v>20835.490000000002</v>
      </c>
      <c r="R175" s="51"/>
      <c r="S175" s="50">
        <f t="shared" si="1"/>
        <v>0</v>
      </c>
      <c r="T175" s="50"/>
      <c r="U175" s="3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02"/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119"/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0</v>
      </c>
      <c r="T181" s="43"/>
      <c r="U181" s="41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54"/>
      <c r="G183" s="55" t="s">
        <v>28</v>
      </c>
      <c r="H183" s="56">
        <v>1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2</v>
      </c>
      <c r="Q183" s="114">
        <v>2977.55</v>
      </c>
      <c r="R183" s="44"/>
      <c r="S183" s="43">
        <f t="shared" si="1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23"/>
      <c r="Q186" s="50"/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119"/>
      <c r="I188" s="25"/>
      <c r="J188" s="25"/>
      <c r="K188" s="26"/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173"/>
      <c r="G189" s="35" t="s">
        <v>28</v>
      </c>
      <c r="H189" s="36"/>
      <c r="I189" s="37"/>
      <c r="J189" s="37"/>
      <c r="K189" s="39"/>
      <c r="L189" s="40"/>
      <c r="M189" s="39">
        <f t="shared" si="0"/>
        <v>0</v>
      </c>
      <c r="N189" s="39"/>
      <c r="O189" s="58"/>
      <c r="P189" s="174">
        <v>1</v>
      </c>
      <c r="Q189" s="175">
        <v>1152.5999999999999</v>
      </c>
      <c r="R189" s="40"/>
      <c r="S189" s="39">
        <f t="shared" si="1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169</v>
      </c>
      <c r="C190" s="381" t="s">
        <v>22</v>
      </c>
      <c r="D190" s="381"/>
      <c r="E190" s="381" t="s">
        <v>27</v>
      </c>
      <c r="F190" s="46"/>
      <c r="G190" s="47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1"/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2"/>
      <c r="G192" s="23" t="s">
        <v>24</v>
      </c>
      <c r="H192" s="48">
        <v>1</v>
      </c>
      <c r="I192" s="25"/>
      <c r="J192" s="25"/>
      <c r="K192" s="26"/>
      <c r="L192" s="27"/>
      <c r="M192" s="26">
        <f t="shared" si="0"/>
        <v>0</v>
      </c>
      <c r="N192" s="26"/>
      <c r="O192" s="31"/>
      <c r="P192" s="53">
        <v>11</v>
      </c>
      <c r="Q192" s="30">
        <v>29205.8</v>
      </c>
      <c r="R192" s="27"/>
      <c r="S192" s="26">
        <f t="shared" si="1"/>
        <v>0</v>
      </c>
      <c r="T192" s="26"/>
      <c r="U192" s="31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171</v>
      </c>
      <c r="C194" s="381" t="s">
        <v>22</v>
      </c>
      <c r="D194" s="381"/>
      <c r="E194" s="381" t="s">
        <v>27</v>
      </c>
      <c r="F194" s="46"/>
      <c r="G194" s="23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54"/>
      <c r="G195" s="55" t="s">
        <v>28</v>
      </c>
      <c r="H195" s="133">
        <v>1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4" t="s">
        <v>22</v>
      </c>
      <c r="D196" s="374"/>
      <c r="E196" s="374" t="s">
        <v>121</v>
      </c>
      <c r="F196" s="22"/>
      <c r="G196" s="23" t="s">
        <v>24</v>
      </c>
      <c r="H196" s="48">
        <v>1</v>
      </c>
      <c r="I196" s="25"/>
      <c r="J196" s="25"/>
      <c r="K196" s="26"/>
      <c r="L196" s="27"/>
      <c r="M196" s="26">
        <f t="shared" si="0"/>
        <v>0</v>
      </c>
      <c r="N196" s="26"/>
      <c r="O196" s="31"/>
      <c r="P196" s="53">
        <v>23</v>
      </c>
      <c r="Q196" s="30">
        <v>30692.35</v>
      </c>
      <c r="R196" s="27"/>
      <c r="S196" s="26">
        <f t="shared" si="1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/>
      <c r="E198" s="25"/>
      <c r="F198" s="22"/>
      <c r="G198" s="23" t="s">
        <v>24</v>
      </c>
      <c r="H198" s="61">
        <v>3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8"/>
      <c r="F199" s="34"/>
      <c r="G199" s="35" t="s">
        <v>25</v>
      </c>
      <c r="H199" s="117">
        <v>1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174</v>
      </c>
      <c r="C200" s="381" t="s">
        <v>39</v>
      </c>
      <c r="D200" s="381" t="s">
        <v>175</v>
      </c>
      <c r="E200" s="381" t="s">
        <v>176</v>
      </c>
      <c r="F200" s="46"/>
      <c r="G200" s="47" t="s">
        <v>24</v>
      </c>
      <c r="H200" s="107"/>
      <c r="I200" s="49"/>
      <c r="J200" s="49"/>
      <c r="K200" s="50"/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10929.7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81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8</v>
      </c>
      <c r="Q202" s="30">
        <v>20068.18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2</v>
      </c>
      <c r="I208" s="49"/>
      <c r="J208" s="49"/>
      <c r="K208" s="50"/>
      <c r="L208" s="51"/>
      <c r="M208" s="50">
        <f t="shared" si="0"/>
        <v>0</v>
      </c>
      <c r="N208" s="50"/>
      <c r="O208" s="31"/>
      <c r="P208" s="108">
        <v>9</v>
      </c>
      <c r="Q208" s="65">
        <v>31034.59</v>
      </c>
      <c r="R208" s="224">
        <v>8</v>
      </c>
      <c r="S208" s="50">
        <f t="shared" si="1"/>
        <v>28968.84</v>
      </c>
      <c r="T208" s="65">
        <v>28968.84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0</v>
      </c>
      <c r="T209" s="43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3</v>
      </c>
      <c r="I210" s="25"/>
      <c r="J210" s="25"/>
      <c r="K210" s="26"/>
      <c r="L210" s="27"/>
      <c r="M210" s="26">
        <f t="shared" si="0"/>
        <v>0</v>
      </c>
      <c r="N210" s="26"/>
      <c r="O210" s="31"/>
      <c r="P210" s="53">
        <v>3</v>
      </c>
      <c r="Q210" s="30">
        <v>18152.009999999998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107"/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54"/>
      <c r="G213" s="55" t="s">
        <v>28</v>
      </c>
      <c r="H213" s="133">
        <v>2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54"/>
      <c r="G215" s="55" t="s">
        <v>28</v>
      </c>
      <c r="H215" s="111"/>
      <c r="I215" s="57"/>
      <c r="J215" s="57"/>
      <c r="K215" s="43"/>
      <c r="L215" s="44"/>
      <c r="M215" s="43">
        <f t="shared" si="0"/>
        <v>0</v>
      </c>
      <c r="N215" s="43"/>
      <c r="O215" s="41"/>
      <c r="P215" s="103"/>
      <c r="Q215" s="43"/>
      <c r="R215" s="44"/>
      <c r="S215" s="43">
        <f t="shared" si="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2"/>
      <c r="G216" s="23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03"/>
      <c r="Q217" s="43"/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60"/>
      <c r="G218" s="23" t="s">
        <v>24</v>
      </c>
      <c r="H218" s="107"/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6</v>
      </c>
      <c r="Q218" s="30">
        <v>10828.63</v>
      </c>
      <c r="R218" s="27"/>
      <c r="S218" s="26">
        <f t="shared" si="1"/>
        <v>0</v>
      </c>
      <c r="T218" s="26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34"/>
      <c r="G219" s="35" t="s">
        <v>28</v>
      </c>
      <c r="H219" s="153">
        <v>2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46"/>
      <c r="G220" s="23" t="s">
        <v>24</v>
      </c>
      <c r="H220" s="48">
        <v>3</v>
      </c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11</v>
      </c>
      <c r="Q220" s="65">
        <v>24461.09</v>
      </c>
      <c r="R220" s="51"/>
      <c r="S220" s="50">
        <f t="shared" si="1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54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0</v>
      </c>
      <c r="T223" s="43"/>
      <c r="U223" s="45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119"/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105"/>
      <c r="G225" s="35" t="s">
        <v>28</v>
      </c>
      <c r="H225" s="36"/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4"/>
      <c r="G227" s="35" t="s">
        <v>28</v>
      </c>
      <c r="H227" s="102"/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0</v>
      </c>
      <c r="T227" s="39"/>
      <c r="U227" s="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192</v>
      </c>
      <c r="C228" s="381" t="s">
        <v>22</v>
      </c>
      <c r="D228" s="381"/>
      <c r="E228" s="381" t="s">
        <v>193</v>
      </c>
      <c r="F228" s="46"/>
      <c r="G228" s="23" t="s">
        <v>24</v>
      </c>
      <c r="H228" s="61">
        <v>1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51"/>
      <c r="S228" s="50">
        <f t="shared" si="1"/>
        <v>0</v>
      </c>
      <c r="T228" s="50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4" t="s">
        <v>22</v>
      </c>
      <c r="D230" s="374"/>
      <c r="E230" s="374" t="s">
        <v>160</v>
      </c>
      <c r="F230" s="22"/>
      <c r="G230" s="23" t="s">
        <v>24</v>
      </c>
      <c r="H230" s="107"/>
      <c r="I230" s="49"/>
      <c r="J230" s="49"/>
      <c r="K230" s="50"/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0</v>
      </c>
      <c r="T230" s="26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34"/>
      <c r="G231" s="35" t="s">
        <v>28</v>
      </c>
      <c r="H231" s="106"/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81" t="s">
        <v>39</v>
      </c>
      <c r="D232" s="381" t="s">
        <v>231</v>
      </c>
      <c r="E232" s="381" t="s">
        <v>27</v>
      </c>
      <c r="F232" s="204" t="s">
        <v>232</v>
      </c>
      <c r="G232" s="47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5</v>
      </c>
      <c r="Q232" s="65">
        <v>42908.57</v>
      </c>
      <c r="R232" s="224">
        <v>3</v>
      </c>
      <c r="S232" s="50">
        <f t="shared" si="1"/>
        <v>35948.410000000003</v>
      </c>
      <c r="T232" s="65">
        <v>35948.410000000003</v>
      </c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54"/>
      <c r="G233" s="55" t="s">
        <v>28</v>
      </c>
      <c r="H233" s="178">
        <v>2</v>
      </c>
      <c r="I233" s="130"/>
      <c r="J233" s="130"/>
      <c r="K233" s="43"/>
      <c r="L233" s="44"/>
      <c r="M233" s="43">
        <f t="shared" si="0"/>
        <v>0</v>
      </c>
      <c r="N233" s="43"/>
      <c r="O233" s="45"/>
      <c r="P233" s="130">
        <v>2</v>
      </c>
      <c r="Q233" s="130">
        <v>1849.55</v>
      </c>
      <c r="R233" s="44"/>
      <c r="S233" s="43">
        <f t="shared" si="1"/>
        <v>0</v>
      </c>
      <c r="T233" s="43"/>
      <c r="U233" s="4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34"/>
      <c r="G235" s="35" t="s">
        <v>28</v>
      </c>
      <c r="H235" s="36"/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748.27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54"/>
      <c r="G237" s="55" t="s">
        <v>28</v>
      </c>
      <c r="H237" s="153">
        <v>1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1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6</v>
      </c>
      <c r="Q238" s="30">
        <v>25021.41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34"/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54"/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0</v>
      </c>
      <c r="T243" s="43"/>
      <c r="U243" s="45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107"/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54"/>
      <c r="G247" s="55" t="s">
        <v>28</v>
      </c>
      <c r="H247" s="102"/>
      <c r="I247" s="57"/>
      <c r="J247" s="57"/>
      <c r="K247" s="43"/>
      <c r="L247" s="128"/>
      <c r="M247" s="129">
        <f t="shared" si="0"/>
        <v>0</v>
      </c>
      <c r="N247" s="43"/>
      <c r="O247" s="45"/>
      <c r="P247" s="103"/>
      <c r="Q247" s="43"/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3</v>
      </c>
      <c r="I250" s="49"/>
      <c r="J250" s="49"/>
      <c r="K250" s="50"/>
      <c r="L250" s="51"/>
      <c r="M250" s="50">
        <f t="shared" si="0"/>
        <v>0</v>
      </c>
      <c r="N250" s="50"/>
      <c r="O250" s="31"/>
      <c r="P250" s="123"/>
      <c r="Q250" s="50"/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131</v>
      </c>
      <c r="I252" s="183">
        <f t="shared" si="2"/>
        <v>13</v>
      </c>
      <c r="J252" s="183">
        <f t="shared" si="2"/>
        <v>14</v>
      </c>
      <c r="K252" s="184">
        <f t="shared" si="2"/>
        <v>25085.440000000002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559</v>
      </c>
      <c r="Q252" s="188">
        <f t="shared" si="2"/>
        <v>1603319.6899999995</v>
      </c>
      <c r="R252" s="185">
        <f t="shared" si="2"/>
        <v>25</v>
      </c>
      <c r="S252" s="188">
        <f t="shared" si="2"/>
        <v>113024.8</v>
      </c>
      <c r="T252" s="188">
        <f t="shared" si="2"/>
        <v>109800.00000000001</v>
      </c>
      <c r="U252" s="189">
        <f t="shared" si="2"/>
        <v>3224.8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89</v>
      </c>
      <c r="H258" s="193">
        <f t="shared" si="3"/>
        <v>10</v>
      </c>
      <c r="I258" s="193">
        <f t="shared" si="3"/>
        <v>11</v>
      </c>
      <c r="J258" s="194">
        <f t="shared" ref="J258:J260" si="4">SUMIF($G$9:$G$251,F258,$K$9:$K$251)</f>
        <v>21243.440000000002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511</v>
      </c>
      <c r="P258" s="194">
        <f t="shared" ref="P258:P260" si="8">SUMIF($G$9:$G$251,F258,$Q$9:$Q$251)</f>
        <v>1471958.5599999996</v>
      </c>
      <c r="Q258" s="195">
        <f t="shared" ref="Q258:Q260" si="9">SUMIF($G$9:$G$251,F258,$R$9:$R$251)</f>
        <v>25</v>
      </c>
      <c r="R258" s="194">
        <f t="shared" ref="R258:R260" si="10">SUMIF($G$9:$G$251,F258,$S$9:$S$251)</f>
        <v>113024.8</v>
      </c>
      <c r="S258" s="194">
        <f t="shared" ref="S258:T258" si="11">SUMIF($G$9:$G$251,$F$258,T9:T251)</f>
        <v>109800.00000000001</v>
      </c>
      <c r="T258" s="194">
        <f t="shared" si="11"/>
        <v>3224.8</v>
      </c>
      <c r="U258" s="194">
        <f t="shared" ref="U258:U260" si="12">S258+M258</f>
        <v>109800.00000000001</v>
      </c>
      <c r="V258" s="196">
        <f t="shared" ref="V258:V260" si="13">J258-M258+P258-S258</f>
        <v>1383401.9999999995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34</v>
      </c>
      <c r="H259" s="193">
        <f t="shared" si="14"/>
        <v>3</v>
      </c>
      <c r="I259" s="193">
        <f t="shared" si="14"/>
        <v>3</v>
      </c>
      <c r="J259" s="194">
        <f t="shared" si="4"/>
        <v>3842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39</v>
      </c>
      <c r="P259" s="194">
        <f t="shared" si="8"/>
        <v>103718.73000000001</v>
      </c>
      <c r="Q259" s="195">
        <f t="shared" si="9"/>
        <v>0</v>
      </c>
      <c r="R259" s="194">
        <f t="shared" si="10"/>
        <v>0</v>
      </c>
      <c r="S259" s="194">
        <f t="shared" ref="S259:T259" si="16">SUMIF($G$9:$G$251,$F$259,T9:T251)</f>
        <v>0</v>
      </c>
      <c r="T259" s="194">
        <f t="shared" si="16"/>
        <v>0</v>
      </c>
      <c r="U259" s="194">
        <f t="shared" si="12"/>
        <v>0</v>
      </c>
      <c r="V259" s="196">
        <f t="shared" si="13"/>
        <v>107560.73000000001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8</v>
      </c>
      <c r="H260" s="193">
        <f t="shared" si="17"/>
        <v>0</v>
      </c>
      <c r="I260" s="193">
        <f t="shared" si="17"/>
        <v>0</v>
      </c>
      <c r="J260" s="194">
        <f t="shared" si="4"/>
        <v>0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9</v>
      </c>
      <c r="P260" s="194">
        <f t="shared" si="8"/>
        <v>27642.400000000001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27642.400000000001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131</v>
      </c>
      <c r="H261" s="197">
        <f t="shared" si="20"/>
        <v>13</v>
      </c>
      <c r="I261" s="197">
        <f t="shared" si="20"/>
        <v>14</v>
      </c>
      <c r="J261" s="198">
        <f t="shared" si="20"/>
        <v>25085.440000000002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559</v>
      </c>
      <c r="P261" s="198">
        <f t="shared" si="20"/>
        <v>1603319.6899999995</v>
      </c>
      <c r="Q261" s="200">
        <f t="shared" si="20"/>
        <v>25</v>
      </c>
      <c r="R261" s="198">
        <f t="shared" si="20"/>
        <v>113024.8</v>
      </c>
      <c r="S261" s="198">
        <f t="shared" si="20"/>
        <v>109800.00000000001</v>
      </c>
      <c r="T261" s="198">
        <f t="shared" si="20"/>
        <v>3224.8</v>
      </c>
      <c r="U261" s="198">
        <f t="shared" si="20"/>
        <v>109800.00000000001</v>
      </c>
      <c r="V261" s="198">
        <f t="shared" si="20"/>
        <v>1518605.1299999994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2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13</v>
      </c>
      <c r="I9" s="62">
        <v>8</v>
      </c>
      <c r="J9" s="62">
        <v>9</v>
      </c>
      <c r="K9" s="62">
        <v>15040.91</v>
      </c>
      <c r="L9" s="205">
        <v>6</v>
      </c>
      <c r="M9" s="26">
        <f t="shared" ref="M9:M33" si="0">N9+O9</f>
        <v>7306.03</v>
      </c>
      <c r="N9" s="30">
        <v>7306.03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21</v>
      </c>
      <c r="K13" s="79">
        <v>59866.44</v>
      </c>
      <c r="L13" s="268">
        <v>17</v>
      </c>
      <c r="M13" s="81">
        <f t="shared" si="0"/>
        <v>50876.52</v>
      </c>
      <c r="N13" s="79">
        <v>50876.52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26</v>
      </c>
      <c r="I15" s="62">
        <v>26</v>
      </c>
      <c r="J15" s="62">
        <v>42</v>
      </c>
      <c r="K15" s="30">
        <v>101976.28</v>
      </c>
      <c r="L15" s="205">
        <v>36</v>
      </c>
      <c r="M15" s="26">
        <f t="shared" si="0"/>
        <v>89619.08</v>
      </c>
      <c r="N15" s="30">
        <v>89619.08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6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4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8</v>
      </c>
      <c r="Q18" s="209">
        <v>40605.910000000003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14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10</v>
      </c>
      <c r="I21" s="266">
        <v>10</v>
      </c>
      <c r="J21" s="266">
        <v>14</v>
      </c>
      <c r="K21" s="79">
        <v>22307.65</v>
      </c>
      <c r="L21" s="268">
        <v>13</v>
      </c>
      <c r="M21" s="81">
        <f t="shared" si="0"/>
        <v>21314.18</v>
      </c>
      <c r="N21" s="79">
        <v>21314.18</v>
      </c>
      <c r="O21" s="269"/>
      <c r="P21" s="267">
        <v>11</v>
      </c>
      <c r="Q21" s="79">
        <v>26007.8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16</v>
      </c>
      <c r="I23" s="203">
        <v>16</v>
      </c>
      <c r="J23" s="203">
        <v>26</v>
      </c>
      <c r="K23" s="65">
        <v>38432.639999999999</v>
      </c>
      <c r="L23" s="224">
        <v>26</v>
      </c>
      <c r="M23" s="50">
        <f t="shared" si="0"/>
        <v>38432.639999999999</v>
      </c>
      <c r="N23" s="65">
        <v>38432.639999999999</v>
      </c>
      <c r="O23" s="225"/>
      <c r="P23" s="53">
        <v>15</v>
      </c>
      <c r="Q23" s="30">
        <v>22822.54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15</v>
      </c>
      <c r="I25" s="62">
        <v>11</v>
      </c>
      <c r="J25" s="62">
        <v>11</v>
      </c>
      <c r="K25" s="62">
        <v>9196.92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10</v>
      </c>
      <c r="Q25" s="30">
        <v>19217.37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7">
        <v>1</v>
      </c>
      <c r="J26" s="37">
        <v>1</v>
      </c>
      <c r="K26" s="68">
        <v>1986.93</v>
      </c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14</v>
      </c>
      <c r="I27" s="203">
        <v>13</v>
      </c>
      <c r="J27" s="203">
        <v>21</v>
      </c>
      <c r="K27" s="65">
        <v>38849.480000000003</v>
      </c>
      <c r="L27" s="224">
        <v>20</v>
      </c>
      <c r="M27" s="50">
        <f t="shared" si="0"/>
        <v>38247.379999999997</v>
      </c>
      <c r="N27" s="65">
        <v>38247.379999999997</v>
      </c>
      <c r="O27" s="225"/>
      <c r="P27" s="53">
        <v>14</v>
      </c>
      <c r="Q27" s="30">
        <v>23941.11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2</v>
      </c>
      <c r="J28" s="130">
        <v>2</v>
      </c>
      <c r="K28" s="114">
        <v>2609.1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9</v>
      </c>
      <c r="Q28" s="68">
        <v>26762.799999999999</v>
      </c>
      <c r="R28" s="285">
        <v>9</v>
      </c>
      <c r="S28" s="39">
        <f t="shared" si="1"/>
        <v>27294.600000000002</v>
      </c>
      <c r="T28" s="68">
        <f>4302+3533.6+960.5+5240.8+4226.2+5820.3+2007+1204.2</f>
        <v>27294.600000000002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6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14</v>
      </c>
      <c r="I33" s="203">
        <v>6</v>
      </c>
      <c r="J33" s="203">
        <v>7</v>
      </c>
      <c r="K33" s="65">
        <v>15270.19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10</v>
      </c>
      <c r="Q33" s="65">
        <v>29872.12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4</v>
      </c>
      <c r="I43" s="62">
        <v>3</v>
      </c>
      <c r="J43" s="62">
        <v>5</v>
      </c>
      <c r="K43" s="30">
        <v>10750.36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17</v>
      </c>
      <c r="I45" s="266">
        <v>16</v>
      </c>
      <c r="J45" s="266">
        <v>19</v>
      </c>
      <c r="K45" s="79">
        <v>30491.93</v>
      </c>
      <c r="L45" s="268">
        <v>18</v>
      </c>
      <c r="M45" s="81">
        <f t="shared" si="2"/>
        <v>29884.81</v>
      </c>
      <c r="N45" s="79">
        <v>29884.81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23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9</v>
      </c>
      <c r="I50" s="266">
        <v>5</v>
      </c>
      <c r="J50" s="266">
        <v>6</v>
      </c>
      <c r="K50" s="79">
        <v>8522.93</v>
      </c>
      <c r="L50" s="268">
        <v>4</v>
      </c>
      <c r="M50" s="81">
        <f t="shared" si="2"/>
        <v>5771.33</v>
      </c>
      <c r="N50" s="79">
        <v>5771.33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2</v>
      </c>
      <c r="I53" s="86"/>
      <c r="J53" s="86"/>
      <c r="K53" s="87"/>
      <c r="L53" s="88"/>
      <c r="M53" s="39">
        <f t="shared" si="2"/>
        <v>0</v>
      </c>
      <c r="N53" s="87"/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3</v>
      </c>
      <c r="I56" s="96"/>
      <c r="J56" s="96"/>
      <c r="K56" s="81"/>
      <c r="L56" s="80"/>
      <c r="M56" s="81">
        <f t="shared" si="2"/>
        <v>0</v>
      </c>
      <c r="N56" s="81"/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6</v>
      </c>
      <c r="I57" s="130">
        <v>5</v>
      </c>
      <c r="J57" s="130">
        <v>5</v>
      </c>
      <c r="K57" s="114">
        <v>13125.78</v>
      </c>
      <c r="L57" s="270">
        <v>3</v>
      </c>
      <c r="M57" s="43">
        <f t="shared" si="2"/>
        <v>5619.5999999999995</v>
      </c>
      <c r="N57" s="43">
        <f>1605.6+1806.3+2207.7</f>
        <v>5619.5999999999995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3</v>
      </c>
      <c r="M58" s="26">
        <f t="shared" si="2"/>
        <v>4488.49</v>
      </c>
      <c r="N58" s="30">
        <v>4488.49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5</v>
      </c>
      <c r="I59" s="37">
        <v>1</v>
      </c>
      <c r="J59" s="37">
        <v>1</v>
      </c>
      <c r="K59" s="68">
        <v>2007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8</v>
      </c>
      <c r="Q59" s="68">
        <v>16057.33</v>
      </c>
      <c r="R59" s="285">
        <v>13</v>
      </c>
      <c r="S59" s="39">
        <f t="shared" si="3"/>
        <v>28376.030000000002</v>
      </c>
      <c r="T59" s="68">
        <f>2209.2+576.3+13639.1+1921+1921+3438.83+3265.7+1404.9</f>
        <v>28376.030000000002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8</v>
      </c>
      <c r="I60" s="203">
        <v>6</v>
      </c>
      <c r="J60" s="203">
        <v>9</v>
      </c>
      <c r="K60" s="65">
        <v>17478.27</v>
      </c>
      <c r="L60" s="224">
        <v>7</v>
      </c>
      <c r="M60" s="50">
        <f t="shared" si="2"/>
        <v>12948.87</v>
      </c>
      <c r="N60" s="65">
        <v>12948.87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18</v>
      </c>
      <c r="I62" s="62">
        <v>16</v>
      </c>
      <c r="J62" s="62">
        <v>18</v>
      </c>
      <c r="K62" s="30">
        <v>33307.97</v>
      </c>
      <c r="L62" s="205">
        <v>16</v>
      </c>
      <c r="M62" s="26">
        <f t="shared" si="2"/>
        <v>29461.16</v>
      </c>
      <c r="N62" s="30">
        <v>29461.16</v>
      </c>
      <c r="O62" s="225"/>
      <c r="P62" s="53">
        <v>6</v>
      </c>
      <c r="Q62" s="30">
        <v>45189.01</v>
      </c>
      <c r="R62" s="205">
        <v>6</v>
      </c>
      <c r="S62" s="26">
        <f t="shared" si="3"/>
        <v>45189.01</v>
      </c>
      <c r="T62" s="30">
        <v>45189.01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6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31</v>
      </c>
      <c r="I64" s="203">
        <v>25</v>
      </c>
      <c r="J64" s="203">
        <v>38</v>
      </c>
      <c r="K64" s="65">
        <v>70731.710000000006</v>
      </c>
      <c r="L64" s="224">
        <v>38</v>
      </c>
      <c r="M64" s="50">
        <f t="shared" si="2"/>
        <v>70731.710000000006</v>
      </c>
      <c r="N64" s="65">
        <v>70731.710000000006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13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6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8</v>
      </c>
      <c r="I68" s="62">
        <v>4</v>
      </c>
      <c r="J68" s="62">
        <v>5</v>
      </c>
      <c r="K68" s="30">
        <v>9142.82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8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7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8</v>
      </c>
      <c r="I74" s="203">
        <v>2</v>
      </c>
      <c r="J74" s="203">
        <v>2</v>
      </c>
      <c r="K74" s="65">
        <v>2391.54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88949.07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3</v>
      </c>
      <c r="S75" s="43">
        <f t="shared" si="3"/>
        <v>7115.8</v>
      </c>
      <c r="T75" s="114">
        <f>2881.5+2393.3+1841</f>
        <v>7115.8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15</v>
      </c>
      <c r="I76" s="62">
        <v>11</v>
      </c>
      <c r="J76" s="62">
        <v>14</v>
      </c>
      <c r="K76" s="30">
        <v>36762.04</v>
      </c>
      <c r="L76" s="205">
        <v>12</v>
      </c>
      <c r="M76" s="26">
        <f t="shared" si="2"/>
        <v>34420.35</v>
      </c>
      <c r="N76" s="30">
        <v>34420.35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8"/>
      <c r="J77" s="38"/>
      <c r="K77" s="39"/>
      <c r="L77" s="40"/>
      <c r="M77" s="39">
        <f t="shared" si="2"/>
        <v>0</v>
      </c>
      <c r="N77" s="39"/>
      <c r="O77" s="41"/>
      <c r="P77" s="69"/>
      <c r="Q77" s="39"/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7</v>
      </c>
      <c r="J80" s="62">
        <v>11</v>
      </c>
      <c r="K80" s="30">
        <v>18453.95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8</v>
      </c>
      <c r="J82" s="203">
        <v>13</v>
      </c>
      <c r="K82" s="158">
        <v>34489.42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11</v>
      </c>
      <c r="Q82" s="65">
        <v>42582.42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45</v>
      </c>
      <c r="I84" s="62">
        <v>42</v>
      </c>
      <c r="J84" s="62">
        <v>63</v>
      </c>
      <c r="K84" s="30">
        <v>123601.32</v>
      </c>
      <c r="L84" s="205">
        <v>48</v>
      </c>
      <c r="M84" s="26">
        <f t="shared" si="4"/>
        <v>91477.55</v>
      </c>
      <c r="N84" s="30">
        <v>91477.55</v>
      </c>
      <c r="O84" s="225"/>
      <c r="P84" s="29">
        <v>26</v>
      </c>
      <c r="Q84" s="30">
        <v>88379.58</v>
      </c>
      <c r="R84" s="205">
        <v>24</v>
      </c>
      <c r="S84" s="26">
        <f t="shared" si="5"/>
        <v>80699.88</v>
      </c>
      <c r="T84" s="30">
        <v>80699.88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8</v>
      </c>
      <c r="I86" s="62">
        <v>6</v>
      </c>
      <c r="J86" s="62">
        <v>6</v>
      </c>
      <c r="K86" s="30">
        <v>11717.47</v>
      </c>
      <c r="L86" s="205">
        <v>5</v>
      </c>
      <c r="M86" s="26">
        <f t="shared" si="4"/>
        <v>11316.07</v>
      </c>
      <c r="N86" s="30">
        <v>11316.07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5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1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15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2</v>
      </c>
      <c r="I96" s="62">
        <v>1</v>
      </c>
      <c r="J96" s="62">
        <v>1</v>
      </c>
      <c r="K96" s="30">
        <v>1204.2</v>
      </c>
      <c r="L96" s="27"/>
      <c r="M96" s="26">
        <f t="shared" si="4"/>
        <v>0</v>
      </c>
      <c r="N96" s="26"/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21</v>
      </c>
      <c r="I98" s="62">
        <v>15</v>
      </c>
      <c r="J98" s="62">
        <v>21</v>
      </c>
      <c r="K98" s="30">
        <v>33746.78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8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7</v>
      </c>
      <c r="I100" s="203">
        <v>3</v>
      </c>
      <c r="J100" s="203">
        <v>3</v>
      </c>
      <c r="K100" s="65">
        <v>6560.64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3</v>
      </c>
      <c r="K102" s="30">
        <v>7389.22</v>
      </c>
      <c r="L102" s="205">
        <v>3</v>
      </c>
      <c r="M102" s="26">
        <f t="shared" ref="M102:M106" si="7">N102+O102</f>
        <v>7389.22</v>
      </c>
      <c r="N102" s="30">
        <v>7389.22</v>
      </c>
      <c r="O102" s="31"/>
      <c r="P102" s="53">
        <v>8</v>
      </c>
      <c r="Q102" s="30">
        <v>39013.760000000002</v>
      </c>
      <c r="R102" s="205">
        <v>8</v>
      </c>
      <c r="S102" s="26">
        <f t="shared" si="6"/>
        <v>39013.760000000002</v>
      </c>
      <c r="T102" s="30">
        <v>39013.760000000002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03"/>
      <c r="Q103" s="43"/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5</v>
      </c>
      <c r="J106" s="62">
        <v>7</v>
      </c>
      <c r="K106" s="30">
        <v>19153.98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27</v>
      </c>
      <c r="Q106" s="30">
        <v>93034.72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8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14</v>
      </c>
      <c r="I110" s="62">
        <v>10</v>
      </c>
      <c r="J110" s="62">
        <v>15</v>
      </c>
      <c r="K110" s="30">
        <v>28182.9</v>
      </c>
      <c r="L110" s="205">
        <v>14</v>
      </c>
      <c r="M110" s="26">
        <f t="shared" si="8"/>
        <v>26539.61</v>
      </c>
      <c r="N110" s="30">
        <v>26539.61</v>
      </c>
      <c r="O110" s="241"/>
      <c r="P110" s="214">
        <v>13</v>
      </c>
      <c r="Q110" s="30">
        <v>57575.81</v>
      </c>
      <c r="R110" s="205">
        <v>13</v>
      </c>
      <c r="S110" s="26">
        <f t="shared" si="9"/>
        <v>57575.81</v>
      </c>
      <c r="T110" s="30">
        <v>57575.81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9</v>
      </c>
      <c r="I111" s="286">
        <v>6</v>
      </c>
      <c r="J111" s="286">
        <v>6</v>
      </c>
      <c r="K111" s="287">
        <v>13739.4</v>
      </c>
      <c r="L111" s="315">
        <v>6</v>
      </c>
      <c r="M111" s="39">
        <f t="shared" si="8"/>
        <v>13739.4</v>
      </c>
      <c r="N111" s="39">
        <f>1921+3073.6+1921+3010.5+1404.9+2408.4</f>
        <v>13739.4</v>
      </c>
      <c r="O111" s="41"/>
      <c r="P111" s="217">
        <v>4</v>
      </c>
      <c r="Q111" s="37">
        <v>19940.650000000001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12</v>
      </c>
      <c r="I114" s="203">
        <v>6</v>
      </c>
      <c r="J114" s="203">
        <v>7</v>
      </c>
      <c r="K114" s="65">
        <v>11419.72</v>
      </c>
      <c r="L114" s="224">
        <v>7</v>
      </c>
      <c r="M114" s="50">
        <f t="shared" si="8"/>
        <v>11419.72</v>
      </c>
      <c r="N114" s="65">
        <v>11419.72</v>
      </c>
      <c r="O114" s="225"/>
      <c r="P114" s="108">
        <v>9</v>
      </c>
      <c r="Q114" s="65">
        <v>19656.830000000002</v>
      </c>
      <c r="R114" s="224">
        <v>9</v>
      </c>
      <c r="S114" s="50">
        <f t="shared" si="9"/>
        <v>19656.830000000002</v>
      </c>
      <c r="T114" s="65">
        <v>19656.830000000002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9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7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6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18</v>
      </c>
      <c r="J118" s="203">
        <v>21</v>
      </c>
      <c r="K118" s="65">
        <v>47812.95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21</v>
      </c>
      <c r="Q118" s="65">
        <v>73748.09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14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7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3</v>
      </c>
      <c r="I125" s="203">
        <v>3</v>
      </c>
      <c r="J125" s="203">
        <v>4</v>
      </c>
      <c r="K125" s="65">
        <v>5417.06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38019.17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13</v>
      </c>
      <c r="I127" s="62">
        <v>10</v>
      </c>
      <c r="J127" s="62">
        <v>12</v>
      </c>
      <c r="K127" s="30">
        <v>29389.23</v>
      </c>
      <c r="L127" s="205">
        <v>12</v>
      </c>
      <c r="M127" s="26">
        <f t="shared" si="10"/>
        <v>29389.23</v>
      </c>
      <c r="N127" s="30">
        <v>29389.23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19</v>
      </c>
      <c r="I129" s="62">
        <v>18</v>
      </c>
      <c r="J129" s="62">
        <v>26</v>
      </c>
      <c r="K129" s="30">
        <v>66481.97</v>
      </c>
      <c r="L129" s="205">
        <v>22</v>
      </c>
      <c r="M129" s="26">
        <f t="shared" si="10"/>
        <v>45233.25</v>
      </c>
      <c r="N129" s="30">
        <v>45233.25</v>
      </c>
      <c r="O129" s="225"/>
      <c r="P129" s="53">
        <v>11</v>
      </c>
      <c r="Q129" s="30">
        <v>31033.06</v>
      </c>
      <c r="R129" s="205">
        <v>10</v>
      </c>
      <c r="S129" s="26">
        <f t="shared" si="9"/>
        <v>25611.57</v>
      </c>
      <c r="T129" s="30">
        <v>25611.57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8</v>
      </c>
      <c r="I133" s="62">
        <v>7</v>
      </c>
      <c r="J133" s="62">
        <v>11</v>
      </c>
      <c r="K133" s="30">
        <v>20042.34</v>
      </c>
      <c r="L133" s="205">
        <v>10</v>
      </c>
      <c r="M133" s="26">
        <f t="shared" si="10"/>
        <v>16030.26</v>
      </c>
      <c r="N133" s="30">
        <v>16030.26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19</v>
      </c>
      <c r="I135" s="203">
        <v>12</v>
      </c>
      <c r="J135" s="203">
        <v>18</v>
      </c>
      <c r="K135" s="65">
        <v>44935.58</v>
      </c>
      <c r="L135" s="224">
        <v>18</v>
      </c>
      <c r="M135" s="50">
        <f t="shared" si="10"/>
        <v>44935.58</v>
      </c>
      <c r="N135" s="65">
        <v>44935.58</v>
      </c>
      <c r="O135" s="225"/>
      <c r="P135" s="108">
        <v>31</v>
      </c>
      <c r="Q135" s="65">
        <v>116106.08</v>
      </c>
      <c r="R135" s="224">
        <v>30</v>
      </c>
      <c r="S135" s="50">
        <f t="shared" si="9"/>
        <v>114879.71</v>
      </c>
      <c r="T135" s="65">
        <v>114879.71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17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34</v>
      </c>
      <c r="I139" s="62">
        <v>26</v>
      </c>
      <c r="J139" s="62">
        <v>27</v>
      </c>
      <c r="K139" s="30">
        <v>42904.28</v>
      </c>
      <c r="L139" s="205">
        <v>23</v>
      </c>
      <c r="M139" s="26">
        <f t="shared" si="10"/>
        <v>37589.230000000003</v>
      </c>
      <c r="N139" s="30">
        <v>37589.230000000003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6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56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27</v>
      </c>
      <c r="I145" s="266">
        <v>21</v>
      </c>
      <c r="J145" s="266">
        <v>31</v>
      </c>
      <c r="K145" s="79">
        <v>63666.23</v>
      </c>
      <c r="L145" s="268">
        <v>31</v>
      </c>
      <c r="M145" s="81">
        <f t="shared" si="11"/>
        <v>63666.23</v>
      </c>
      <c r="N145" s="79">
        <v>63666.23</v>
      </c>
      <c r="O145" s="269"/>
      <c r="P145" s="267">
        <v>20</v>
      </c>
      <c r="Q145" s="79">
        <v>83320.600000000006</v>
      </c>
      <c r="R145" s="268">
        <v>19</v>
      </c>
      <c r="S145" s="81">
        <f t="shared" si="12"/>
        <v>83320.600000000006</v>
      </c>
      <c r="T145" s="79">
        <v>83320.600000000006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18</v>
      </c>
      <c r="I147" s="203">
        <v>15</v>
      </c>
      <c r="J147" s="203">
        <v>18</v>
      </c>
      <c r="K147" s="65">
        <v>47249.1</v>
      </c>
      <c r="L147" s="224">
        <v>15</v>
      </c>
      <c r="M147" s="50">
        <f t="shared" si="11"/>
        <v>36210.6</v>
      </c>
      <c r="N147" s="65">
        <v>36210.6</v>
      </c>
      <c r="O147" s="225"/>
      <c r="P147" s="108">
        <v>57</v>
      </c>
      <c r="Q147" s="65">
        <v>338665.33</v>
      </c>
      <c r="R147" s="224">
        <v>56</v>
      </c>
      <c r="S147" s="50">
        <f t="shared" si="12"/>
        <v>335574.55</v>
      </c>
      <c r="T147" s="65">
        <v>335574.55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135"/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156"/>
      <c r="Q148" s="129"/>
      <c r="R148" s="128"/>
      <c r="S148" s="129">
        <f t="shared" si="12"/>
        <v>0</v>
      </c>
      <c r="T148" s="129"/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si="12"/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2</v>
      </c>
      <c r="J150" s="62">
        <v>2</v>
      </c>
      <c r="K150" s="30">
        <v>1267.28</v>
      </c>
      <c r="L150" s="205">
        <v>1</v>
      </c>
      <c r="M150" s="26">
        <f t="shared" si="11"/>
        <v>384.2</v>
      </c>
      <c r="N150" s="30">
        <v>384.2</v>
      </c>
      <c r="O150" s="225"/>
      <c r="P150" s="53">
        <v>15</v>
      </c>
      <c r="Q150" s="30">
        <v>10414.84</v>
      </c>
      <c r="R150" s="205">
        <v>4</v>
      </c>
      <c r="S150" s="26">
        <f t="shared" si="12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6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3</v>
      </c>
      <c r="Q151" s="68">
        <v>7062.2</v>
      </c>
      <c r="R151" s="285">
        <v>3</v>
      </c>
      <c r="S151" s="39">
        <f t="shared" si="12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11</v>
      </c>
      <c r="J152" s="203">
        <v>16</v>
      </c>
      <c r="K152" s="65">
        <v>32617.3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2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4</v>
      </c>
      <c r="J153" s="37">
        <v>4</v>
      </c>
      <c r="K153" s="68">
        <v>5174.6000000000004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2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2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2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2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8</v>
      </c>
      <c r="I157" s="130">
        <v>5</v>
      </c>
      <c r="J157" s="130">
        <v>5</v>
      </c>
      <c r="K157" s="114">
        <v>7800.08</v>
      </c>
      <c r="L157" s="270">
        <v>5</v>
      </c>
      <c r="M157" s="114">
        <v>7800.08</v>
      </c>
      <c r="N157" s="114">
        <v>7800.08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14</v>
      </c>
      <c r="I158" s="62">
        <v>10</v>
      </c>
      <c r="J158" s="62">
        <v>13</v>
      </c>
      <c r="K158" s="30">
        <v>21251.69</v>
      </c>
      <c r="L158" s="205">
        <v>13</v>
      </c>
      <c r="M158" s="26">
        <f t="shared" ref="M158:M229" si="13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4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15</v>
      </c>
      <c r="I159" s="271">
        <v>10</v>
      </c>
      <c r="J159" s="271">
        <v>10</v>
      </c>
      <c r="K159" s="239">
        <v>17440.900000000001</v>
      </c>
      <c r="L159" s="316">
        <v>9</v>
      </c>
      <c r="M159" s="129">
        <f t="shared" si="13"/>
        <v>17139.849999999999</v>
      </c>
      <c r="N159" s="129">
        <f>1728.9+2305.2+576.3+4802.5+1404.9+1404.9+1404.9+1103.85+2408.4</f>
        <v>17139.849999999999</v>
      </c>
      <c r="O159" s="45"/>
      <c r="P159" s="238">
        <v>9</v>
      </c>
      <c r="Q159" s="239">
        <v>31223.56</v>
      </c>
      <c r="R159" s="316">
        <v>10</v>
      </c>
      <c r="S159" s="129">
        <f t="shared" si="14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3"/>
        <v>0</v>
      </c>
      <c r="N160" s="43"/>
      <c r="O160" s="41"/>
      <c r="P160" s="103"/>
      <c r="Q160" s="43"/>
      <c r="R160" s="44"/>
      <c r="S160" s="43">
        <f t="shared" si="14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11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3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4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3"/>
        <v>0</v>
      </c>
      <c r="N162" s="39"/>
      <c r="O162" s="41"/>
      <c r="P162" s="59"/>
      <c r="Q162" s="39"/>
      <c r="R162" s="40"/>
      <c r="S162" s="39">
        <f t="shared" si="14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11</v>
      </c>
      <c r="J163" s="203">
        <v>12</v>
      </c>
      <c r="K163" s="65">
        <v>16411.849999999999</v>
      </c>
      <c r="L163" s="224">
        <v>9</v>
      </c>
      <c r="M163" s="50">
        <f t="shared" si="13"/>
        <v>11430.48</v>
      </c>
      <c r="N163" s="65">
        <v>11430.48</v>
      </c>
      <c r="O163" s="225"/>
      <c r="P163" s="108">
        <v>7</v>
      </c>
      <c r="Q163" s="65">
        <v>51817.59</v>
      </c>
      <c r="R163" s="224">
        <v>6</v>
      </c>
      <c r="S163" s="50">
        <f t="shared" si="14"/>
        <v>33605.230000000003</v>
      </c>
      <c r="T163" s="65">
        <v>33605.230000000003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5</v>
      </c>
      <c r="J164" s="246">
        <v>5</v>
      </c>
      <c r="K164" s="158">
        <v>10648.6</v>
      </c>
      <c r="L164" s="317">
        <v>4</v>
      </c>
      <c r="M164" s="142">
        <f t="shared" si="13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4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3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15</v>
      </c>
      <c r="I166" s="62">
        <v>9</v>
      </c>
      <c r="J166" s="62">
        <v>11</v>
      </c>
      <c r="K166" s="30">
        <v>22729.13</v>
      </c>
      <c r="L166" s="205">
        <v>9</v>
      </c>
      <c r="M166" s="26">
        <f t="shared" si="13"/>
        <v>16002.33</v>
      </c>
      <c r="N166" s="30">
        <v>16002.33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5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4</v>
      </c>
      <c r="J167" s="37">
        <v>4</v>
      </c>
      <c r="K167" s="68">
        <v>5042.7</v>
      </c>
      <c r="L167" s="285">
        <v>5</v>
      </c>
      <c r="M167" s="39">
        <f t="shared" si="13"/>
        <v>5042.7000000000007</v>
      </c>
      <c r="N167" s="39">
        <f>576.3+1716.8+1344.7+1404.9</f>
        <v>5042.7000000000007</v>
      </c>
      <c r="O167" s="41"/>
      <c r="P167" s="115">
        <v>2</v>
      </c>
      <c r="Q167" s="68">
        <v>3265.7</v>
      </c>
      <c r="R167" s="285">
        <v>2</v>
      </c>
      <c r="S167" s="39">
        <f t="shared" si="15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3"/>
        <v>19508.22</v>
      </c>
      <c r="N168" s="65">
        <v>19508.22</v>
      </c>
      <c r="O168" s="31"/>
      <c r="P168" s="108">
        <v>9</v>
      </c>
      <c r="Q168" s="65">
        <v>21231.99</v>
      </c>
      <c r="R168" s="224">
        <v>9</v>
      </c>
      <c r="S168" s="50">
        <f t="shared" si="15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6</v>
      </c>
      <c r="I169" s="130">
        <v>5</v>
      </c>
      <c r="J169" s="130">
        <v>5</v>
      </c>
      <c r="K169" s="114">
        <v>18356.64</v>
      </c>
      <c r="L169" s="270">
        <v>7</v>
      </c>
      <c r="M169" s="43">
        <f t="shared" si="13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5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3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5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3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8</v>
      </c>
      <c r="S171" s="43">
        <f t="shared" si="15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15</v>
      </c>
      <c r="I172" s="62">
        <v>13</v>
      </c>
      <c r="J172" s="62">
        <v>16</v>
      </c>
      <c r="K172" s="30">
        <v>45564.83</v>
      </c>
      <c r="L172" s="205">
        <v>11</v>
      </c>
      <c r="M172" s="26">
        <f t="shared" si="13"/>
        <v>24333.17</v>
      </c>
      <c r="N172" s="30">
        <v>24333.17</v>
      </c>
      <c r="O172" s="159"/>
      <c r="P172" s="53">
        <v>4</v>
      </c>
      <c r="Q172" s="30">
        <v>31835.37</v>
      </c>
      <c r="R172" s="205">
        <v>4</v>
      </c>
      <c r="S172" s="26">
        <f t="shared" si="15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3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5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4</v>
      </c>
      <c r="I174" s="62">
        <v>4</v>
      </c>
      <c r="J174" s="62">
        <v>7</v>
      </c>
      <c r="K174" s="30">
        <v>18567.810000000001</v>
      </c>
      <c r="L174" s="205">
        <v>6</v>
      </c>
      <c r="M174" s="26">
        <f t="shared" si="13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5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3"/>
        <v>0</v>
      </c>
      <c r="N175" s="39"/>
      <c r="O175" s="41"/>
      <c r="P175" s="217"/>
      <c r="Q175" s="68"/>
      <c r="R175" s="285"/>
      <c r="S175" s="39">
        <f t="shared" si="15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8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3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5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3"/>
        <v>0</v>
      </c>
      <c r="N177" s="43"/>
      <c r="O177" s="45"/>
      <c r="P177" s="103"/>
      <c r="Q177" s="43"/>
      <c r="R177" s="44"/>
      <c r="S177" s="43">
        <f t="shared" si="15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3"/>
        <v>524.91</v>
      </c>
      <c r="N178" s="30">
        <v>524.91</v>
      </c>
      <c r="O178" s="241"/>
      <c r="P178" s="53">
        <v>2</v>
      </c>
      <c r="Q178" s="30">
        <v>14444.79</v>
      </c>
      <c r="R178" s="205">
        <v>1</v>
      </c>
      <c r="S178" s="26">
        <f t="shared" si="15"/>
        <v>412.05</v>
      </c>
      <c r="T178" s="30">
        <v>412.05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3"/>
        <v>0</v>
      </c>
      <c r="N179" s="211"/>
      <c r="O179" s="212"/>
      <c r="P179" s="273"/>
      <c r="Q179" s="211"/>
      <c r="R179" s="210"/>
      <c r="S179" s="211">
        <f t="shared" si="15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5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3"/>
        <v>9442.35</v>
      </c>
      <c r="N180" s="30">
        <v>9442.35</v>
      </c>
      <c r="O180" s="28"/>
      <c r="P180" s="214"/>
      <c r="Q180" s="30"/>
      <c r="R180" s="205"/>
      <c r="S180" s="26">
        <f t="shared" si="15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3"/>
        <v>0</v>
      </c>
      <c r="N181" s="39"/>
      <c r="O181" s="41"/>
      <c r="P181" s="217"/>
      <c r="Q181" s="68"/>
      <c r="R181" s="285"/>
      <c r="S181" s="39">
        <f t="shared" si="15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6</v>
      </c>
      <c r="I182" s="266">
        <v>4</v>
      </c>
      <c r="J182" s="266">
        <v>6</v>
      </c>
      <c r="K182" s="79">
        <v>13766.46</v>
      </c>
      <c r="L182" s="268">
        <v>5</v>
      </c>
      <c r="M182" s="81">
        <f t="shared" si="13"/>
        <v>12387.84</v>
      </c>
      <c r="N182" s="79">
        <v>12387.84</v>
      </c>
      <c r="O182" s="219"/>
      <c r="P182" s="267">
        <v>18</v>
      </c>
      <c r="Q182" s="79">
        <v>50132.05</v>
      </c>
      <c r="R182" s="268">
        <v>16</v>
      </c>
      <c r="S182" s="81">
        <f t="shared" si="15"/>
        <v>44811.49</v>
      </c>
      <c r="T182" s="79">
        <v>44811.49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3"/>
        <v>21489.82</v>
      </c>
      <c r="N183" s="43">
        <f>2497.3+1152.6+5920.02+4595.4+602.1+6722.4</f>
        <v>21489.82</v>
      </c>
      <c r="O183" s="41"/>
      <c r="P183" s="113">
        <v>2</v>
      </c>
      <c r="Q183" s="114">
        <v>7924</v>
      </c>
      <c r="R183" s="270">
        <v>3</v>
      </c>
      <c r="S183" s="43">
        <f t="shared" si="15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12</v>
      </c>
      <c r="I184" s="62">
        <v>9</v>
      </c>
      <c r="J184" s="62">
        <v>9</v>
      </c>
      <c r="K184" s="30">
        <v>29875.67</v>
      </c>
      <c r="L184" s="205">
        <v>9</v>
      </c>
      <c r="M184" s="26">
        <f t="shared" si="13"/>
        <v>29875.67</v>
      </c>
      <c r="N184" s="30">
        <v>29875.67</v>
      </c>
      <c r="O184" s="225"/>
      <c r="P184" s="53">
        <v>12</v>
      </c>
      <c r="Q184" s="30">
        <v>36322.32</v>
      </c>
      <c r="R184" s="205">
        <v>12</v>
      </c>
      <c r="S184" s="26">
        <f t="shared" si="15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1</v>
      </c>
      <c r="J185" s="130">
        <v>1</v>
      </c>
      <c r="K185" s="114">
        <v>2649.24</v>
      </c>
      <c r="L185" s="270">
        <v>1</v>
      </c>
      <c r="M185" s="43">
        <f t="shared" si="13"/>
        <v>2649.24</v>
      </c>
      <c r="N185" s="43">
        <f>2649.24</f>
        <v>2649.24</v>
      </c>
      <c r="O185" s="41"/>
      <c r="P185" s="115">
        <v>8</v>
      </c>
      <c r="Q185" s="68">
        <v>30985.07</v>
      </c>
      <c r="R185" s="285">
        <v>8</v>
      </c>
      <c r="S185" s="39">
        <f t="shared" si="15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22</v>
      </c>
      <c r="I186" s="62">
        <v>21</v>
      </c>
      <c r="J186" s="204">
        <v>29</v>
      </c>
      <c r="K186" s="30">
        <v>49041.25</v>
      </c>
      <c r="L186" s="205">
        <v>26</v>
      </c>
      <c r="M186" s="26">
        <f t="shared" si="13"/>
        <v>43880.75</v>
      </c>
      <c r="N186" s="30">
        <v>43880.75</v>
      </c>
      <c r="O186" s="225"/>
      <c r="P186" s="108">
        <v>23</v>
      </c>
      <c r="Q186" s="65">
        <v>84634.18</v>
      </c>
      <c r="R186" s="224">
        <v>22</v>
      </c>
      <c r="S186" s="50">
        <f t="shared" si="15"/>
        <v>79924.350000000006</v>
      </c>
      <c r="T186" s="65">
        <v>79924.350000000006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2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3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5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1</v>
      </c>
      <c r="J188" s="62">
        <v>1</v>
      </c>
      <c r="K188" s="326">
        <v>662.31</v>
      </c>
      <c r="L188" s="327">
        <v>1</v>
      </c>
      <c r="M188" s="162">
        <f t="shared" si="13"/>
        <v>662.31</v>
      </c>
      <c r="N188" s="326">
        <v>662.31</v>
      </c>
      <c r="O188" s="28"/>
      <c r="P188" s="275"/>
      <c r="Q188" s="26"/>
      <c r="R188" s="27"/>
      <c r="S188" s="26">
        <f t="shared" si="15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5</v>
      </c>
      <c r="I189" s="37">
        <v>1</v>
      </c>
      <c r="J189" s="37">
        <v>1</v>
      </c>
      <c r="K189" s="318">
        <v>1056.22</v>
      </c>
      <c r="L189" s="343">
        <v>1</v>
      </c>
      <c r="M189" s="164">
        <f t="shared" si="13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5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3"/>
        <v>0</v>
      </c>
      <c r="N190" s="293"/>
      <c r="O190" s="82"/>
      <c r="P190" s="295"/>
      <c r="Q190" s="81"/>
      <c r="R190" s="80"/>
      <c r="S190" s="81">
        <f t="shared" si="15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06"/>
      <c r="I191" s="38"/>
      <c r="J191" s="38"/>
      <c r="K191" s="164"/>
      <c r="L191" s="165"/>
      <c r="M191" s="164">
        <f t="shared" si="13"/>
        <v>0</v>
      </c>
      <c r="N191" s="164"/>
      <c r="O191" s="41"/>
      <c r="P191" s="67">
        <v>4</v>
      </c>
      <c r="Q191" s="68">
        <v>19199.810000000001</v>
      </c>
      <c r="R191" s="285">
        <v>4</v>
      </c>
      <c r="S191" s="68">
        <v>19199.810000000001</v>
      </c>
      <c r="T191" s="68">
        <v>19199.810000000001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22</v>
      </c>
      <c r="J192" s="203">
        <v>35</v>
      </c>
      <c r="K192" s="242">
        <v>78396.460000000006</v>
      </c>
      <c r="L192" s="320">
        <v>30</v>
      </c>
      <c r="M192" s="166">
        <f t="shared" si="13"/>
        <v>64711.199999999997</v>
      </c>
      <c r="N192" s="242">
        <v>64711.199999999997</v>
      </c>
      <c r="O192" s="225"/>
      <c r="P192" s="108">
        <v>7</v>
      </c>
      <c r="Q192" s="65">
        <v>41813.410000000003</v>
      </c>
      <c r="R192" s="224">
        <v>7</v>
      </c>
      <c r="S192" s="50">
        <f t="shared" ref="S192:S211" si="16">T192+U192</f>
        <v>41813.410000000003</v>
      </c>
      <c r="T192" s="65">
        <v>41813.410000000003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3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6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5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3"/>
        <v>5891.75</v>
      </c>
      <c r="N194" s="30">
        <v>5891.75</v>
      </c>
      <c r="O194" s="31"/>
      <c r="P194" s="53">
        <v>9</v>
      </c>
      <c r="Q194" s="30">
        <v>23074.77</v>
      </c>
      <c r="R194" s="205">
        <v>8</v>
      </c>
      <c r="S194" s="26">
        <f t="shared" si="16"/>
        <v>19951.68</v>
      </c>
      <c r="T194" s="30">
        <v>19951.68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3"/>
        <v>0</v>
      </c>
      <c r="N195" s="39"/>
      <c r="O195" s="41"/>
      <c r="P195" s="59"/>
      <c r="Q195" s="39"/>
      <c r="R195" s="40"/>
      <c r="S195" s="39">
        <f t="shared" si="16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3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6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1</v>
      </c>
      <c r="I197" s="57"/>
      <c r="J197" s="57"/>
      <c r="K197" s="43"/>
      <c r="L197" s="44"/>
      <c r="M197" s="43">
        <f t="shared" si="13"/>
        <v>0</v>
      </c>
      <c r="N197" s="43"/>
      <c r="O197" s="41"/>
      <c r="P197" s="113">
        <v>1</v>
      </c>
      <c r="Q197" s="114">
        <v>0</v>
      </c>
      <c r="R197" s="44"/>
      <c r="S197" s="43">
        <f t="shared" si="16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3"/>
        <v>0</v>
      </c>
      <c r="N198" s="26"/>
      <c r="O198" s="31"/>
      <c r="P198" s="120"/>
      <c r="Q198" s="26"/>
      <c r="R198" s="27"/>
      <c r="S198" s="26">
        <f t="shared" si="16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3"/>
        <v>0</v>
      </c>
      <c r="N199" s="39"/>
      <c r="O199" s="41"/>
      <c r="P199" s="69"/>
      <c r="Q199" s="39"/>
      <c r="R199" s="40"/>
      <c r="S199" s="39">
        <f t="shared" si="16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10</v>
      </c>
      <c r="M200" s="50">
        <f t="shared" si="13"/>
        <v>26045.17</v>
      </c>
      <c r="N200" s="65">
        <v>26045.17</v>
      </c>
      <c r="O200" s="225"/>
      <c r="P200" s="108">
        <v>10</v>
      </c>
      <c r="Q200" s="65">
        <v>22956.16</v>
      </c>
      <c r="R200" s="224">
        <v>10</v>
      </c>
      <c r="S200" s="50">
        <f t="shared" si="16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3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6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25</v>
      </c>
      <c r="I202" s="203">
        <v>21</v>
      </c>
      <c r="J202" s="203">
        <v>33</v>
      </c>
      <c r="K202" s="65">
        <v>58578.74</v>
      </c>
      <c r="L202" s="224">
        <v>33</v>
      </c>
      <c r="M202" s="50">
        <f t="shared" si="13"/>
        <v>58578.74</v>
      </c>
      <c r="N202" s="65">
        <v>58578.74</v>
      </c>
      <c r="O202" s="225"/>
      <c r="P202" s="108">
        <v>26</v>
      </c>
      <c r="Q202" s="65">
        <v>42356.26</v>
      </c>
      <c r="R202" s="224">
        <v>26</v>
      </c>
      <c r="S202" s="50">
        <f t="shared" si="16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6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3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6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15</v>
      </c>
      <c r="I204" s="62">
        <v>1</v>
      </c>
      <c r="J204" s="62">
        <v>2</v>
      </c>
      <c r="K204" s="30">
        <v>3016.65</v>
      </c>
      <c r="L204" s="205">
        <v>2</v>
      </c>
      <c r="M204" s="26">
        <f t="shared" si="13"/>
        <v>3016.65</v>
      </c>
      <c r="N204" s="30">
        <v>3016.65</v>
      </c>
      <c r="O204" s="31"/>
      <c r="P204" s="53">
        <v>11</v>
      </c>
      <c r="Q204" s="30">
        <v>35207.21</v>
      </c>
      <c r="R204" s="205">
        <v>11</v>
      </c>
      <c r="S204" s="26">
        <f t="shared" si="16"/>
        <v>35207.21</v>
      </c>
      <c r="T204" s="30">
        <v>35207.21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6</v>
      </c>
      <c r="I205" s="38"/>
      <c r="J205" s="38"/>
      <c r="K205" s="39"/>
      <c r="L205" s="40"/>
      <c r="M205" s="39">
        <f t="shared" si="13"/>
        <v>0</v>
      </c>
      <c r="N205" s="39"/>
      <c r="O205" s="41"/>
      <c r="P205" s="59"/>
      <c r="Q205" s="39"/>
      <c r="R205" s="40"/>
      <c r="S205" s="39">
        <f t="shared" si="16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3"/>
        <v>0</v>
      </c>
      <c r="N206" s="50"/>
      <c r="O206" s="31"/>
      <c r="P206" s="123"/>
      <c r="Q206" s="50"/>
      <c r="R206" s="51"/>
      <c r="S206" s="50">
        <f t="shared" si="16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3"/>
        <v>0</v>
      </c>
      <c r="N207" s="50"/>
      <c r="O207" s="45"/>
      <c r="P207" s="123"/>
      <c r="Q207" s="50"/>
      <c r="R207" s="51"/>
      <c r="S207" s="50">
        <f t="shared" si="16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6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6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57"/>
      <c r="J210" s="57"/>
      <c r="K210" s="43"/>
      <c r="L210" s="44"/>
      <c r="M210" s="43">
        <f t="shared" si="13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6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3"/>
        <v>0</v>
      </c>
      <c r="N211" s="26"/>
      <c r="O211" s="31"/>
      <c r="P211" s="99"/>
      <c r="Q211" s="26"/>
      <c r="R211" s="27"/>
      <c r="S211" s="26">
        <f t="shared" si="16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3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2</v>
      </c>
      <c r="J213" s="231">
        <v>2</v>
      </c>
      <c r="K213" s="91">
        <v>1393.86</v>
      </c>
      <c r="L213" s="330">
        <v>1</v>
      </c>
      <c r="M213" s="26">
        <f t="shared" si="13"/>
        <v>301.05</v>
      </c>
      <c r="N213" s="91">
        <v>301.05</v>
      </c>
      <c r="O213" s="94"/>
      <c r="P213" s="329"/>
      <c r="Q213" s="91"/>
      <c r="R213" s="330"/>
      <c r="S213" s="26">
        <f t="shared" ref="S213:S229" si="17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7</v>
      </c>
      <c r="I214" s="37">
        <v>4</v>
      </c>
      <c r="J214" s="37">
        <v>4</v>
      </c>
      <c r="K214" s="68">
        <v>9533.25</v>
      </c>
      <c r="L214" s="285">
        <v>3</v>
      </c>
      <c r="M214" s="87">
        <f t="shared" si="13"/>
        <v>8429.4</v>
      </c>
      <c r="N214" s="39">
        <f>3211.2+2609.1+2609.1</f>
        <v>8429.4</v>
      </c>
      <c r="O214" s="41"/>
      <c r="P214" s="217"/>
      <c r="Q214" s="68"/>
      <c r="R214" s="285"/>
      <c r="S214" s="87">
        <f t="shared" si="17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3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7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3"/>
        <v>0</v>
      </c>
      <c r="N216" s="43"/>
      <c r="O216" s="45"/>
      <c r="P216" s="273"/>
      <c r="Q216" s="211"/>
      <c r="R216" s="210"/>
      <c r="S216" s="211">
        <f t="shared" si="17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3"/>
        <v>6502.43</v>
      </c>
      <c r="N217" s="30">
        <v>6502.43</v>
      </c>
      <c r="O217" s="308"/>
      <c r="P217" s="99"/>
      <c r="Q217" s="26"/>
      <c r="R217" s="27"/>
      <c r="S217" s="26">
        <f t="shared" si="17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3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6</v>
      </c>
      <c r="S218" s="39">
        <f t="shared" si="17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3"/>
        <v>0</v>
      </c>
      <c r="N219" s="50"/>
      <c r="O219" s="31"/>
      <c r="P219" s="277"/>
      <c r="Q219" s="81"/>
      <c r="R219" s="80"/>
      <c r="S219" s="81">
        <f t="shared" si="17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57"/>
      <c r="J220" s="57"/>
      <c r="K220" s="43"/>
      <c r="L220" s="44"/>
      <c r="M220" s="43">
        <f t="shared" si="13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7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24</v>
      </c>
      <c r="I221" s="62">
        <v>21</v>
      </c>
      <c r="J221" s="62">
        <v>29</v>
      </c>
      <c r="K221" s="30">
        <v>66005.97</v>
      </c>
      <c r="L221" s="205">
        <v>29</v>
      </c>
      <c r="M221" s="26">
        <f t="shared" si="13"/>
        <v>66005.97</v>
      </c>
      <c r="N221" s="30">
        <v>66005.97</v>
      </c>
      <c r="O221" s="225"/>
      <c r="P221" s="53">
        <v>23</v>
      </c>
      <c r="Q221" s="30">
        <v>69064.09</v>
      </c>
      <c r="R221" s="205">
        <v>23</v>
      </c>
      <c r="S221" s="26">
        <f t="shared" si="17"/>
        <v>69064.09</v>
      </c>
      <c r="T221" s="30">
        <v>69064.09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3"/>
        <v>0</v>
      </c>
      <c r="N222" s="39"/>
      <c r="O222" s="41"/>
      <c r="P222" s="59"/>
      <c r="Q222" s="39"/>
      <c r="R222" s="40"/>
      <c r="S222" s="39">
        <f t="shared" si="17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3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7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3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2</v>
      </c>
      <c r="S224" s="39">
        <f t="shared" si="17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3"/>
        <v>0</v>
      </c>
      <c r="N225" s="91"/>
      <c r="O225" s="331"/>
      <c r="P225" s="329"/>
      <c r="Q225" s="91"/>
      <c r="R225" s="330"/>
      <c r="S225" s="142">
        <f t="shared" si="17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3"/>
        <v>0</v>
      </c>
      <c r="N226" s="209"/>
      <c r="O226" s="234"/>
      <c r="P226" s="262"/>
      <c r="Q226" s="209"/>
      <c r="R226" s="290"/>
      <c r="S226" s="87">
        <f t="shared" si="17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33</v>
      </c>
      <c r="I227" s="62">
        <v>15</v>
      </c>
      <c r="J227" s="62">
        <v>16</v>
      </c>
      <c r="K227" s="30">
        <v>15584.37</v>
      </c>
      <c r="L227" s="205">
        <v>14</v>
      </c>
      <c r="M227" s="26">
        <f t="shared" si="13"/>
        <v>12481.62</v>
      </c>
      <c r="N227" s="30">
        <v>12481.62</v>
      </c>
      <c r="O227" s="269"/>
      <c r="P227" s="53">
        <v>29</v>
      </c>
      <c r="Q227" s="30">
        <v>78523.929999999993</v>
      </c>
      <c r="R227" s="205">
        <v>28</v>
      </c>
      <c r="S227" s="26">
        <f t="shared" si="17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3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7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50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3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7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15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25</v>
      </c>
      <c r="I231" s="203">
        <v>17</v>
      </c>
      <c r="J231" s="203">
        <v>20</v>
      </c>
      <c r="K231" s="65">
        <v>35378.800000000003</v>
      </c>
      <c r="L231" s="224">
        <v>18</v>
      </c>
      <c r="M231" s="50">
        <f>N231+O231</f>
        <v>31994.6</v>
      </c>
      <c r="N231" s="65">
        <v>31994.6</v>
      </c>
      <c r="O231" s="225"/>
      <c r="P231" s="108">
        <v>20</v>
      </c>
      <c r="Q231" s="65">
        <v>71348.61</v>
      </c>
      <c r="R231" s="224">
        <v>19</v>
      </c>
      <c r="S231" s="50">
        <f>T231+U231</f>
        <v>64564.39</v>
      </c>
      <c r="T231" s="65">
        <v>64564.39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7</v>
      </c>
      <c r="I233" s="62">
        <v>5</v>
      </c>
      <c r="J233" s="62">
        <v>5</v>
      </c>
      <c r="K233" s="30">
        <v>8372.27</v>
      </c>
      <c r="L233" s="205">
        <v>3</v>
      </c>
      <c r="M233" s="26">
        <f t="shared" ref="M233:M259" si="18">N233+O233</f>
        <v>1969.94</v>
      </c>
      <c r="N233" s="30">
        <v>1969.94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19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8"/>
        <v>0</v>
      </c>
      <c r="N234" s="43"/>
      <c r="O234" s="41"/>
      <c r="P234" s="103"/>
      <c r="Q234" s="43"/>
      <c r="R234" s="44"/>
      <c r="S234" s="43">
        <f t="shared" si="19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7</v>
      </c>
      <c r="J235" s="62">
        <v>7</v>
      </c>
      <c r="K235" s="30">
        <v>7436.01</v>
      </c>
      <c r="L235" s="205">
        <v>7</v>
      </c>
      <c r="M235" s="26">
        <f t="shared" si="18"/>
        <v>7436.01</v>
      </c>
      <c r="N235" s="30">
        <v>7436.01</v>
      </c>
      <c r="O235" s="31"/>
      <c r="P235" s="29">
        <v>1</v>
      </c>
      <c r="Q235" s="30">
        <v>2466.56</v>
      </c>
      <c r="R235" s="205">
        <v>1</v>
      </c>
      <c r="S235" s="26">
        <f t="shared" si="19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8"/>
        <v>0</v>
      </c>
      <c r="N236" s="39"/>
      <c r="O236" s="41"/>
      <c r="P236" s="69"/>
      <c r="Q236" s="39"/>
      <c r="R236" s="40"/>
      <c r="S236" s="39">
        <f t="shared" si="19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8"/>
        <v>0</v>
      </c>
      <c r="N237" s="81"/>
      <c r="O237" s="82"/>
      <c r="P237" s="295"/>
      <c r="Q237" s="81"/>
      <c r="R237" s="80"/>
      <c r="S237" s="142">
        <f t="shared" si="19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8"/>
        <v>0</v>
      </c>
      <c r="N238" s="211"/>
      <c r="O238" s="212"/>
      <c r="P238" s="284"/>
      <c r="Q238" s="211"/>
      <c r="R238" s="210"/>
      <c r="S238" s="39">
        <f t="shared" si="19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8"/>
        <v>0</v>
      </c>
      <c r="N239" s="26"/>
      <c r="O239" s="28"/>
      <c r="P239" s="29">
        <v>4</v>
      </c>
      <c r="Q239" s="30">
        <v>0</v>
      </c>
      <c r="R239" s="27"/>
      <c r="S239" s="26">
        <f t="shared" si="19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8"/>
        <v>0</v>
      </c>
      <c r="N240" s="211"/>
      <c r="O240" s="212"/>
      <c r="P240" s="284"/>
      <c r="Q240" s="211"/>
      <c r="R240" s="210"/>
      <c r="S240" s="211">
        <f t="shared" si="19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21</v>
      </c>
      <c r="I241" s="62">
        <v>14</v>
      </c>
      <c r="J241" s="62">
        <v>17</v>
      </c>
      <c r="K241" s="30">
        <v>31536.51</v>
      </c>
      <c r="L241" s="205">
        <v>17</v>
      </c>
      <c r="M241" s="26">
        <f t="shared" si="18"/>
        <v>31536.51</v>
      </c>
      <c r="N241" s="30">
        <v>31536.51</v>
      </c>
      <c r="O241" s="28"/>
      <c r="P241" s="214"/>
      <c r="Q241" s="30"/>
      <c r="R241" s="205"/>
      <c r="S241" s="26">
        <f t="shared" si="19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5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8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19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17</v>
      </c>
      <c r="I243" s="266">
        <v>10</v>
      </c>
      <c r="J243" s="266">
        <v>11</v>
      </c>
      <c r="K243" s="79">
        <v>18573.689999999999</v>
      </c>
      <c r="L243" s="268">
        <v>11</v>
      </c>
      <c r="M243" s="81">
        <f t="shared" si="18"/>
        <v>18573.689999999999</v>
      </c>
      <c r="N243" s="79">
        <v>18573.689999999999</v>
      </c>
      <c r="O243" s="219"/>
      <c r="P243" s="267">
        <v>16</v>
      </c>
      <c r="Q243" s="79">
        <v>70880.23</v>
      </c>
      <c r="R243" s="268">
        <v>16</v>
      </c>
      <c r="S243" s="26">
        <f t="shared" si="19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8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19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18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8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12</v>
      </c>
      <c r="S245" s="26">
        <f t="shared" si="19"/>
        <v>75520.89</v>
      </c>
      <c r="T245" s="30">
        <v>75520.89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8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19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8"/>
        <v>0</v>
      </c>
      <c r="N247" s="79"/>
      <c r="O247" s="82"/>
      <c r="P247" s="267"/>
      <c r="Q247" s="79"/>
      <c r="R247" s="268"/>
      <c r="S247" s="142">
        <f t="shared" si="19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5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8"/>
        <v>1324.62</v>
      </c>
      <c r="N248" s="339">
        <v>1324.62</v>
      </c>
      <c r="O248" s="89"/>
      <c r="P248" s="357"/>
      <c r="Q248" s="339"/>
      <c r="R248" s="340"/>
      <c r="S248" s="39">
        <f t="shared" si="19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17</v>
      </c>
      <c r="I249" s="266">
        <v>4</v>
      </c>
      <c r="J249" s="266">
        <v>5</v>
      </c>
      <c r="K249" s="79">
        <v>6598</v>
      </c>
      <c r="L249" s="268">
        <v>5</v>
      </c>
      <c r="M249" s="81">
        <f t="shared" si="18"/>
        <v>6598</v>
      </c>
      <c r="N249" s="79">
        <v>6598</v>
      </c>
      <c r="O249" s="219"/>
      <c r="P249" s="267">
        <v>12</v>
      </c>
      <c r="Q249" s="79">
        <v>23530.12</v>
      </c>
      <c r="R249" s="268">
        <v>12</v>
      </c>
      <c r="S249" s="81">
        <f t="shared" si="19"/>
        <v>23530.12</v>
      </c>
      <c r="T249" s="79">
        <v>23530.12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1</v>
      </c>
      <c r="J250" s="208">
        <v>1</v>
      </c>
      <c r="K250" s="209">
        <v>3073.6</v>
      </c>
      <c r="L250" s="290">
        <v>2</v>
      </c>
      <c r="M250" s="211">
        <f t="shared" si="18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19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11</v>
      </c>
      <c r="I251" s="62">
        <v>8</v>
      </c>
      <c r="J251" s="62">
        <v>13</v>
      </c>
      <c r="K251" s="30">
        <v>16702.03</v>
      </c>
      <c r="L251" s="205">
        <v>13</v>
      </c>
      <c r="M251" s="26">
        <f t="shared" si="18"/>
        <v>16702.03</v>
      </c>
      <c r="N251" s="30">
        <v>16702.03</v>
      </c>
      <c r="O251" s="28"/>
      <c r="P251" s="275"/>
      <c r="Q251" s="26"/>
      <c r="R251" s="27"/>
      <c r="S251" s="26">
        <f t="shared" si="19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8"/>
        <v>0</v>
      </c>
      <c r="N252" s="39"/>
      <c r="O252" s="41"/>
      <c r="P252" s="276"/>
      <c r="Q252" s="39"/>
      <c r="R252" s="40"/>
      <c r="S252" s="39">
        <f t="shared" si="19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3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8"/>
        <v>3158.6</v>
      </c>
      <c r="N253" s="79">
        <v>3158.6</v>
      </c>
      <c r="O253" s="219"/>
      <c r="P253" s="277"/>
      <c r="Q253" s="81"/>
      <c r="R253" s="80"/>
      <c r="S253" s="81">
        <f t="shared" si="19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6</v>
      </c>
      <c r="I254" s="130">
        <v>3</v>
      </c>
      <c r="J254" s="130">
        <v>3</v>
      </c>
      <c r="K254" s="114">
        <v>8675.82</v>
      </c>
      <c r="L254" s="270">
        <v>3</v>
      </c>
      <c r="M254" s="43">
        <f t="shared" si="18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19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8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19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6</v>
      </c>
      <c r="I256" s="57"/>
      <c r="J256" s="57"/>
      <c r="K256" s="43"/>
      <c r="L256" s="44"/>
      <c r="M256" s="43">
        <f t="shared" si="18"/>
        <v>0</v>
      </c>
      <c r="N256" s="43"/>
      <c r="O256" s="41"/>
      <c r="P256" s="113">
        <v>3</v>
      </c>
      <c r="Q256" s="114">
        <v>15773.67</v>
      </c>
      <c r="R256" s="270">
        <v>3</v>
      </c>
      <c r="S256" s="43">
        <f t="shared" si="19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14</v>
      </c>
      <c r="I257" s="62">
        <v>9</v>
      </c>
      <c r="J257" s="62">
        <v>12</v>
      </c>
      <c r="K257" s="30">
        <v>23063.84</v>
      </c>
      <c r="L257" s="205">
        <v>9</v>
      </c>
      <c r="M257" s="26">
        <f t="shared" si="18"/>
        <v>20964.32</v>
      </c>
      <c r="N257" s="30">
        <v>20964.32</v>
      </c>
      <c r="O257" s="31"/>
      <c r="P257" s="53">
        <v>13</v>
      </c>
      <c r="Q257" s="30">
        <v>34864.89</v>
      </c>
      <c r="R257" s="205">
        <v>13</v>
      </c>
      <c r="S257" s="26">
        <f t="shared" si="19"/>
        <v>34864.89</v>
      </c>
      <c r="T257" s="30">
        <v>34864.89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10</v>
      </c>
      <c r="I258" s="37">
        <v>1</v>
      </c>
      <c r="J258" s="37">
        <v>1</v>
      </c>
      <c r="K258" s="68">
        <v>3010</v>
      </c>
      <c r="L258" s="40"/>
      <c r="M258" s="39">
        <f t="shared" si="18"/>
        <v>0</v>
      </c>
      <c r="N258" s="39"/>
      <c r="O258" s="41"/>
      <c r="P258" s="59"/>
      <c r="Q258" s="39"/>
      <c r="R258" s="40"/>
      <c r="S258" s="39">
        <f t="shared" si="19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17</v>
      </c>
      <c r="I259" s="203">
        <v>15</v>
      </c>
      <c r="J259" s="203">
        <v>20</v>
      </c>
      <c r="K259" s="65">
        <v>35824.5</v>
      </c>
      <c r="L259" s="224">
        <v>20</v>
      </c>
      <c r="M259" s="50">
        <f t="shared" si="18"/>
        <v>35824.5</v>
      </c>
      <c r="N259" s="65">
        <v>35824.5</v>
      </c>
      <c r="O259" s="225"/>
      <c r="P259" s="108">
        <v>20</v>
      </c>
      <c r="Q259" s="65">
        <v>57368.51</v>
      </c>
      <c r="R259" s="224">
        <v>20</v>
      </c>
      <c r="S259" s="50">
        <f t="shared" si="19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4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0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1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0"/>
        <v>0</v>
      </c>
      <c r="N262" s="43"/>
      <c r="O262" s="41"/>
      <c r="P262" s="113"/>
      <c r="Q262" s="114"/>
      <c r="R262" s="44"/>
      <c r="S262" s="43">
        <f t="shared" si="21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3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0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1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0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1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13</v>
      </c>
      <c r="J265" s="62">
        <v>17</v>
      </c>
      <c r="K265" s="30">
        <v>32041.62</v>
      </c>
      <c r="L265" s="205">
        <v>16</v>
      </c>
      <c r="M265" s="26">
        <f t="shared" si="20"/>
        <v>30275.46</v>
      </c>
      <c r="N265" s="30">
        <v>30275.46</v>
      </c>
      <c r="O265" s="241"/>
      <c r="P265" s="29">
        <v>3</v>
      </c>
      <c r="Q265" s="30">
        <v>23366.85</v>
      </c>
      <c r="R265" s="205">
        <v>2</v>
      </c>
      <c r="S265" s="26">
        <f t="shared" si="21"/>
        <v>1870.81</v>
      </c>
      <c r="T265" s="30">
        <v>1870.81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1</v>
      </c>
      <c r="J266" s="37">
        <v>1</v>
      </c>
      <c r="K266" s="68">
        <v>1921</v>
      </c>
      <c r="L266" s="285">
        <v>1</v>
      </c>
      <c r="M266" s="39">
        <f t="shared" si="20"/>
        <v>1921</v>
      </c>
      <c r="N266" s="39">
        <f>1921</f>
        <v>1921</v>
      </c>
      <c r="O266" s="41"/>
      <c r="P266" s="69"/>
      <c r="Q266" s="39"/>
      <c r="R266" s="40"/>
      <c r="S266" s="39">
        <f t="shared" si="21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0"/>
        <v>0</v>
      </c>
      <c r="N267" s="50"/>
      <c r="O267" s="31"/>
      <c r="P267" s="123"/>
      <c r="Q267" s="50"/>
      <c r="R267" s="51"/>
      <c r="S267" s="50">
        <f t="shared" si="21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0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1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23</v>
      </c>
      <c r="I269" s="62">
        <v>20</v>
      </c>
      <c r="J269" s="62">
        <v>23</v>
      </c>
      <c r="K269" s="30">
        <v>33262</v>
      </c>
      <c r="L269" s="205">
        <v>23</v>
      </c>
      <c r="M269" s="26">
        <f t="shared" si="20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1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0"/>
        <v>1728.9</v>
      </c>
      <c r="N270" s="39">
        <f>1728.9</f>
        <v>1728.9</v>
      </c>
      <c r="O270" s="41"/>
      <c r="P270" s="42"/>
      <c r="Q270" s="43"/>
      <c r="R270" s="44"/>
      <c r="S270" s="43">
        <f t="shared" si="21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0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1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/>
      <c r="J272" s="37"/>
      <c r="K272" s="39"/>
      <c r="L272" s="44"/>
      <c r="M272" s="43">
        <f t="shared" si="20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1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/>
      <c r="M273" s="26">
        <f t="shared" si="20"/>
        <v>0</v>
      </c>
      <c r="N273" s="26"/>
      <c r="O273" s="31"/>
      <c r="P273" s="64">
        <v>7</v>
      </c>
      <c r="Q273" s="65">
        <v>46859.35</v>
      </c>
      <c r="R273" s="224">
        <v>7</v>
      </c>
      <c r="S273" s="50">
        <f t="shared" si="21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8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0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1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0"/>
        <v>0</v>
      </c>
      <c r="N275" s="26"/>
      <c r="O275" s="28"/>
      <c r="P275" s="120"/>
      <c r="Q275" s="26"/>
      <c r="R275" s="27"/>
      <c r="S275" s="26">
        <f t="shared" si="21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9</v>
      </c>
      <c r="I276" s="37">
        <v>4</v>
      </c>
      <c r="J276" s="37">
        <v>4</v>
      </c>
      <c r="K276" s="68">
        <v>9834.2999999999993</v>
      </c>
      <c r="L276" s="40"/>
      <c r="M276" s="39">
        <f t="shared" si="20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1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0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1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0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1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11</v>
      </c>
      <c r="I279" s="62">
        <v>10</v>
      </c>
      <c r="J279" s="62">
        <v>11</v>
      </c>
      <c r="K279" s="30">
        <v>13036.69</v>
      </c>
      <c r="L279" s="205">
        <v>10</v>
      </c>
      <c r="M279" s="26">
        <f t="shared" si="20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1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0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1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0"/>
        <v>0</v>
      </c>
      <c r="N281" s="50"/>
      <c r="O281" s="31"/>
      <c r="P281" s="123"/>
      <c r="Q281" s="50"/>
      <c r="R281" s="51"/>
      <c r="S281" s="50">
        <f t="shared" si="21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0"/>
        <v>0</v>
      </c>
      <c r="N282" s="43"/>
      <c r="O282" s="41"/>
      <c r="P282" s="103"/>
      <c r="Q282" s="43"/>
      <c r="R282" s="44"/>
      <c r="S282" s="43">
        <f t="shared" si="21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0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1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0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1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0"/>
        <v>0</v>
      </c>
      <c r="N285" s="26"/>
      <c r="O285" s="241"/>
      <c r="P285" s="214"/>
      <c r="Q285" s="30"/>
      <c r="R285" s="205"/>
      <c r="S285" s="26">
        <f t="shared" si="21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0"/>
        <v>0</v>
      </c>
      <c r="N286" s="39"/>
      <c r="O286" s="234"/>
      <c r="P286" s="217"/>
      <c r="Q286" s="68"/>
      <c r="R286" s="285"/>
      <c r="S286" s="39">
        <f t="shared" si="21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19</v>
      </c>
      <c r="I287" s="266">
        <v>15</v>
      </c>
      <c r="J287" s="266">
        <v>23</v>
      </c>
      <c r="K287" s="79">
        <v>32610.76</v>
      </c>
      <c r="L287" s="268">
        <v>23</v>
      </c>
      <c r="M287" s="81">
        <f t="shared" si="20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1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3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2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3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2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3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2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2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3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2"/>
        <v>0</v>
      </c>
      <c r="N292" s="39"/>
      <c r="O292" s="41"/>
      <c r="P292" s="69"/>
      <c r="Q292" s="39"/>
      <c r="R292" s="40"/>
      <c r="S292" s="39">
        <f t="shared" si="23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7</v>
      </c>
      <c r="J293" s="203">
        <v>8</v>
      </c>
      <c r="K293" s="65">
        <v>10206.33</v>
      </c>
      <c r="L293" s="224">
        <v>8</v>
      </c>
      <c r="M293" s="50">
        <f t="shared" si="22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3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2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4">SUM(H9:H294)</f>
        <v>1864</v>
      </c>
      <c r="I295" s="183">
        <f t="shared" si="24"/>
        <v>1182</v>
      </c>
      <c r="J295" s="183">
        <f t="shared" si="24"/>
        <v>1472</v>
      </c>
      <c r="K295" s="184">
        <f t="shared" si="24"/>
        <v>2723907.42</v>
      </c>
      <c r="L295" s="185">
        <f t="shared" si="24"/>
        <v>1355</v>
      </c>
      <c r="M295" s="184">
        <f t="shared" si="24"/>
        <v>2488630.3599999989</v>
      </c>
      <c r="N295" s="184">
        <f t="shared" si="24"/>
        <v>2489834.5599999991</v>
      </c>
      <c r="O295" s="186">
        <f t="shared" si="24"/>
        <v>0</v>
      </c>
      <c r="P295" s="187">
        <f t="shared" si="24"/>
        <v>1367</v>
      </c>
      <c r="Q295" s="188">
        <f t="shared" si="24"/>
        <v>4699248.3599999994</v>
      </c>
      <c r="R295" s="185">
        <f t="shared" si="24"/>
        <v>1313</v>
      </c>
      <c r="S295" s="188">
        <f t="shared" si="24"/>
        <v>4617338.0699999994</v>
      </c>
      <c r="T295" s="188">
        <f t="shared" si="24"/>
        <v>4617338.0699999994</v>
      </c>
      <c r="U295" s="189">
        <f t="shared" si="24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5">SUMIF($G$9:$G$294,$F$301,H9:H294)</f>
        <v>1364</v>
      </c>
      <c r="H301" s="193">
        <f t="shared" si="25"/>
        <v>987</v>
      </c>
      <c r="I301" s="193">
        <f t="shared" si="25"/>
        <v>1276</v>
      </c>
      <c r="J301" s="194">
        <f t="shared" ref="J301:J303" si="26">SUMIF($G$9:$G$294,F301,$K$9:$K$294)</f>
        <v>2356912.1500000004</v>
      </c>
      <c r="K301" s="195">
        <f t="shared" ref="K301:K303" si="27">SUMIF($G$9:$G$294,F301,$L$9:$L$294)</f>
        <v>1168</v>
      </c>
      <c r="L301" s="194">
        <f t="shared" ref="L301:L303" si="28">SUMIF($G$9:$G$294,F301,$M$9:$M$294)</f>
        <v>2133066.8400000003</v>
      </c>
      <c r="M301" s="194">
        <f t="shared" ref="M301:O301" si="29">SUMIF($G$9:$G$294,$F$301,N9:N294)</f>
        <v>2133066.8400000003</v>
      </c>
      <c r="N301" s="194">
        <f t="shared" si="29"/>
        <v>0</v>
      </c>
      <c r="O301" s="193">
        <f t="shared" si="29"/>
        <v>1096</v>
      </c>
      <c r="P301" s="194">
        <f t="shared" ref="P301:P303" si="30">SUMIF($G$9:$G$294,F301,$Q$9:$Q$294)</f>
        <v>3816613.6399999997</v>
      </c>
      <c r="Q301" s="195">
        <f t="shared" ref="Q301:Q303" si="31">SUMIF($G$9:$G$294,F301,$R$9:$R$294)</f>
        <v>1026</v>
      </c>
      <c r="R301" s="194">
        <f t="shared" ref="R301:R303" si="32">SUMIF($G$9:$G$294,F301,$S$9:$S$294)</f>
        <v>3699270.5000000005</v>
      </c>
      <c r="S301" s="194">
        <f t="shared" ref="S301:T301" si="33">SUMIF($G$9:$G$294,$F$301,T9:T294)</f>
        <v>3699270.5000000005</v>
      </c>
      <c r="T301" s="194">
        <f t="shared" si="33"/>
        <v>0</v>
      </c>
      <c r="U301" s="194">
        <f t="shared" ref="U301:U303" si="34">S301+M301</f>
        <v>5832337.3400000008</v>
      </c>
      <c r="V301" s="196">
        <f t="shared" ref="V301:V303" si="35">J301-M301+P301-S301</f>
        <v>341188.44999999925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6">SUMIF($G$9:$G$294,$F$302,H9:H294)</f>
        <v>417</v>
      </c>
      <c r="H302" s="193">
        <f t="shared" si="36"/>
        <v>152</v>
      </c>
      <c r="I302" s="193">
        <f t="shared" si="36"/>
        <v>153</v>
      </c>
      <c r="J302" s="194">
        <f t="shared" si="26"/>
        <v>296323.28000000003</v>
      </c>
      <c r="K302" s="195">
        <f t="shared" si="27"/>
        <v>144</v>
      </c>
      <c r="L302" s="194">
        <f t="shared" si="28"/>
        <v>284891.52999999991</v>
      </c>
      <c r="M302" s="194">
        <f t="shared" ref="M302:O302" si="37">SUMIF($G$9:$G$294,$F$302,N9:N294)</f>
        <v>286095.73</v>
      </c>
      <c r="N302" s="194">
        <f t="shared" si="37"/>
        <v>0</v>
      </c>
      <c r="O302" s="193">
        <f t="shared" si="37"/>
        <v>207</v>
      </c>
      <c r="P302" s="194">
        <f t="shared" si="30"/>
        <v>643704.77</v>
      </c>
      <c r="Q302" s="195">
        <f t="shared" si="31"/>
        <v>225</v>
      </c>
      <c r="R302" s="194">
        <f t="shared" si="32"/>
        <v>679137.62000000023</v>
      </c>
      <c r="S302" s="194">
        <f t="shared" ref="S302:T302" si="38">SUMIF($G$9:$G$294,$F$302,T9:T294)</f>
        <v>679137.62000000023</v>
      </c>
      <c r="T302" s="194">
        <f t="shared" si="38"/>
        <v>0</v>
      </c>
      <c r="U302" s="194">
        <f t="shared" si="34"/>
        <v>965233.35000000021</v>
      </c>
      <c r="V302" s="196">
        <f t="shared" si="35"/>
        <v>-25205.300000000163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39">SUMIF($G$9:$G$294,$F$303,H9:H294)</f>
        <v>83</v>
      </c>
      <c r="H303" s="193">
        <f t="shared" si="39"/>
        <v>43</v>
      </c>
      <c r="I303" s="193">
        <f t="shared" si="39"/>
        <v>43</v>
      </c>
      <c r="J303" s="194">
        <f t="shared" si="26"/>
        <v>70671.989999999991</v>
      </c>
      <c r="K303" s="195">
        <f t="shared" si="27"/>
        <v>43</v>
      </c>
      <c r="L303" s="194">
        <f t="shared" si="28"/>
        <v>70671.989999999991</v>
      </c>
      <c r="M303" s="194">
        <f t="shared" ref="M303:O303" si="40">SUMIF($G$9:$G$294,$F$303,N9:N294)</f>
        <v>70671.989999999991</v>
      </c>
      <c r="N303" s="194">
        <f t="shared" si="40"/>
        <v>0</v>
      </c>
      <c r="O303" s="193">
        <f t="shared" si="40"/>
        <v>64</v>
      </c>
      <c r="P303" s="194">
        <f t="shared" si="30"/>
        <v>238929.94999999998</v>
      </c>
      <c r="Q303" s="195">
        <f t="shared" si="31"/>
        <v>62</v>
      </c>
      <c r="R303" s="194">
        <f t="shared" si="32"/>
        <v>238929.94999999998</v>
      </c>
      <c r="S303" s="194">
        <f t="shared" ref="S303:T303" si="41">SUMIF($G$9:$G$294,$F$303,T9:T294)</f>
        <v>238929.94999999998</v>
      </c>
      <c r="T303" s="194">
        <f t="shared" si="41"/>
        <v>0</v>
      </c>
      <c r="U303" s="194">
        <f t="shared" si="34"/>
        <v>309601.93999999994</v>
      </c>
      <c r="V303" s="196">
        <f t="shared" si="35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2">G303+G302+G301</f>
        <v>1864</v>
      </c>
      <c r="H304" s="197">
        <f t="shared" si="42"/>
        <v>1182</v>
      </c>
      <c r="I304" s="197">
        <f t="shared" si="42"/>
        <v>1472</v>
      </c>
      <c r="J304" s="198">
        <f t="shared" si="42"/>
        <v>2723907.4200000004</v>
      </c>
      <c r="K304" s="199">
        <f t="shared" si="42"/>
        <v>1355</v>
      </c>
      <c r="L304" s="198">
        <f t="shared" si="42"/>
        <v>2488630.3600000003</v>
      </c>
      <c r="M304" s="198">
        <f t="shared" si="42"/>
        <v>2489834.5600000005</v>
      </c>
      <c r="N304" s="198">
        <f t="shared" si="42"/>
        <v>0</v>
      </c>
      <c r="O304" s="197">
        <f t="shared" si="42"/>
        <v>1367</v>
      </c>
      <c r="P304" s="198">
        <f t="shared" si="42"/>
        <v>4699248.3599999994</v>
      </c>
      <c r="Q304" s="200">
        <f t="shared" si="42"/>
        <v>1313</v>
      </c>
      <c r="R304" s="198">
        <f t="shared" si="42"/>
        <v>4617338.07</v>
      </c>
      <c r="S304" s="198">
        <f t="shared" si="42"/>
        <v>4617338.07</v>
      </c>
      <c r="T304" s="198">
        <f t="shared" si="42"/>
        <v>0</v>
      </c>
      <c r="U304" s="198">
        <f t="shared" si="42"/>
        <v>7107172.6300000008</v>
      </c>
      <c r="V304" s="198">
        <f t="shared" si="42"/>
        <v>315983.14999999909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13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21</v>
      </c>
      <c r="K13" s="79">
        <v>59450.59</v>
      </c>
      <c r="L13" s="268">
        <v>17</v>
      </c>
      <c r="M13" s="81">
        <f t="shared" si="0"/>
        <v>50876.52</v>
      </c>
      <c r="N13" s="79">
        <v>50876.52</v>
      </c>
      <c r="O13" s="97"/>
      <c r="P13" s="267">
        <v>13</v>
      </c>
      <c r="Q13" s="79">
        <v>82149.25</v>
      </c>
      <c r="R13" s="268">
        <v>13</v>
      </c>
      <c r="S13" s="81">
        <f t="shared" si="1"/>
        <v>82149.25</v>
      </c>
      <c r="T13" s="79">
        <v>82149.25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27</v>
      </c>
      <c r="I15" s="62">
        <v>26</v>
      </c>
      <c r="J15" s="62">
        <v>42</v>
      </c>
      <c r="K15" s="30">
        <v>101976.28</v>
      </c>
      <c r="L15" s="205">
        <v>42</v>
      </c>
      <c r="M15" s="26">
        <f t="shared" si="0"/>
        <v>101976.28</v>
      </c>
      <c r="N15" s="30">
        <v>101976.28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6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4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8</v>
      </c>
      <c r="Q18" s="209">
        <v>40605.910000000003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15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10</v>
      </c>
      <c r="I21" s="266">
        <v>10</v>
      </c>
      <c r="J21" s="266">
        <v>14</v>
      </c>
      <c r="K21" s="79">
        <v>22307.65</v>
      </c>
      <c r="L21" s="268">
        <v>13</v>
      </c>
      <c r="M21" s="81">
        <f t="shared" si="0"/>
        <v>21314.18</v>
      </c>
      <c r="N21" s="79">
        <v>21314.18</v>
      </c>
      <c r="O21" s="269"/>
      <c r="P21" s="267">
        <v>11</v>
      </c>
      <c r="Q21" s="79">
        <v>26007.8</v>
      </c>
      <c r="R21" s="268">
        <v>10</v>
      </c>
      <c r="S21" s="81">
        <f t="shared" si="1"/>
        <v>22605.93</v>
      </c>
      <c r="T21" s="79">
        <v>22605.93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17</v>
      </c>
      <c r="I23" s="203">
        <v>16</v>
      </c>
      <c r="J23" s="203">
        <v>27</v>
      </c>
      <c r="K23" s="65">
        <v>40994.269999999997</v>
      </c>
      <c r="L23" s="224">
        <v>26</v>
      </c>
      <c r="M23" s="50">
        <f t="shared" si="0"/>
        <v>38432.639999999999</v>
      </c>
      <c r="N23" s="65">
        <v>38432.639999999999</v>
      </c>
      <c r="O23" s="225"/>
      <c r="P23" s="53">
        <v>17</v>
      </c>
      <c r="Q23" s="30">
        <v>32920.01</v>
      </c>
      <c r="R23" s="205">
        <v>14</v>
      </c>
      <c r="S23" s="26">
        <f t="shared" si="1"/>
        <v>22822.54</v>
      </c>
      <c r="T23" s="30">
        <v>22822.54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17</v>
      </c>
      <c r="I25" s="62">
        <v>11</v>
      </c>
      <c r="J25" s="62">
        <v>11</v>
      </c>
      <c r="K25" s="62">
        <v>9196.92</v>
      </c>
      <c r="L25" s="205">
        <v>9</v>
      </c>
      <c r="M25" s="26">
        <f t="shared" si="0"/>
        <v>7020.53</v>
      </c>
      <c r="N25" s="30">
        <v>7020.53</v>
      </c>
      <c r="O25" s="225"/>
      <c r="P25" s="53">
        <v>10</v>
      </c>
      <c r="Q25" s="30">
        <v>19217.37</v>
      </c>
      <c r="R25" s="205">
        <v>6</v>
      </c>
      <c r="S25" s="26">
        <f t="shared" si="1"/>
        <v>13822.44</v>
      </c>
      <c r="T25" s="30">
        <v>13822.44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4</v>
      </c>
      <c r="I26" s="37">
        <v>1</v>
      </c>
      <c r="J26" s="37">
        <v>1</v>
      </c>
      <c r="K26" s="68">
        <v>1986.93</v>
      </c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15</v>
      </c>
      <c r="I27" s="203">
        <v>13</v>
      </c>
      <c r="J27" s="203">
        <v>21</v>
      </c>
      <c r="K27" s="65">
        <v>38849.480000000003</v>
      </c>
      <c r="L27" s="224">
        <v>20</v>
      </c>
      <c r="M27" s="50">
        <f t="shared" si="0"/>
        <v>38247.379999999997</v>
      </c>
      <c r="N27" s="65">
        <v>38247.379999999997</v>
      </c>
      <c r="O27" s="225"/>
      <c r="P27" s="53">
        <v>16</v>
      </c>
      <c r="Q27" s="30">
        <v>43602.83</v>
      </c>
      <c r="R27" s="205">
        <v>14</v>
      </c>
      <c r="S27" s="26">
        <f t="shared" si="1"/>
        <v>23941.11</v>
      </c>
      <c r="T27" s="30">
        <v>23941.11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2</v>
      </c>
      <c r="J28" s="130">
        <v>2</v>
      </c>
      <c r="K28" s="114">
        <v>2609.1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10</v>
      </c>
      <c r="Q28" s="68">
        <v>31178.2</v>
      </c>
      <c r="R28" s="285">
        <v>9</v>
      </c>
      <c r="S28" s="39">
        <f t="shared" si="1"/>
        <v>27294.600000000002</v>
      </c>
      <c r="T28" s="68">
        <f>4302+3533.6+960.5+5240.8+4226.2+5820.3+2007+1204.2</f>
        <v>27294.600000000002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4</v>
      </c>
      <c r="Q29" s="30">
        <v>14213.86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6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14</v>
      </c>
      <c r="I33" s="203">
        <v>9</v>
      </c>
      <c r="J33" s="203">
        <v>11</v>
      </c>
      <c r="K33" s="65">
        <v>19491.419999999998</v>
      </c>
      <c r="L33" s="224">
        <v>5</v>
      </c>
      <c r="M33" s="50">
        <f t="shared" si="0"/>
        <v>8549.15</v>
      </c>
      <c r="N33" s="65">
        <v>8549.15</v>
      </c>
      <c r="O33" s="225"/>
      <c r="P33" s="108">
        <v>11</v>
      </c>
      <c r="Q33" s="65">
        <v>33775.75</v>
      </c>
      <c r="R33" s="224">
        <v>10</v>
      </c>
      <c r="S33" s="26">
        <f t="shared" si="1"/>
        <v>29872.12</v>
      </c>
      <c r="T33" s="65">
        <v>29872.12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7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5</v>
      </c>
      <c r="I43" s="62">
        <v>3</v>
      </c>
      <c r="J43" s="62">
        <v>5</v>
      </c>
      <c r="K43" s="30">
        <v>10750.36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19</v>
      </c>
      <c r="I45" s="266">
        <v>16</v>
      </c>
      <c r="J45" s="266">
        <v>20</v>
      </c>
      <c r="K45" s="79">
        <v>33657.33</v>
      </c>
      <c r="L45" s="268">
        <v>18</v>
      </c>
      <c r="M45" s="81">
        <f t="shared" si="2"/>
        <v>29884.81</v>
      </c>
      <c r="N45" s="79">
        <v>29884.81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23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9</v>
      </c>
      <c r="I50" s="266">
        <v>5</v>
      </c>
      <c r="J50" s="266">
        <v>6</v>
      </c>
      <c r="K50" s="79">
        <v>9733.15</v>
      </c>
      <c r="L50" s="268">
        <v>4</v>
      </c>
      <c r="M50" s="81">
        <f t="shared" si="2"/>
        <v>5771.33</v>
      </c>
      <c r="N50" s="79">
        <v>5771.33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2</v>
      </c>
      <c r="I53" s="338">
        <v>1</v>
      </c>
      <c r="J53" s="338">
        <v>1</v>
      </c>
      <c r="K53" s="339">
        <v>1134.9000000000001</v>
      </c>
      <c r="L53" s="88"/>
      <c r="M53" s="39">
        <f t="shared" si="2"/>
        <v>0</v>
      </c>
      <c r="N53" s="87"/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3</v>
      </c>
      <c r="I56" s="96"/>
      <c r="J56" s="96"/>
      <c r="K56" s="81"/>
      <c r="L56" s="80"/>
      <c r="M56" s="81">
        <f t="shared" si="2"/>
        <v>0</v>
      </c>
      <c r="N56" s="81"/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7</v>
      </c>
      <c r="I57" s="130">
        <v>5</v>
      </c>
      <c r="J57" s="130">
        <v>5</v>
      </c>
      <c r="K57" s="114">
        <v>13125.78</v>
      </c>
      <c r="L57" s="270">
        <v>3</v>
      </c>
      <c r="M57" s="43">
        <f t="shared" si="2"/>
        <v>5619.5999999999995</v>
      </c>
      <c r="N57" s="43">
        <f>1605.6+1806.3+2207.7</f>
        <v>5619.5999999999995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3</v>
      </c>
      <c r="M58" s="26">
        <f t="shared" si="2"/>
        <v>4488.49</v>
      </c>
      <c r="N58" s="30">
        <v>4488.49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5</v>
      </c>
      <c r="I59" s="37">
        <v>1</v>
      </c>
      <c r="J59" s="37">
        <v>1</v>
      </c>
      <c r="K59" s="68">
        <v>2007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9</v>
      </c>
      <c r="Q59" s="68">
        <v>20472.73</v>
      </c>
      <c r="R59" s="285">
        <v>13</v>
      </c>
      <c r="S59" s="39">
        <f t="shared" si="3"/>
        <v>28376.030000000002</v>
      </c>
      <c r="T59" s="68">
        <f>2209.2+576.3+13639.1+1921+1921+3438.83+3265.7+1404.9</f>
        <v>28376.030000000002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8</v>
      </c>
      <c r="I60" s="203">
        <v>6</v>
      </c>
      <c r="J60" s="203">
        <v>9</v>
      </c>
      <c r="K60" s="65">
        <v>17478.27</v>
      </c>
      <c r="L60" s="224">
        <v>7</v>
      </c>
      <c r="M60" s="50">
        <f t="shared" si="2"/>
        <v>12948.87</v>
      </c>
      <c r="N60" s="65">
        <v>12948.87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18</v>
      </c>
      <c r="I62" s="62">
        <v>16</v>
      </c>
      <c r="J62" s="62">
        <v>18</v>
      </c>
      <c r="K62" s="30">
        <v>33307.97</v>
      </c>
      <c r="L62" s="205">
        <v>16</v>
      </c>
      <c r="M62" s="26">
        <f t="shared" si="2"/>
        <v>29461.16</v>
      </c>
      <c r="N62" s="30">
        <v>29461.16</v>
      </c>
      <c r="O62" s="225"/>
      <c r="P62" s="53">
        <v>6</v>
      </c>
      <c r="Q62" s="30">
        <v>45189.01</v>
      </c>
      <c r="R62" s="205">
        <v>6</v>
      </c>
      <c r="S62" s="26">
        <f t="shared" si="3"/>
        <v>45189.01</v>
      </c>
      <c r="T62" s="30">
        <v>45189.01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6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31</v>
      </c>
      <c r="I64" s="203">
        <v>25</v>
      </c>
      <c r="J64" s="203">
        <v>38</v>
      </c>
      <c r="K64" s="65">
        <v>70731.710000000006</v>
      </c>
      <c r="L64" s="224">
        <v>38</v>
      </c>
      <c r="M64" s="50">
        <f t="shared" si="2"/>
        <v>70731.710000000006</v>
      </c>
      <c r="N64" s="65">
        <v>70731.710000000006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13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8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8</v>
      </c>
      <c r="I68" s="62">
        <v>4</v>
      </c>
      <c r="J68" s="62">
        <v>5</v>
      </c>
      <c r="K68" s="30">
        <v>9142.82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8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8</v>
      </c>
      <c r="I74" s="203">
        <v>2</v>
      </c>
      <c r="J74" s="203">
        <v>2</v>
      </c>
      <c r="K74" s="65">
        <v>2391.54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88949.07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3</v>
      </c>
      <c r="S75" s="43">
        <f t="shared" si="3"/>
        <v>7115.8</v>
      </c>
      <c r="T75" s="114">
        <f>2881.5+2393.3+1841</f>
        <v>7115.8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15</v>
      </c>
      <c r="I76" s="62">
        <v>11</v>
      </c>
      <c r="J76" s="62">
        <v>14</v>
      </c>
      <c r="K76" s="30">
        <v>36070.71</v>
      </c>
      <c r="L76" s="205">
        <v>12</v>
      </c>
      <c r="M76" s="26">
        <f t="shared" si="2"/>
        <v>34420.35</v>
      </c>
      <c r="N76" s="30">
        <v>34420.35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8"/>
      <c r="J77" s="38"/>
      <c r="K77" s="39"/>
      <c r="L77" s="40"/>
      <c r="M77" s="39">
        <f t="shared" si="2"/>
        <v>0</v>
      </c>
      <c r="N77" s="39"/>
      <c r="O77" s="41"/>
      <c r="P77" s="69"/>
      <c r="Q77" s="39"/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7</v>
      </c>
      <c r="J80" s="62">
        <v>11</v>
      </c>
      <c r="K80" s="30">
        <v>18453.95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8</v>
      </c>
      <c r="J82" s="203">
        <v>13</v>
      </c>
      <c r="K82" s="158">
        <v>34489.42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11</v>
      </c>
      <c r="Q82" s="65">
        <v>42582.42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47</v>
      </c>
      <c r="I84" s="62">
        <v>43</v>
      </c>
      <c r="J84" s="62">
        <v>64</v>
      </c>
      <c r="K84" s="30">
        <v>130892.7</v>
      </c>
      <c r="L84" s="205">
        <v>63</v>
      </c>
      <c r="M84" s="26">
        <f t="shared" si="4"/>
        <v>123601.32</v>
      </c>
      <c r="N84" s="30">
        <v>123601.32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10</v>
      </c>
      <c r="I86" s="62">
        <v>7</v>
      </c>
      <c r="J86" s="62">
        <v>7</v>
      </c>
      <c r="K86" s="30">
        <v>14776.15</v>
      </c>
      <c r="L86" s="205">
        <v>5</v>
      </c>
      <c r="M86" s="26">
        <f t="shared" si="4"/>
        <v>11316.07</v>
      </c>
      <c r="N86" s="30">
        <v>11316.07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7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1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15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2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21</v>
      </c>
      <c r="I98" s="62">
        <v>17</v>
      </c>
      <c r="J98" s="62">
        <v>24</v>
      </c>
      <c r="K98" s="30">
        <v>43349.66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8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6560.64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4</v>
      </c>
      <c r="K102" s="30">
        <v>8733.91</v>
      </c>
      <c r="L102" s="205">
        <v>3</v>
      </c>
      <c r="M102" s="26">
        <f t="shared" ref="M102:M106" si="7">N102+O102</f>
        <v>7389.22</v>
      </c>
      <c r="N102" s="30">
        <v>7389.22</v>
      </c>
      <c r="O102" s="31"/>
      <c r="P102" s="53">
        <v>9</v>
      </c>
      <c r="Q102" s="30">
        <v>61187.9</v>
      </c>
      <c r="R102" s="205">
        <v>8</v>
      </c>
      <c r="S102" s="26">
        <f t="shared" si="6"/>
        <v>39013.760000000002</v>
      </c>
      <c r="T102" s="30">
        <v>39013.760000000002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03"/>
      <c r="Q103" s="43"/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5</v>
      </c>
      <c r="J106" s="62">
        <v>7</v>
      </c>
      <c r="K106" s="30">
        <v>19153.98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27</v>
      </c>
      <c r="Q106" s="30">
        <v>93034.72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9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14</v>
      </c>
      <c r="I110" s="62">
        <v>10</v>
      </c>
      <c r="J110" s="62">
        <v>16</v>
      </c>
      <c r="K110" s="30">
        <v>29995.7</v>
      </c>
      <c r="L110" s="205">
        <v>14</v>
      </c>
      <c r="M110" s="26">
        <f t="shared" si="8"/>
        <v>26539.61</v>
      </c>
      <c r="N110" s="30">
        <v>26539.61</v>
      </c>
      <c r="O110" s="241"/>
      <c r="P110" s="214">
        <v>14</v>
      </c>
      <c r="Q110" s="30">
        <v>78517.899999999994</v>
      </c>
      <c r="R110" s="205">
        <v>13</v>
      </c>
      <c r="S110" s="26">
        <f t="shared" si="9"/>
        <v>57575.81</v>
      </c>
      <c r="T110" s="30">
        <v>57575.81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9</v>
      </c>
      <c r="I111" s="286">
        <v>7</v>
      </c>
      <c r="J111" s="286">
        <v>7</v>
      </c>
      <c r="K111" s="287">
        <v>21767.4</v>
      </c>
      <c r="L111" s="315">
        <v>6</v>
      </c>
      <c r="M111" s="39">
        <f t="shared" si="8"/>
        <v>13739.4</v>
      </c>
      <c r="N111" s="39">
        <f>1921+3073.6+1921+3010.5+1404.9+2408.4</f>
        <v>13739.4</v>
      </c>
      <c r="O111" s="41"/>
      <c r="P111" s="217">
        <v>4</v>
      </c>
      <c r="Q111" s="37">
        <v>19940.650000000001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12</v>
      </c>
      <c r="I114" s="203">
        <v>6</v>
      </c>
      <c r="J114" s="203">
        <v>7</v>
      </c>
      <c r="K114" s="65">
        <v>11419.72</v>
      </c>
      <c r="L114" s="224">
        <v>7</v>
      </c>
      <c r="M114" s="50">
        <f t="shared" si="8"/>
        <v>11419.72</v>
      </c>
      <c r="N114" s="65">
        <v>11419.72</v>
      </c>
      <c r="O114" s="225"/>
      <c r="P114" s="108">
        <v>9</v>
      </c>
      <c r="Q114" s="65">
        <v>19656.830000000002</v>
      </c>
      <c r="R114" s="224">
        <v>9</v>
      </c>
      <c r="S114" s="50">
        <f t="shared" si="9"/>
        <v>19656.830000000002</v>
      </c>
      <c r="T114" s="65">
        <v>19656.830000000002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9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7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6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18</v>
      </c>
      <c r="J118" s="203">
        <v>21</v>
      </c>
      <c r="K118" s="65">
        <v>47812.95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23</v>
      </c>
      <c r="Q118" s="65">
        <v>107867.2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14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3</v>
      </c>
      <c r="I125" s="203">
        <v>3</v>
      </c>
      <c r="J125" s="203">
        <v>4</v>
      </c>
      <c r="K125" s="65">
        <v>5417.06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38019.17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13</v>
      </c>
      <c r="I127" s="62">
        <v>11</v>
      </c>
      <c r="J127" s="62">
        <v>15</v>
      </c>
      <c r="K127" s="30">
        <v>39786.11</v>
      </c>
      <c r="L127" s="205">
        <v>12</v>
      </c>
      <c r="M127" s="26">
        <f t="shared" si="10"/>
        <v>29389.23</v>
      </c>
      <c r="N127" s="30">
        <v>29389.23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20</v>
      </c>
      <c r="I129" s="62">
        <v>18</v>
      </c>
      <c r="J129" s="62">
        <v>26</v>
      </c>
      <c r="K129" s="30">
        <v>66481.97</v>
      </c>
      <c r="L129" s="205">
        <v>22</v>
      </c>
      <c r="M129" s="26">
        <f t="shared" si="10"/>
        <v>45233.25</v>
      </c>
      <c r="N129" s="30">
        <v>45233.25</v>
      </c>
      <c r="O129" s="225"/>
      <c r="P129" s="53">
        <v>11</v>
      </c>
      <c r="Q129" s="30">
        <v>31033.06</v>
      </c>
      <c r="R129" s="205">
        <v>10</v>
      </c>
      <c r="S129" s="26">
        <f t="shared" si="9"/>
        <v>25611.57</v>
      </c>
      <c r="T129" s="30">
        <v>25611.57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8</v>
      </c>
      <c r="I133" s="62">
        <v>7</v>
      </c>
      <c r="J133" s="62">
        <v>11</v>
      </c>
      <c r="K133" s="30">
        <v>20042.34</v>
      </c>
      <c r="L133" s="205">
        <v>10</v>
      </c>
      <c r="M133" s="26">
        <f t="shared" si="10"/>
        <v>16030.26</v>
      </c>
      <c r="N133" s="30">
        <v>16030.26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19</v>
      </c>
      <c r="I135" s="203">
        <v>16</v>
      </c>
      <c r="J135" s="203">
        <v>23</v>
      </c>
      <c r="K135" s="65">
        <v>62624.1</v>
      </c>
      <c r="L135" s="224">
        <v>18</v>
      </c>
      <c r="M135" s="50">
        <f t="shared" si="10"/>
        <v>44935.58</v>
      </c>
      <c r="N135" s="65">
        <v>44935.58</v>
      </c>
      <c r="O135" s="225"/>
      <c r="P135" s="108">
        <v>32</v>
      </c>
      <c r="Q135" s="65">
        <v>119596.16</v>
      </c>
      <c r="R135" s="224">
        <v>30</v>
      </c>
      <c r="S135" s="50">
        <f t="shared" si="9"/>
        <v>114879.71</v>
      </c>
      <c r="T135" s="65">
        <v>114879.71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18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35</v>
      </c>
      <c r="I139" s="62">
        <v>26</v>
      </c>
      <c r="J139" s="62">
        <v>28</v>
      </c>
      <c r="K139" s="30">
        <v>44921.32</v>
      </c>
      <c r="L139" s="205">
        <v>23</v>
      </c>
      <c r="M139" s="26">
        <f t="shared" si="10"/>
        <v>37589.230000000003</v>
      </c>
      <c r="N139" s="30">
        <v>37589.230000000003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6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56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27</v>
      </c>
      <c r="I145" s="266">
        <v>21</v>
      </c>
      <c r="J145" s="266">
        <v>31</v>
      </c>
      <c r="K145" s="79">
        <v>63666.23</v>
      </c>
      <c r="L145" s="268">
        <v>31</v>
      </c>
      <c r="M145" s="81">
        <f t="shared" si="11"/>
        <v>63666.23</v>
      </c>
      <c r="N145" s="79">
        <v>63666.23</v>
      </c>
      <c r="O145" s="269"/>
      <c r="P145" s="267">
        <v>20</v>
      </c>
      <c r="Q145" s="79">
        <v>83320.600000000006</v>
      </c>
      <c r="R145" s="268">
        <v>19</v>
      </c>
      <c r="S145" s="81">
        <f t="shared" si="12"/>
        <v>83320.600000000006</v>
      </c>
      <c r="T145" s="79">
        <v>83320.600000000006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19</v>
      </c>
      <c r="I147" s="203">
        <v>15</v>
      </c>
      <c r="J147" s="203">
        <v>18</v>
      </c>
      <c r="K147" s="65">
        <v>47249.1</v>
      </c>
      <c r="L147" s="224">
        <v>15</v>
      </c>
      <c r="M147" s="50">
        <f t="shared" si="11"/>
        <v>36210.6</v>
      </c>
      <c r="N147" s="65">
        <v>36210.6</v>
      </c>
      <c r="O147" s="225"/>
      <c r="P147" s="108">
        <v>57</v>
      </c>
      <c r="Q147" s="65">
        <v>338665.33</v>
      </c>
      <c r="R147" s="224">
        <v>56</v>
      </c>
      <c r="S147" s="50">
        <f t="shared" si="12"/>
        <v>335574.55</v>
      </c>
      <c r="T147" s="65">
        <v>335574.55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135"/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238">
        <v>1</v>
      </c>
      <c r="Q148" s="239">
        <v>2408.4</v>
      </c>
      <c r="R148" s="128"/>
      <c r="S148" s="129">
        <f t="shared" si="12"/>
        <v>0</v>
      </c>
      <c r="T148" s="129"/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si="12"/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2</v>
      </c>
      <c r="J150" s="62">
        <v>2</v>
      </c>
      <c r="K150" s="30">
        <v>1267.28</v>
      </c>
      <c r="L150" s="205">
        <v>2</v>
      </c>
      <c r="M150" s="26">
        <f t="shared" si="11"/>
        <v>1267.28</v>
      </c>
      <c r="N150" s="30">
        <v>1267.28</v>
      </c>
      <c r="O150" s="225"/>
      <c r="P150" s="53">
        <v>15</v>
      </c>
      <c r="Q150" s="30">
        <v>10414.84</v>
      </c>
      <c r="R150" s="205">
        <v>4</v>
      </c>
      <c r="S150" s="26">
        <f t="shared" si="12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7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3</v>
      </c>
      <c r="Q151" s="68">
        <v>7062.2</v>
      </c>
      <c r="R151" s="285">
        <v>3</v>
      </c>
      <c r="S151" s="39">
        <f t="shared" si="12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11</v>
      </c>
      <c r="J152" s="203">
        <v>16</v>
      </c>
      <c r="K152" s="65">
        <v>32617.3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2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4</v>
      </c>
      <c r="J153" s="37">
        <v>4</v>
      </c>
      <c r="K153" s="68">
        <v>5174.6000000000004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2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2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2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2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8</v>
      </c>
      <c r="I157" s="130">
        <v>5</v>
      </c>
      <c r="J157" s="130">
        <v>5</v>
      </c>
      <c r="K157" s="114">
        <v>7800.08</v>
      </c>
      <c r="L157" s="270">
        <v>5</v>
      </c>
      <c r="M157" s="114">
        <v>7800.08</v>
      </c>
      <c r="N157" s="114">
        <v>7800.08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14</v>
      </c>
      <c r="I158" s="62">
        <v>10</v>
      </c>
      <c r="J158" s="62">
        <v>13</v>
      </c>
      <c r="K158" s="30">
        <v>21251.69</v>
      </c>
      <c r="L158" s="205">
        <v>13</v>
      </c>
      <c r="M158" s="26">
        <f t="shared" ref="M158:M229" si="13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4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15</v>
      </c>
      <c r="I159" s="271">
        <v>10</v>
      </c>
      <c r="J159" s="271">
        <v>10</v>
      </c>
      <c r="K159" s="239">
        <v>17440.900000000001</v>
      </c>
      <c r="L159" s="316">
        <v>9</v>
      </c>
      <c r="M159" s="129">
        <f t="shared" si="13"/>
        <v>17139.849999999999</v>
      </c>
      <c r="N159" s="129">
        <f>1728.9+2305.2+576.3+4802.5+1404.9+1404.9+1404.9+1103.85+2408.4</f>
        <v>17139.849999999999</v>
      </c>
      <c r="O159" s="45"/>
      <c r="P159" s="238">
        <v>9</v>
      </c>
      <c r="Q159" s="239">
        <v>31223.56</v>
      </c>
      <c r="R159" s="316">
        <v>10</v>
      </c>
      <c r="S159" s="129">
        <f t="shared" si="14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3"/>
        <v>0</v>
      </c>
      <c r="N160" s="43"/>
      <c r="O160" s="41"/>
      <c r="P160" s="103"/>
      <c r="Q160" s="43"/>
      <c r="R160" s="44"/>
      <c r="S160" s="43">
        <f t="shared" si="14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11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3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4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3"/>
        <v>0</v>
      </c>
      <c r="N162" s="39"/>
      <c r="O162" s="41"/>
      <c r="P162" s="59"/>
      <c r="Q162" s="39"/>
      <c r="R162" s="40"/>
      <c r="S162" s="39">
        <f t="shared" si="14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11</v>
      </c>
      <c r="J163" s="203">
        <v>12</v>
      </c>
      <c r="K163" s="65">
        <v>16411.849999999999</v>
      </c>
      <c r="L163" s="224">
        <v>9</v>
      </c>
      <c r="M163" s="50">
        <f t="shared" si="13"/>
        <v>11430.48</v>
      </c>
      <c r="N163" s="65">
        <v>11430.48</v>
      </c>
      <c r="O163" s="225"/>
      <c r="P163" s="108">
        <v>7</v>
      </c>
      <c r="Q163" s="65">
        <v>50795.35</v>
      </c>
      <c r="R163" s="224">
        <v>6</v>
      </c>
      <c r="S163" s="50">
        <f t="shared" si="14"/>
        <v>33605.230000000003</v>
      </c>
      <c r="T163" s="65">
        <v>33605.230000000003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5</v>
      </c>
      <c r="J164" s="246">
        <v>5</v>
      </c>
      <c r="K164" s="158">
        <v>10648.6</v>
      </c>
      <c r="L164" s="317">
        <v>4</v>
      </c>
      <c r="M164" s="142">
        <f t="shared" si="13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4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3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15</v>
      </c>
      <c r="I166" s="62">
        <v>9</v>
      </c>
      <c r="J166" s="62">
        <v>11</v>
      </c>
      <c r="K166" s="30">
        <v>20036.189999999999</v>
      </c>
      <c r="L166" s="205">
        <v>10</v>
      </c>
      <c r="M166" s="26">
        <f t="shared" si="13"/>
        <v>18691.57</v>
      </c>
      <c r="N166" s="30">
        <v>18691.57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5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4</v>
      </c>
      <c r="J167" s="37">
        <v>4</v>
      </c>
      <c r="K167" s="68">
        <v>5042.7</v>
      </c>
      <c r="L167" s="285">
        <v>5</v>
      </c>
      <c r="M167" s="39">
        <f t="shared" si="13"/>
        <v>5042.7000000000007</v>
      </c>
      <c r="N167" s="39">
        <f>576.3+1716.8+1344.7+1404.9</f>
        <v>5042.7000000000007</v>
      </c>
      <c r="O167" s="41"/>
      <c r="P167" s="115">
        <v>2</v>
      </c>
      <c r="Q167" s="68">
        <v>3265.7</v>
      </c>
      <c r="R167" s="285">
        <v>2</v>
      </c>
      <c r="S167" s="39">
        <f t="shared" si="15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3"/>
        <v>19508.22</v>
      </c>
      <c r="N168" s="65">
        <v>19508.22</v>
      </c>
      <c r="O168" s="31"/>
      <c r="P168" s="108">
        <v>9</v>
      </c>
      <c r="Q168" s="65">
        <v>21231.99</v>
      </c>
      <c r="R168" s="224">
        <v>9</v>
      </c>
      <c r="S168" s="50">
        <f t="shared" si="15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7</v>
      </c>
      <c r="I169" s="130">
        <v>5</v>
      </c>
      <c r="J169" s="130">
        <v>5</v>
      </c>
      <c r="K169" s="114">
        <v>18356.64</v>
      </c>
      <c r="L169" s="270">
        <v>7</v>
      </c>
      <c r="M169" s="43">
        <f t="shared" si="13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5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3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5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3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8</v>
      </c>
      <c r="S171" s="43">
        <f t="shared" si="15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17</v>
      </c>
      <c r="I172" s="62">
        <v>13</v>
      </c>
      <c r="J172" s="62">
        <v>16</v>
      </c>
      <c r="K172" s="30">
        <v>45564.83</v>
      </c>
      <c r="L172" s="205">
        <v>11</v>
      </c>
      <c r="M172" s="26">
        <f t="shared" si="13"/>
        <v>24333.17</v>
      </c>
      <c r="N172" s="30">
        <v>24333.17</v>
      </c>
      <c r="O172" s="159"/>
      <c r="P172" s="53">
        <v>4</v>
      </c>
      <c r="Q172" s="30">
        <v>31835.37</v>
      </c>
      <c r="R172" s="205">
        <v>4</v>
      </c>
      <c r="S172" s="26">
        <f t="shared" si="15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3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5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4</v>
      </c>
      <c r="I174" s="62">
        <v>4</v>
      </c>
      <c r="J174" s="62">
        <v>7</v>
      </c>
      <c r="K174" s="30">
        <v>18567.810000000001</v>
      </c>
      <c r="L174" s="205">
        <v>6</v>
      </c>
      <c r="M174" s="26">
        <f t="shared" si="13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5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3"/>
        <v>0</v>
      </c>
      <c r="N175" s="39"/>
      <c r="O175" s="41"/>
      <c r="P175" s="217"/>
      <c r="Q175" s="68"/>
      <c r="R175" s="285"/>
      <c r="S175" s="39">
        <f t="shared" si="15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9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3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5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3"/>
        <v>0</v>
      </c>
      <c r="N177" s="43"/>
      <c r="O177" s="45"/>
      <c r="P177" s="103"/>
      <c r="Q177" s="43"/>
      <c r="R177" s="44"/>
      <c r="S177" s="43">
        <f t="shared" si="15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3"/>
        <v>524.91</v>
      </c>
      <c r="N178" s="30">
        <v>524.91</v>
      </c>
      <c r="O178" s="241"/>
      <c r="P178" s="53">
        <v>2</v>
      </c>
      <c r="Q178" s="30">
        <v>14444.79</v>
      </c>
      <c r="R178" s="205">
        <v>2</v>
      </c>
      <c r="S178" s="26">
        <f t="shared" si="15"/>
        <v>14444.79</v>
      </c>
      <c r="T178" s="30">
        <v>14444.79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3"/>
        <v>0</v>
      </c>
      <c r="N179" s="211"/>
      <c r="O179" s="212"/>
      <c r="P179" s="273"/>
      <c r="Q179" s="211"/>
      <c r="R179" s="210"/>
      <c r="S179" s="211">
        <f t="shared" si="15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5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3"/>
        <v>9442.35</v>
      </c>
      <c r="N180" s="30">
        <v>9442.35</v>
      </c>
      <c r="O180" s="28"/>
      <c r="P180" s="214"/>
      <c r="Q180" s="30"/>
      <c r="R180" s="205"/>
      <c r="S180" s="26">
        <f t="shared" si="15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3"/>
        <v>0</v>
      </c>
      <c r="N181" s="39"/>
      <c r="O181" s="41"/>
      <c r="P181" s="217"/>
      <c r="Q181" s="68"/>
      <c r="R181" s="285"/>
      <c r="S181" s="39">
        <f t="shared" si="15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8</v>
      </c>
      <c r="I182" s="266">
        <v>4</v>
      </c>
      <c r="J182" s="266">
        <v>6</v>
      </c>
      <c r="K182" s="79">
        <v>13766.46</v>
      </c>
      <c r="L182" s="268">
        <v>5</v>
      </c>
      <c r="M182" s="81">
        <f t="shared" si="13"/>
        <v>12387.84</v>
      </c>
      <c r="N182" s="79">
        <v>12387.84</v>
      </c>
      <c r="O182" s="219"/>
      <c r="P182" s="267">
        <v>18</v>
      </c>
      <c r="Q182" s="79">
        <v>50132.05</v>
      </c>
      <c r="R182" s="268">
        <v>16</v>
      </c>
      <c r="S182" s="81">
        <f t="shared" si="15"/>
        <v>44811.49</v>
      </c>
      <c r="T182" s="79">
        <v>44811.49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3"/>
        <v>21489.82</v>
      </c>
      <c r="N183" s="43">
        <f>2497.3+1152.6+5920.02+4595.4+602.1+6722.4</f>
        <v>21489.82</v>
      </c>
      <c r="O183" s="41"/>
      <c r="P183" s="113">
        <v>2</v>
      </c>
      <c r="Q183" s="114">
        <v>7924</v>
      </c>
      <c r="R183" s="270">
        <v>3</v>
      </c>
      <c r="S183" s="43">
        <f t="shared" si="15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12</v>
      </c>
      <c r="I184" s="62">
        <v>9</v>
      </c>
      <c r="J184" s="62">
        <v>9</v>
      </c>
      <c r="K184" s="30">
        <v>29875.67</v>
      </c>
      <c r="L184" s="205">
        <v>9</v>
      </c>
      <c r="M184" s="26">
        <f t="shared" si="13"/>
        <v>29875.67</v>
      </c>
      <c r="N184" s="30">
        <v>29875.67</v>
      </c>
      <c r="O184" s="225"/>
      <c r="P184" s="53">
        <v>12</v>
      </c>
      <c r="Q184" s="30">
        <v>36322.32</v>
      </c>
      <c r="R184" s="205">
        <v>12</v>
      </c>
      <c r="S184" s="26">
        <f t="shared" si="15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1</v>
      </c>
      <c r="J185" s="130">
        <v>1</v>
      </c>
      <c r="K185" s="114">
        <v>2649.24</v>
      </c>
      <c r="L185" s="270">
        <v>1</v>
      </c>
      <c r="M185" s="43">
        <f t="shared" si="13"/>
        <v>2649.24</v>
      </c>
      <c r="N185" s="43">
        <f>2649.24</f>
        <v>2649.24</v>
      </c>
      <c r="O185" s="41"/>
      <c r="P185" s="115">
        <v>8</v>
      </c>
      <c r="Q185" s="68">
        <v>30985.07</v>
      </c>
      <c r="R185" s="285">
        <v>8</v>
      </c>
      <c r="S185" s="39">
        <f t="shared" si="15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23</v>
      </c>
      <c r="I186" s="62">
        <v>21</v>
      </c>
      <c r="J186" s="204">
        <v>29</v>
      </c>
      <c r="K186" s="30">
        <v>49041.25</v>
      </c>
      <c r="L186" s="205">
        <v>29</v>
      </c>
      <c r="M186" s="26">
        <f t="shared" si="13"/>
        <v>49041.25</v>
      </c>
      <c r="N186" s="30">
        <v>49041.25</v>
      </c>
      <c r="O186" s="225"/>
      <c r="P186" s="108">
        <v>23</v>
      </c>
      <c r="Q186" s="65">
        <v>84634.18</v>
      </c>
      <c r="R186" s="224">
        <v>23</v>
      </c>
      <c r="S186" s="50">
        <f t="shared" si="15"/>
        <v>84634.18</v>
      </c>
      <c r="T186" s="65">
        <v>84634.18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2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3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5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2</v>
      </c>
      <c r="J188" s="62">
        <v>3</v>
      </c>
      <c r="K188" s="326">
        <v>2669.31</v>
      </c>
      <c r="L188" s="327">
        <v>1</v>
      </c>
      <c r="M188" s="162">
        <f t="shared" si="13"/>
        <v>662.31</v>
      </c>
      <c r="N188" s="326">
        <v>662.31</v>
      </c>
      <c r="O188" s="28"/>
      <c r="P188" s="275"/>
      <c r="Q188" s="26"/>
      <c r="R188" s="27"/>
      <c r="S188" s="26">
        <f t="shared" si="15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5</v>
      </c>
      <c r="I189" s="37">
        <v>1</v>
      </c>
      <c r="J189" s="37">
        <v>1</v>
      </c>
      <c r="K189" s="318">
        <v>1056.22</v>
      </c>
      <c r="L189" s="343">
        <v>1</v>
      </c>
      <c r="M189" s="164">
        <f t="shared" si="13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5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3"/>
        <v>0</v>
      </c>
      <c r="N190" s="293"/>
      <c r="O190" s="82"/>
      <c r="P190" s="295"/>
      <c r="Q190" s="81"/>
      <c r="R190" s="80"/>
      <c r="S190" s="81">
        <f t="shared" si="15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06"/>
      <c r="I191" s="38"/>
      <c r="J191" s="38"/>
      <c r="K191" s="164"/>
      <c r="L191" s="165"/>
      <c r="M191" s="164">
        <f t="shared" si="13"/>
        <v>0</v>
      </c>
      <c r="N191" s="164"/>
      <c r="O191" s="41"/>
      <c r="P191" s="67">
        <v>5</v>
      </c>
      <c r="Q191" s="68">
        <v>32446.01</v>
      </c>
      <c r="R191" s="285">
        <v>4</v>
      </c>
      <c r="S191" s="68">
        <v>19199.810000000001</v>
      </c>
      <c r="T191" s="68">
        <v>19199.810000000001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22</v>
      </c>
      <c r="J192" s="203">
        <v>35</v>
      </c>
      <c r="K192" s="242">
        <v>78396.460000000006</v>
      </c>
      <c r="L192" s="320">
        <v>30</v>
      </c>
      <c r="M192" s="166">
        <f t="shared" si="13"/>
        <v>64711.199999999997</v>
      </c>
      <c r="N192" s="242">
        <v>64711.199999999997</v>
      </c>
      <c r="O192" s="225"/>
      <c r="P192" s="108">
        <v>7</v>
      </c>
      <c r="Q192" s="65">
        <v>41813.410000000003</v>
      </c>
      <c r="R192" s="224">
        <v>7</v>
      </c>
      <c r="S192" s="50">
        <f t="shared" ref="S192:S211" si="16">T192+U192</f>
        <v>41813.410000000003</v>
      </c>
      <c r="T192" s="65">
        <v>41813.410000000003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3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6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5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3"/>
        <v>5891.75</v>
      </c>
      <c r="N194" s="30">
        <v>5891.75</v>
      </c>
      <c r="O194" s="31"/>
      <c r="P194" s="53">
        <v>9</v>
      </c>
      <c r="Q194" s="30">
        <v>23074.77</v>
      </c>
      <c r="R194" s="205">
        <v>8</v>
      </c>
      <c r="S194" s="26">
        <f t="shared" si="16"/>
        <v>19951.68</v>
      </c>
      <c r="T194" s="30">
        <v>19951.68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3"/>
        <v>0</v>
      </c>
      <c r="N195" s="39"/>
      <c r="O195" s="41"/>
      <c r="P195" s="59"/>
      <c r="Q195" s="39"/>
      <c r="R195" s="40"/>
      <c r="S195" s="39">
        <f t="shared" si="16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3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6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2</v>
      </c>
      <c r="I197" s="57"/>
      <c r="J197" s="57"/>
      <c r="K197" s="43"/>
      <c r="L197" s="44"/>
      <c r="M197" s="43">
        <f t="shared" si="13"/>
        <v>0</v>
      </c>
      <c r="N197" s="43"/>
      <c r="O197" s="41"/>
      <c r="P197" s="113">
        <v>1</v>
      </c>
      <c r="Q197" s="114">
        <v>0</v>
      </c>
      <c r="R197" s="44"/>
      <c r="S197" s="43">
        <f t="shared" si="16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3"/>
        <v>0</v>
      </c>
      <c r="N198" s="26"/>
      <c r="O198" s="31"/>
      <c r="P198" s="120"/>
      <c r="Q198" s="26"/>
      <c r="R198" s="27"/>
      <c r="S198" s="26">
        <f t="shared" si="16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3"/>
        <v>0</v>
      </c>
      <c r="N199" s="39"/>
      <c r="O199" s="41"/>
      <c r="P199" s="69"/>
      <c r="Q199" s="39"/>
      <c r="R199" s="40"/>
      <c r="S199" s="39">
        <f t="shared" si="16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10</v>
      </c>
      <c r="M200" s="50">
        <f t="shared" si="13"/>
        <v>26045.17</v>
      </c>
      <c r="N200" s="65">
        <v>26045.17</v>
      </c>
      <c r="O200" s="225"/>
      <c r="P200" s="108">
        <v>10</v>
      </c>
      <c r="Q200" s="65">
        <v>22956.16</v>
      </c>
      <c r="R200" s="224">
        <v>10</v>
      </c>
      <c r="S200" s="50">
        <f t="shared" si="16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3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6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26</v>
      </c>
      <c r="I202" s="203">
        <v>23</v>
      </c>
      <c r="J202" s="203">
        <v>36</v>
      </c>
      <c r="K202" s="65">
        <v>64491.66</v>
      </c>
      <c r="L202" s="224">
        <v>33</v>
      </c>
      <c r="M202" s="50">
        <f t="shared" si="13"/>
        <v>58578.74</v>
      </c>
      <c r="N202" s="65">
        <v>58578.74</v>
      </c>
      <c r="O202" s="225"/>
      <c r="P202" s="108">
        <v>26</v>
      </c>
      <c r="Q202" s="65">
        <v>42356.26</v>
      </c>
      <c r="R202" s="224">
        <v>26</v>
      </c>
      <c r="S202" s="50">
        <f t="shared" si="16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7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3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6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15</v>
      </c>
      <c r="I204" s="62">
        <v>4</v>
      </c>
      <c r="J204" s="62">
        <v>7</v>
      </c>
      <c r="K204" s="30">
        <v>10728.02</v>
      </c>
      <c r="L204" s="205">
        <v>2</v>
      </c>
      <c r="M204" s="26">
        <f t="shared" si="13"/>
        <v>3016.65</v>
      </c>
      <c r="N204" s="30">
        <v>3016.65</v>
      </c>
      <c r="O204" s="31"/>
      <c r="P204" s="53">
        <v>12</v>
      </c>
      <c r="Q204" s="30">
        <v>44229.46</v>
      </c>
      <c r="R204" s="205">
        <v>11</v>
      </c>
      <c r="S204" s="26">
        <f t="shared" si="16"/>
        <v>35207.21</v>
      </c>
      <c r="T204" s="30">
        <v>35207.21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6</v>
      </c>
      <c r="I205" s="38"/>
      <c r="J205" s="38"/>
      <c r="K205" s="39"/>
      <c r="L205" s="40"/>
      <c r="M205" s="39">
        <f t="shared" si="13"/>
        <v>0</v>
      </c>
      <c r="N205" s="39"/>
      <c r="O205" s="41"/>
      <c r="P205" s="59"/>
      <c r="Q205" s="39"/>
      <c r="R205" s="40"/>
      <c r="S205" s="39">
        <f t="shared" si="16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3"/>
        <v>0</v>
      </c>
      <c r="N206" s="50"/>
      <c r="O206" s="31"/>
      <c r="P206" s="123"/>
      <c r="Q206" s="50"/>
      <c r="R206" s="51"/>
      <c r="S206" s="50">
        <f t="shared" si="16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3"/>
        <v>0</v>
      </c>
      <c r="N207" s="50"/>
      <c r="O207" s="45"/>
      <c r="P207" s="123"/>
      <c r="Q207" s="50"/>
      <c r="R207" s="51"/>
      <c r="S207" s="50">
        <f t="shared" si="16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3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6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3"/>
        <v>0</v>
      </c>
      <c r="N209" s="26"/>
      <c r="O209" s="31"/>
      <c r="P209" s="99"/>
      <c r="Q209" s="26"/>
      <c r="R209" s="27"/>
      <c r="S209" s="26">
        <f t="shared" si="16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57"/>
      <c r="J210" s="57"/>
      <c r="K210" s="43"/>
      <c r="L210" s="44"/>
      <c r="M210" s="43">
        <f t="shared" si="13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6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3"/>
        <v>0</v>
      </c>
      <c r="N211" s="26"/>
      <c r="O211" s="31"/>
      <c r="P211" s="99"/>
      <c r="Q211" s="26"/>
      <c r="R211" s="27"/>
      <c r="S211" s="26">
        <f t="shared" si="16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3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2</v>
      </c>
      <c r="J213" s="231">
        <v>2</v>
      </c>
      <c r="K213" s="91">
        <v>1393.86</v>
      </c>
      <c r="L213" s="330">
        <v>1</v>
      </c>
      <c r="M213" s="26">
        <f t="shared" si="13"/>
        <v>301.05</v>
      </c>
      <c r="N213" s="91">
        <v>301.05</v>
      </c>
      <c r="O213" s="94"/>
      <c r="P213" s="329"/>
      <c r="Q213" s="91"/>
      <c r="R213" s="330"/>
      <c r="S213" s="26">
        <f t="shared" ref="S213:S229" si="17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9</v>
      </c>
      <c r="I214" s="37">
        <v>4</v>
      </c>
      <c r="J214" s="37">
        <v>4</v>
      </c>
      <c r="K214" s="68">
        <v>9533.25</v>
      </c>
      <c r="L214" s="285">
        <v>3</v>
      </c>
      <c r="M214" s="87">
        <f t="shared" si="13"/>
        <v>8429.4</v>
      </c>
      <c r="N214" s="39">
        <f>3211.2+2609.1+2609.1</f>
        <v>8429.4</v>
      </c>
      <c r="O214" s="41"/>
      <c r="P214" s="217"/>
      <c r="Q214" s="68"/>
      <c r="R214" s="285"/>
      <c r="S214" s="87">
        <f t="shared" si="17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3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7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3"/>
        <v>0</v>
      </c>
      <c r="N216" s="43"/>
      <c r="O216" s="45"/>
      <c r="P216" s="273"/>
      <c r="Q216" s="211"/>
      <c r="R216" s="210"/>
      <c r="S216" s="211">
        <f t="shared" si="17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3"/>
        <v>6502.43</v>
      </c>
      <c r="N217" s="30">
        <v>6502.43</v>
      </c>
      <c r="O217" s="308"/>
      <c r="P217" s="99"/>
      <c r="Q217" s="26"/>
      <c r="R217" s="27"/>
      <c r="S217" s="26">
        <f t="shared" si="17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3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6</v>
      </c>
      <c r="S218" s="39">
        <f t="shared" si="17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3"/>
        <v>0</v>
      </c>
      <c r="N219" s="50"/>
      <c r="O219" s="31"/>
      <c r="P219" s="277"/>
      <c r="Q219" s="81"/>
      <c r="R219" s="80"/>
      <c r="S219" s="81">
        <f t="shared" si="17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57"/>
      <c r="J220" s="57"/>
      <c r="K220" s="43"/>
      <c r="L220" s="44"/>
      <c r="M220" s="43">
        <f t="shared" si="13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7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25</v>
      </c>
      <c r="I221" s="62">
        <v>23</v>
      </c>
      <c r="J221" s="62">
        <v>31</v>
      </c>
      <c r="K221" s="30">
        <v>69903.67</v>
      </c>
      <c r="L221" s="205">
        <v>29</v>
      </c>
      <c r="M221" s="26">
        <f t="shared" si="13"/>
        <v>66005.97</v>
      </c>
      <c r="N221" s="30">
        <v>66005.97</v>
      </c>
      <c r="O221" s="225"/>
      <c r="P221" s="53">
        <v>24</v>
      </c>
      <c r="Q221" s="30">
        <v>70420.100000000006</v>
      </c>
      <c r="R221" s="205">
        <v>23</v>
      </c>
      <c r="S221" s="26">
        <f t="shared" si="17"/>
        <v>69064.09</v>
      </c>
      <c r="T221" s="30">
        <v>69064.09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3"/>
        <v>0</v>
      </c>
      <c r="N222" s="39"/>
      <c r="O222" s="41"/>
      <c r="P222" s="59"/>
      <c r="Q222" s="39"/>
      <c r="R222" s="40"/>
      <c r="S222" s="39">
        <f t="shared" si="17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3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7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3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2</v>
      </c>
      <c r="S224" s="39">
        <f t="shared" si="17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3"/>
        <v>0</v>
      </c>
      <c r="N225" s="91"/>
      <c r="O225" s="331"/>
      <c r="P225" s="329"/>
      <c r="Q225" s="91"/>
      <c r="R225" s="330"/>
      <c r="S225" s="142">
        <f t="shared" si="17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3"/>
        <v>0</v>
      </c>
      <c r="N226" s="209"/>
      <c r="O226" s="234"/>
      <c r="P226" s="262"/>
      <c r="Q226" s="209"/>
      <c r="R226" s="290"/>
      <c r="S226" s="87">
        <f t="shared" si="17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34</v>
      </c>
      <c r="I227" s="62">
        <v>15</v>
      </c>
      <c r="J227" s="62">
        <v>16</v>
      </c>
      <c r="K227" s="30">
        <v>15584.37</v>
      </c>
      <c r="L227" s="205">
        <v>14</v>
      </c>
      <c r="M227" s="26">
        <f t="shared" si="13"/>
        <v>12481.62</v>
      </c>
      <c r="N227" s="30">
        <v>12481.62</v>
      </c>
      <c r="O227" s="269"/>
      <c r="P227" s="53">
        <v>29</v>
      </c>
      <c r="Q227" s="30">
        <v>78523.929999999993</v>
      </c>
      <c r="R227" s="205">
        <v>28</v>
      </c>
      <c r="S227" s="26">
        <f t="shared" si="17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3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7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51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3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7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16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26</v>
      </c>
      <c r="I231" s="203">
        <v>17</v>
      </c>
      <c r="J231" s="203">
        <v>20</v>
      </c>
      <c r="K231" s="65">
        <v>35378.800000000003</v>
      </c>
      <c r="L231" s="224">
        <v>20</v>
      </c>
      <c r="M231" s="50">
        <f>N231+O231</f>
        <v>35378.800000000003</v>
      </c>
      <c r="N231" s="65">
        <v>35378.800000000003</v>
      </c>
      <c r="O231" s="225"/>
      <c r="P231" s="108">
        <v>20</v>
      </c>
      <c r="Q231" s="65">
        <v>72364.149999999994</v>
      </c>
      <c r="R231" s="224">
        <v>20</v>
      </c>
      <c r="S231" s="50">
        <f>T231+U231</f>
        <v>72364.149999999994</v>
      </c>
      <c r="T231" s="65">
        <v>72364.149999999994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7</v>
      </c>
      <c r="I233" s="62">
        <v>5</v>
      </c>
      <c r="J233" s="62">
        <v>5</v>
      </c>
      <c r="K233" s="30">
        <v>8372.27</v>
      </c>
      <c r="L233" s="205">
        <v>5</v>
      </c>
      <c r="M233" s="26">
        <f t="shared" ref="M233:M259" si="18">N233+O233</f>
        <v>8372.27</v>
      </c>
      <c r="N233" s="30">
        <v>8372.27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19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8"/>
        <v>0</v>
      </c>
      <c r="N234" s="43"/>
      <c r="O234" s="41"/>
      <c r="P234" s="103"/>
      <c r="Q234" s="43"/>
      <c r="R234" s="44"/>
      <c r="S234" s="43">
        <f t="shared" si="19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7</v>
      </c>
      <c r="J235" s="62">
        <v>7</v>
      </c>
      <c r="K235" s="30">
        <v>7436.01</v>
      </c>
      <c r="L235" s="205">
        <v>7</v>
      </c>
      <c r="M235" s="26">
        <f t="shared" si="18"/>
        <v>7436.01</v>
      </c>
      <c r="N235" s="30">
        <v>7436.01</v>
      </c>
      <c r="O235" s="31"/>
      <c r="P235" s="29">
        <v>1</v>
      </c>
      <c r="Q235" s="30">
        <v>2466.56</v>
      </c>
      <c r="R235" s="205">
        <v>1</v>
      </c>
      <c r="S235" s="26">
        <f t="shared" si="19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8"/>
        <v>0</v>
      </c>
      <c r="N236" s="39"/>
      <c r="O236" s="41"/>
      <c r="P236" s="69"/>
      <c r="Q236" s="39"/>
      <c r="R236" s="40"/>
      <c r="S236" s="39">
        <f t="shared" si="19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8"/>
        <v>0</v>
      </c>
      <c r="N237" s="81"/>
      <c r="O237" s="82"/>
      <c r="P237" s="295"/>
      <c r="Q237" s="81"/>
      <c r="R237" s="80"/>
      <c r="S237" s="142">
        <f t="shared" si="19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8"/>
        <v>0</v>
      </c>
      <c r="N238" s="211"/>
      <c r="O238" s="212"/>
      <c r="P238" s="284"/>
      <c r="Q238" s="211"/>
      <c r="R238" s="210"/>
      <c r="S238" s="39">
        <f t="shared" si="19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8"/>
        <v>0</v>
      </c>
      <c r="N239" s="26"/>
      <c r="O239" s="28"/>
      <c r="P239" s="29">
        <v>4</v>
      </c>
      <c r="Q239" s="30">
        <v>0</v>
      </c>
      <c r="R239" s="27"/>
      <c r="S239" s="26">
        <f t="shared" si="19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8"/>
        <v>0</v>
      </c>
      <c r="N240" s="211"/>
      <c r="O240" s="212"/>
      <c r="P240" s="284"/>
      <c r="Q240" s="211"/>
      <c r="R240" s="210"/>
      <c r="S240" s="211">
        <f t="shared" si="19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21</v>
      </c>
      <c r="I241" s="62">
        <v>14</v>
      </c>
      <c r="J241" s="62">
        <v>17</v>
      </c>
      <c r="K241" s="30">
        <v>31536.51</v>
      </c>
      <c r="L241" s="205">
        <v>17</v>
      </c>
      <c r="M241" s="26">
        <f t="shared" si="18"/>
        <v>31536.51</v>
      </c>
      <c r="N241" s="30">
        <v>31536.51</v>
      </c>
      <c r="O241" s="28"/>
      <c r="P241" s="214"/>
      <c r="Q241" s="30"/>
      <c r="R241" s="205"/>
      <c r="S241" s="26">
        <f t="shared" si="19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5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8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19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17</v>
      </c>
      <c r="I243" s="266">
        <v>10</v>
      </c>
      <c r="J243" s="266">
        <v>11</v>
      </c>
      <c r="K243" s="79">
        <v>18573.689999999999</v>
      </c>
      <c r="L243" s="268">
        <v>11</v>
      </c>
      <c r="M243" s="81">
        <f t="shared" si="18"/>
        <v>18573.689999999999</v>
      </c>
      <c r="N243" s="79">
        <v>18573.689999999999</v>
      </c>
      <c r="O243" s="219"/>
      <c r="P243" s="267">
        <v>16</v>
      </c>
      <c r="Q243" s="79">
        <v>70880.23</v>
      </c>
      <c r="R243" s="268">
        <v>16</v>
      </c>
      <c r="S243" s="26">
        <f t="shared" si="19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8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19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18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8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12</v>
      </c>
      <c r="S245" s="26">
        <f t="shared" si="19"/>
        <v>75520.89</v>
      </c>
      <c r="T245" s="30">
        <v>75520.89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8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19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8"/>
        <v>0</v>
      </c>
      <c r="N247" s="79"/>
      <c r="O247" s="82"/>
      <c r="P247" s="267"/>
      <c r="Q247" s="79"/>
      <c r="R247" s="268"/>
      <c r="S247" s="142">
        <f t="shared" si="19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6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8"/>
        <v>1324.62</v>
      </c>
      <c r="N248" s="339">
        <v>1324.62</v>
      </c>
      <c r="O248" s="89"/>
      <c r="P248" s="357"/>
      <c r="Q248" s="339"/>
      <c r="R248" s="340"/>
      <c r="S248" s="39">
        <f t="shared" si="19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17</v>
      </c>
      <c r="I249" s="266">
        <v>10</v>
      </c>
      <c r="J249" s="266">
        <v>12</v>
      </c>
      <c r="K249" s="79">
        <v>13757.78</v>
      </c>
      <c r="L249" s="268">
        <v>5</v>
      </c>
      <c r="M249" s="81">
        <f t="shared" si="18"/>
        <v>6598</v>
      </c>
      <c r="N249" s="79">
        <v>6598</v>
      </c>
      <c r="O249" s="219"/>
      <c r="P249" s="267">
        <v>13</v>
      </c>
      <c r="Q249" s="79">
        <v>43600.12</v>
      </c>
      <c r="R249" s="268">
        <v>12</v>
      </c>
      <c r="S249" s="81">
        <f t="shared" si="19"/>
        <v>23530.12</v>
      </c>
      <c r="T249" s="79">
        <v>23530.12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5</v>
      </c>
      <c r="J250" s="208">
        <v>5</v>
      </c>
      <c r="K250" s="209">
        <v>11904.4</v>
      </c>
      <c r="L250" s="290">
        <v>2</v>
      </c>
      <c r="M250" s="211">
        <f t="shared" si="18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19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11</v>
      </c>
      <c r="I251" s="62">
        <v>8</v>
      </c>
      <c r="J251" s="62">
        <v>13</v>
      </c>
      <c r="K251" s="30">
        <v>16702.03</v>
      </c>
      <c r="L251" s="205">
        <v>13</v>
      </c>
      <c r="M251" s="26">
        <f t="shared" si="18"/>
        <v>16702.03</v>
      </c>
      <c r="N251" s="30">
        <v>16702.03</v>
      </c>
      <c r="O251" s="28"/>
      <c r="P251" s="275"/>
      <c r="Q251" s="26"/>
      <c r="R251" s="27"/>
      <c r="S251" s="26">
        <f t="shared" si="19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8"/>
        <v>0</v>
      </c>
      <c r="N252" s="39"/>
      <c r="O252" s="41"/>
      <c r="P252" s="276"/>
      <c r="Q252" s="39"/>
      <c r="R252" s="40"/>
      <c r="S252" s="39">
        <f t="shared" si="19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3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8"/>
        <v>3158.6</v>
      </c>
      <c r="N253" s="79">
        <v>3158.6</v>
      </c>
      <c r="O253" s="219"/>
      <c r="P253" s="277"/>
      <c r="Q253" s="81"/>
      <c r="R253" s="80"/>
      <c r="S253" s="81">
        <f t="shared" si="19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6</v>
      </c>
      <c r="I254" s="130">
        <v>3</v>
      </c>
      <c r="J254" s="130">
        <v>3</v>
      </c>
      <c r="K254" s="114">
        <v>8675.82</v>
      </c>
      <c r="L254" s="270">
        <v>3</v>
      </c>
      <c r="M254" s="43">
        <f t="shared" si="18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19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8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19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7</v>
      </c>
      <c r="I256" s="57"/>
      <c r="J256" s="57"/>
      <c r="K256" s="43"/>
      <c r="L256" s="44"/>
      <c r="M256" s="43">
        <f t="shared" si="18"/>
        <v>0</v>
      </c>
      <c r="N256" s="43"/>
      <c r="O256" s="41"/>
      <c r="P256" s="113">
        <v>3</v>
      </c>
      <c r="Q256" s="114">
        <v>15773.67</v>
      </c>
      <c r="R256" s="270">
        <v>3</v>
      </c>
      <c r="S256" s="43">
        <f t="shared" si="19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15</v>
      </c>
      <c r="I257" s="62">
        <v>10</v>
      </c>
      <c r="J257" s="62">
        <v>14</v>
      </c>
      <c r="K257" s="30">
        <v>26534.59</v>
      </c>
      <c r="L257" s="205">
        <v>9</v>
      </c>
      <c r="M257" s="26">
        <f t="shared" si="18"/>
        <v>20964.32</v>
      </c>
      <c r="N257" s="30">
        <v>20964.32</v>
      </c>
      <c r="O257" s="31"/>
      <c r="P257" s="53">
        <v>14</v>
      </c>
      <c r="Q257" s="30">
        <v>43510.34</v>
      </c>
      <c r="R257" s="205">
        <v>13</v>
      </c>
      <c r="S257" s="26">
        <f t="shared" si="19"/>
        <v>34864.89</v>
      </c>
      <c r="T257" s="30">
        <v>34864.89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10</v>
      </c>
      <c r="I258" s="37">
        <v>1</v>
      </c>
      <c r="J258" s="37">
        <v>1</v>
      </c>
      <c r="K258" s="68">
        <v>3010</v>
      </c>
      <c r="L258" s="40"/>
      <c r="M258" s="39">
        <f t="shared" si="18"/>
        <v>0</v>
      </c>
      <c r="N258" s="39"/>
      <c r="O258" s="41"/>
      <c r="P258" s="59"/>
      <c r="Q258" s="39"/>
      <c r="R258" s="40"/>
      <c r="S258" s="39">
        <f t="shared" si="19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17</v>
      </c>
      <c r="I259" s="203">
        <v>15</v>
      </c>
      <c r="J259" s="203">
        <v>20</v>
      </c>
      <c r="K259" s="65">
        <v>35824.5</v>
      </c>
      <c r="L259" s="224">
        <v>20</v>
      </c>
      <c r="M259" s="50">
        <f t="shared" si="18"/>
        <v>35824.5</v>
      </c>
      <c r="N259" s="65">
        <v>35824.5</v>
      </c>
      <c r="O259" s="225"/>
      <c r="P259" s="108">
        <v>20</v>
      </c>
      <c r="Q259" s="65">
        <v>57368.51</v>
      </c>
      <c r="R259" s="224">
        <v>20</v>
      </c>
      <c r="S259" s="50">
        <f t="shared" si="19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4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0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1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0"/>
        <v>0</v>
      </c>
      <c r="N262" s="43"/>
      <c r="O262" s="41"/>
      <c r="P262" s="113"/>
      <c r="Q262" s="114"/>
      <c r="R262" s="44"/>
      <c r="S262" s="43">
        <f t="shared" si="21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3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0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1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0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1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13</v>
      </c>
      <c r="J265" s="62">
        <v>17</v>
      </c>
      <c r="K265" s="30">
        <v>32041.62</v>
      </c>
      <c r="L265" s="205">
        <v>16</v>
      </c>
      <c r="M265" s="26">
        <f t="shared" si="20"/>
        <v>30275.46</v>
      </c>
      <c r="N265" s="30">
        <v>30275.46</v>
      </c>
      <c r="O265" s="241"/>
      <c r="P265" s="29">
        <v>3</v>
      </c>
      <c r="Q265" s="30">
        <v>23366.85</v>
      </c>
      <c r="R265" s="205">
        <v>2</v>
      </c>
      <c r="S265" s="26">
        <f t="shared" si="21"/>
        <v>1870.81</v>
      </c>
      <c r="T265" s="30">
        <v>1870.81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1</v>
      </c>
      <c r="J266" s="37">
        <v>1</v>
      </c>
      <c r="K266" s="68">
        <v>1921</v>
      </c>
      <c r="L266" s="285">
        <v>1</v>
      </c>
      <c r="M266" s="39">
        <f t="shared" si="20"/>
        <v>1921</v>
      </c>
      <c r="N266" s="39">
        <f>1921</f>
        <v>1921</v>
      </c>
      <c r="O266" s="41"/>
      <c r="P266" s="69"/>
      <c r="Q266" s="39"/>
      <c r="R266" s="40"/>
      <c r="S266" s="39">
        <f t="shared" si="21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0"/>
        <v>0</v>
      </c>
      <c r="N267" s="50"/>
      <c r="O267" s="31"/>
      <c r="P267" s="123"/>
      <c r="Q267" s="50"/>
      <c r="R267" s="51"/>
      <c r="S267" s="50">
        <f t="shared" si="21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0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1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23</v>
      </c>
      <c r="I269" s="62">
        <v>21</v>
      </c>
      <c r="J269" s="62">
        <v>25</v>
      </c>
      <c r="K269" s="30">
        <v>37103.5</v>
      </c>
      <c r="L269" s="205">
        <v>23</v>
      </c>
      <c r="M269" s="26">
        <f t="shared" si="20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1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0"/>
        <v>1728.9</v>
      </c>
      <c r="N270" s="39">
        <f>1728.9</f>
        <v>1728.9</v>
      </c>
      <c r="O270" s="41"/>
      <c r="P270" s="42"/>
      <c r="Q270" s="43"/>
      <c r="R270" s="44"/>
      <c r="S270" s="43">
        <f t="shared" si="21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0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1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/>
      <c r="J272" s="37"/>
      <c r="K272" s="39"/>
      <c r="L272" s="44"/>
      <c r="M272" s="43">
        <f t="shared" si="20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1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/>
      <c r="M273" s="26">
        <f t="shared" si="20"/>
        <v>0</v>
      </c>
      <c r="N273" s="26"/>
      <c r="O273" s="31"/>
      <c r="P273" s="64">
        <v>7</v>
      </c>
      <c r="Q273" s="65">
        <v>46859.35</v>
      </c>
      <c r="R273" s="224">
        <v>7</v>
      </c>
      <c r="S273" s="50">
        <f t="shared" si="21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8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0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1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0"/>
        <v>0</v>
      </c>
      <c r="N275" s="26"/>
      <c r="O275" s="28"/>
      <c r="P275" s="120"/>
      <c r="Q275" s="26"/>
      <c r="R275" s="27"/>
      <c r="S275" s="26">
        <f t="shared" si="21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9</v>
      </c>
      <c r="I276" s="37">
        <v>4</v>
      </c>
      <c r="J276" s="37">
        <v>4</v>
      </c>
      <c r="K276" s="68">
        <v>9834.2999999999993</v>
      </c>
      <c r="L276" s="40"/>
      <c r="M276" s="39">
        <f t="shared" si="20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1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0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1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0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1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11</v>
      </c>
      <c r="I279" s="62">
        <v>10</v>
      </c>
      <c r="J279" s="62">
        <v>11</v>
      </c>
      <c r="K279" s="30">
        <v>13036.69</v>
      </c>
      <c r="L279" s="205">
        <v>10</v>
      </c>
      <c r="M279" s="26">
        <f t="shared" si="20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1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0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1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0"/>
        <v>0</v>
      </c>
      <c r="N281" s="50"/>
      <c r="O281" s="31"/>
      <c r="P281" s="123"/>
      <c r="Q281" s="50"/>
      <c r="R281" s="51"/>
      <c r="S281" s="50">
        <f t="shared" si="21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0"/>
        <v>0</v>
      </c>
      <c r="N282" s="43"/>
      <c r="O282" s="41"/>
      <c r="P282" s="103"/>
      <c r="Q282" s="43"/>
      <c r="R282" s="44"/>
      <c r="S282" s="43">
        <f t="shared" si="21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0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1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0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1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0"/>
        <v>0</v>
      </c>
      <c r="N285" s="26"/>
      <c r="O285" s="241"/>
      <c r="P285" s="214"/>
      <c r="Q285" s="30"/>
      <c r="R285" s="205"/>
      <c r="S285" s="26">
        <f t="shared" si="21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0"/>
        <v>0</v>
      </c>
      <c r="N286" s="39"/>
      <c r="O286" s="234"/>
      <c r="P286" s="217"/>
      <c r="Q286" s="68"/>
      <c r="R286" s="285"/>
      <c r="S286" s="39">
        <f t="shared" si="21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20</v>
      </c>
      <c r="I287" s="266">
        <v>15</v>
      </c>
      <c r="J287" s="266">
        <v>23</v>
      </c>
      <c r="K287" s="79">
        <v>32610.76</v>
      </c>
      <c r="L287" s="268">
        <v>23</v>
      </c>
      <c r="M287" s="81">
        <f t="shared" si="20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1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3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2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3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2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3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2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2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3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2"/>
        <v>0</v>
      </c>
      <c r="N292" s="39"/>
      <c r="O292" s="41"/>
      <c r="P292" s="69"/>
      <c r="Q292" s="39"/>
      <c r="R292" s="40"/>
      <c r="S292" s="39">
        <f t="shared" si="23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7</v>
      </c>
      <c r="J293" s="203">
        <v>8</v>
      </c>
      <c r="K293" s="65">
        <v>10206.33</v>
      </c>
      <c r="L293" s="224">
        <v>8</v>
      </c>
      <c r="M293" s="50">
        <f t="shared" si="22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3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2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4">SUM(H9:H294)</f>
        <v>1912</v>
      </c>
      <c r="I295" s="183">
        <f t="shared" si="24"/>
        <v>1216</v>
      </c>
      <c r="J295" s="183">
        <f t="shared" si="24"/>
        <v>1523</v>
      </c>
      <c r="K295" s="184">
        <f t="shared" si="24"/>
        <v>2836473.3699999996</v>
      </c>
      <c r="L295" s="185">
        <f t="shared" si="24"/>
        <v>1388</v>
      </c>
      <c r="M295" s="184">
        <f t="shared" si="24"/>
        <v>2555724.9599999986</v>
      </c>
      <c r="N295" s="184">
        <f t="shared" si="24"/>
        <v>2556929.1599999983</v>
      </c>
      <c r="O295" s="186">
        <f t="shared" si="24"/>
        <v>0</v>
      </c>
      <c r="P295" s="187">
        <f t="shared" si="24"/>
        <v>1385</v>
      </c>
      <c r="Q295" s="188">
        <f t="shared" si="24"/>
        <v>4877209.01</v>
      </c>
      <c r="R295" s="185">
        <f t="shared" si="24"/>
        <v>1318</v>
      </c>
      <c r="S295" s="188">
        <f t="shared" si="24"/>
        <v>4651560.0999999996</v>
      </c>
      <c r="T295" s="188">
        <f t="shared" si="24"/>
        <v>4651560.0999999996</v>
      </c>
      <c r="U295" s="189">
        <f t="shared" si="24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5">SUMIF($G$9:$G$294,$F$301,H9:H294)</f>
        <v>1395</v>
      </c>
      <c r="H301" s="193">
        <f t="shared" si="25"/>
        <v>1015</v>
      </c>
      <c r="I301" s="193">
        <f t="shared" si="25"/>
        <v>1321</v>
      </c>
      <c r="J301" s="194">
        <f t="shared" ref="J301:J303" si="26">SUMIF($G$9:$G$294,F301,$K$9:$K$294)</f>
        <v>2451484.4</v>
      </c>
      <c r="K301" s="195">
        <f t="shared" ref="K301:K303" si="27">SUMIF($G$9:$G$294,F301,$L$9:$L$294)</f>
        <v>1201</v>
      </c>
      <c r="L301" s="194">
        <f t="shared" ref="L301:L303" si="28">SUMIF($G$9:$G$294,F301,$M$9:$M$294)</f>
        <v>2200161.44</v>
      </c>
      <c r="M301" s="194">
        <f t="shared" ref="M301:O301" si="29">SUMIF($G$9:$G$294,$F$301,N9:N294)</f>
        <v>2200161.44</v>
      </c>
      <c r="N301" s="194">
        <f t="shared" si="29"/>
        <v>0</v>
      </c>
      <c r="O301" s="193">
        <f t="shared" si="29"/>
        <v>1110</v>
      </c>
      <c r="P301" s="194">
        <f t="shared" ref="P301:P303" si="30">SUMIF($G$9:$G$294,F301,$Q$9:$Q$294)</f>
        <v>3970088.8899999992</v>
      </c>
      <c r="Q301" s="195">
        <f t="shared" ref="Q301:Q303" si="31">SUMIF($G$9:$G$294,F301,$R$9:$R$294)</f>
        <v>1031</v>
      </c>
      <c r="R301" s="194">
        <f t="shared" ref="R301:R303" si="32">SUMIF($G$9:$G$294,F301,$S$9:$S$294)</f>
        <v>3733492.5300000003</v>
      </c>
      <c r="S301" s="194">
        <f t="shared" ref="S301:T301" si="33">SUMIF($G$9:$G$294,$F$301,T9:T294)</f>
        <v>3733492.5300000003</v>
      </c>
      <c r="T301" s="194">
        <f t="shared" si="33"/>
        <v>0</v>
      </c>
      <c r="U301" s="194">
        <f t="shared" ref="U301:U303" si="34">S301+M301</f>
        <v>5933653.9700000007</v>
      </c>
      <c r="V301" s="196">
        <f t="shared" ref="V301:V303" si="35">J301-M301+P301-S301</f>
        <v>487919.31999999937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6">SUMIF($G$9:$G$294,$F$302,H9:H294)</f>
        <v>432</v>
      </c>
      <c r="H302" s="193">
        <f t="shared" si="36"/>
        <v>158</v>
      </c>
      <c r="I302" s="193">
        <f t="shared" si="36"/>
        <v>159</v>
      </c>
      <c r="J302" s="194">
        <f t="shared" si="26"/>
        <v>314316.98000000004</v>
      </c>
      <c r="K302" s="195">
        <f t="shared" si="27"/>
        <v>144</v>
      </c>
      <c r="L302" s="194">
        <f t="shared" si="28"/>
        <v>284891.52999999991</v>
      </c>
      <c r="M302" s="194">
        <f t="shared" ref="M302:O302" si="37">SUMIF($G$9:$G$294,$F$302,N9:N294)</f>
        <v>286095.73</v>
      </c>
      <c r="N302" s="194">
        <f t="shared" si="37"/>
        <v>0</v>
      </c>
      <c r="O302" s="193">
        <f t="shared" si="37"/>
        <v>209</v>
      </c>
      <c r="P302" s="194">
        <f t="shared" si="30"/>
        <v>652535.57000000007</v>
      </c>
      <c r="Q302" s="195">
        <f t="shared" si="31"/>
        <v>225</v>
      </c>
      <c r="R302" s="194">
        <f t="shared" si="32"/>
        <v>679137.62000000023</v>
      </c>
      <c r="S302" s="194">
        <f t="shared" ref="S302:T302" si="38">SUMIF($G$9:$G$294,$F$302,T9:T294)</f>
        <v>679137.62000000023</v>
      </c>
      <c r="T302" s="194">
        <f t="shared" si="38"/>
        <v>0</v>
      </c>
      <c r="U302" s="194">
        <f t="shared" si="34"/>
        <v>965233.35000000021</v>
      </c>
      <c r="V302" s="196">
        <f t="shared" si="35"/>
        <v>1619.199999999837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39">SUMIF($G$9:$G$294,$F$303,H9:H294)</f>
        <v>85</v>
      </c>
      <c r="H303" s="193">
        <f t="shared" si="39"/>
        <v>43</v>
      </c>
      <c r="I303" s="193">
        <f t="shared" si="39"/>
        <v>43</v>
      </c>
      <c r="J303" s="194">
        <f t="shared" si="26"/>
        <v>70671.989999999991</v>
      </c>
      <c r="K303" s="195">
        <f t="shared" si="27"/>
        <v>43</v>
      </c>
      <c r="L303" s="194">
        <f t="shared" si="28"/>
        <v>70671.989999999991</v>
      </c>
      <c r="M303" s="194">
        <f t="shared" ref="M303:O303" si="40">SUMIF($G$9:$G$294,$F$303,N9:N294)</f>
        <v>70671.989999999991</v>
      </c>
      <c r="N303" s="194">
        <f t="shared" si="40"/>
        <v>0</v>
      </c>
      <c r="O303" s="193">
        <f t="shared" si="40"/>
        <v>66</v>
      </c>
      <c r="P303" s="194">
        <f t="shared" si="30"/>
        <v>254584.55</v>
      </c>
      <c r="Q303" s="195">
        <f t="shared" si="31"/>
        <v>62</v>
      </c>
      <c r="R303" s="194">
        <f t="shared" si="32"/>
        <v>238929.94999999998</v>
      </c>
      <c r="S303" s="194">
        <f t="shared" ref="S303:T303" si="41">SUMIF($G$9:$G$294,$F$303,T9:T294)</f>
        <v>238929.94999999998</v>
      </c>
      <c r="T303" s="194">
        <f t="shared" si="41"/>
        <v>0</v>
      </c>
      <c r="U303" s="194">
        <f t="shared" si="34"/>
        <v>309601.93999999994</v>
      </c>
      <c r="V303" s="196">
        <f t="shared" si="35"/>
        <v>15654.600000000006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2">G303+G302+G301</f>
        <v>1912</v>
      </c>
      <c r="H304" s="197">
        <f t="shared" si="42"/>
        <v>1216</v>
      </c>
      <c r="I304" s="197">
        <f t="shared" si="42"/>
        <v>1523</v>
      </c>
      <c r="J304" s="198">
        <f t="shared" si="42"/>
        <v>2836473.37</v>
      </c>
      <c r="K304" s="199">
        <f t="shared" si="42"/>
        <v>1388</v>
      </c>
      <c r="L304" s="198">
        <f t="shared" si="42"/>
        <v>2555724.96</v>
      </c>
      <c r="M304" s="198">
        <f t="shared" si="42"/>
        <v>2556929.16</v>
      </c>
      <c r="N304" s="198">
        <f t="shared" si="42"/>
        <v>0</v>
      </c>
      <c r="O304" s="197">
        <f t="shared" si="42"/>
        <v>1385</v>
      </c>
      <c r="P304" s="198">
        <f t="shared" si="42"/>
        <v>4877209.01</v>
      </c>
      <c r="Q304" s="200">
        <f t="shared" si="42"/>
        <v>1318</v>
      </c>
      <c r="R304" s="198">
        <f t="shared" si="42"/>
        <v>4651560.1000000006</v>
      </c>
      <c r="S304" s="198">
        <f t="shared" si="42"/>
        <v>4651560.1000000006</v>
      </c>
      <c r="T304" s="198">
        <f t="shared" si="42"/>
        <v>0</v>
      </c>
      <c r="U304" s="198">
        <f t="shared" si="42"/>
        <v>7208489.2600000007</v>
      </c>
      <c r="V304" s="198">
        <f t="shared" si="42"/>
        <v>505193.11999999918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14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21</v>
      </c>
      <c r="K13" s="79">
        <v>59450.59</v>
      </c>
      <c r="L13" s="268">
        <v>21</v>
      </c>
      <c r="M13" s="81">
        <f t="shared" si="0"/>
        <v>59450.59</v>
      </c>
      <c r="N13" s="79">
        <v>59450.59</v>
      </c>
      <c r="O13" s="97"/>
      <c r="P13" s="267">
        <v>14</v>
      </c>
      <c r="Q13" s="79">
        <v>87821.82</v>
      </c>
      <c r="R13" s="268">
        <v>14</v>
      </c>
      <c r="S13" s="81">
        <f t="shared" si="1"/>
        <v>87821.82</v>
      </c>
      <c r="T13" s="79">
        <v>87821.82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5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28</v>
      </c>
      <c r="I15" s="62">
        <v>26</v>
      </c>
      <c r="J15" s="62">
        <v>45</v>
      </c>
      <c r="K15" s="30">
        <v>116609.61</v>
      </c>
      <c r="L15" s="205">
        <v>42</v>
      </c>
      <c r="M15" s="26">
        <f t="shared" si="0"/>
        <v>101976.28</v>
      </c>
      <c r="N15" s="30">
        <v>101976.28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4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8</v>
      </c>
      <c r="Q18" s="209">
        <v>40605.910000000003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15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11</v>
      </c>
      <c r="I21" s="266">
        <v>10</v>
      </c>
      <c r="J21" s="266">
        <v>15</v>
      </c>
      <c r="K21" s="79">
        <v>28930.75</v>
      </c>
      <c r="L21" s="268">
        <v>14</v>
      </c>
      <c r="M21" s="81">
        <f t="shared" si="0"/>
        <v>22307.65</v>
      </c>
      <c r="N21" s="79">
        <v>22307.65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18</v>
      </c>
      <c r="I23" s="203">
        <v>16</v>
      </c>
      <c r="J23" s="203">
        <v>28</v>
      </c>
      <c r="K23" s="65">
        <v>42451.35</v>
      </c>
      <c r="L23" s="224">
        <v>27</v>
      </c>
      <c r="M23" s="50">
        <f t="shared" si="0"/>
        <v>40994.269999999997</v>
      </c>
      <c r="N23" s="65">
        <v>40994.269999999997</v>
      </c>
      <c r="O23" s="225"/>
      <c r="P23" s="53">
        <v>17</v>
      </c>
      <c r="Q23" s="30">
        <v>35092</v>
      </c>
      <c r="R23" s="205">
        <v>16</v>
      </c>
      <c r="S23" s="26">
        <f t="shared" si="1"/>
        <v>35092</v>
      </c>
      <c r="T23" s="30">
        <v>35092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17</v>
      </c>
      <c r="I25" s="62">
        <v>13</v>
      </c>
      <c r="J25" s="62">
        <v>13</v>
      </c>
      <c r="K25" s="62">
        <v>10081.81</v>
      </c>
      <c r="L25" s="205">
        <v>13</v>
      </c>
      <c r="M25" s="26">
        <f t="shared" si="0"/>
        <v>10081.81</v>
      </c>
      <c r="N25" s="30">
        <v>10081.81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5</v>
      </c>
      <c r="I26" s="37">
        <v>1</v>
      </c>
      <c r="J26" s="37">
        <v>1</v>
      </c>
      <c r="K26" s="68">
        <v>1986.93</v>
      </c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15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3</v>
      </c>
      <c r="J28" s="130">
        <v>3</v>
      </c>
      <c r="K28" s="114">
        <v>3211.2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11</v>
      </c>
      <c r="Q28" s="68">
        <v>47836.3</v>
      </c>
      <c r="R28" s="285">
        <v>9</v>
      </c>
      <c r="S28" s="39">
        <f t="shared" si="1"/>
        <v>27294.600000000002</v>
      </c>
      <c r="T28" s="68">
        <f>4302+3533.6+960.5+5240.8+4226.2+5820.3+2007+1204.2</f>
        <v>27294.600000000002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7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15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5</v>
      </c>
      <c r="J34" s="130">
        <v>5</v>
      </c>
      <c r="K34" s="114">
        <v>13447</v>
      </c>
      <c r="L34" s="270">
        <v>5</v>
      </c>
      <c r="M34" s="114">
        <v>13447</v>
      </c>
      <c r="N34" s="114">
        <v>13447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5</v>
      </c>
      <c r="I43" s="62">
        <v>3</v>
      </c>
      <c r="J43" s="62">
        <v>5</v>
      </c>
      <c r="K43" s="30">
        <v>10750.36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17</v>
      </c>
      <c r="J45" s="266">
        <v>21</v>
      </c>
      <c r="K45" s="79">
        <v>34699.769999999997</v>
      </c>
      <c r="L45" s="268">
        <v>20</v>
      </c>
      <c r="M45" s="81">
        <f t="shared" si="2"/>
        <v>33657.33</v>
      </c>
      <c r="N45" s="79">
        <v>33657.33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24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5</v>
      </c>
      <c r="J50" s="266">
        <v>6</v>
      </c>
      <c r="K50" s="79">
        <v>9733.15</v>
      </c>
      <c r="L50" s="268">
        <v>6</v>
      </c>
      <c r="M50" s="81">
        <f t="shared" si="2"/>
        <v>9733.15</v>
      </c>
      <c r="N50" s="79">
        <v>9733.15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1</v>
      </c>
      <c r="J53" s="338">
        <v>1</v>
      </c>
      <c r="K53" s="339">
        <v>1134.9000000000001</v>
      </c>
      <c r="L53" s="88"/>
      <c r="M53" s="39">
        <f t="shared" si="2"/>
        <v>0</v>
      </c>
      <c r="N53" s="87"/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4</v>
      </c>
      <c r="I56" s="266">
        <v>1</v>
      </c>
      <c r="J56" s="266">
        <v>1</v>
      </c>
      <c r="K56" s="79">
        <v>2284.9299999999998</v>
      </c>
      <c r="L56" s="268">
        <v>1</v>
      </c>
      <c r="M56" s="81">
        <f t="shared" si="2"/>
        <v>2284.9299999999998</v>
      </c>
      <c r="N56" s="79">
        <v>2284.9299999999998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7</v>
      </c>
      <c r="I57" s="130">
        <v>6</v>
      </c>
      <c r="J57" s="130">
        <v>6</v>
      </c>
      <c r="K57" s="114">
        <v>14932.08</v>
      </c>
      <c r="L57" s="270">
        <v>3</v>
      </c>
      <c r="M57" s="43">
        <f t="shared" si="2"/>
        <v>5619.5999999999995</v>
      </c>
      <c r="N57" s="43">
        <f>1605.6+1806.3+2207.7</f>
        <v>5619.5999999999995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5</v>
      </c>
      <c r="I59" s="37">
        <v>2</v>
      </c>
      <c r="J59" s="37">
        <v>2</v>
      </c>
      <c r="K59" s="68">
        <v>4616.1000000000004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11</v>
      </c>
      <c r="Q59" s="68">
        <v>27095.83</v>
      </c>
      <c r="R59" s="285">
        <v>13</v>
      </c>
      <c r="S59" s="39">
        <f t="shared" si="3"/>
        <v>28376.030000000002</v>
      </c>
      <c r="T59" s="68">
        <f>2209.2+576.3+13639.1+1921+1921+3438.83+3265.7+1404.9</f>
        <v>28376.030000000002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8</v>
      </c>
      <c r="I60" s="203">
        <v>6</v>
      </c>
      <c r="J60" s="203">
        <v>9</v>
      </c>
      <c r="K60" s="65">
        <v>17478.27</v>
      </c>
      <c r="L60" s="224">
        <v>7</v>
      </c>
      <c r="M60" s="50">
        <f t="shared" si="2"/>
        <v>12948.87</v>
      </c>
      <c r="N60" s="65">
        <v>12948.87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19</v>
      </c>
      <c r="I62" s="62">
        <v>17</v>
      </c>
      <c r="J62" s="62">
        <v>20</v>
      </c>
      <c r="K62" s="30">
        <v>34588.44</v>
      </c>
      <c r="L62" s="205">
        <v>19</v>
      </c>
      <c r="M62" s="26">
        <f t="shared" si="2"/>
        <v>33859.9</v>
      </c>
      <c r="N62" s="30">
        <v>33859.9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6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36</v>
      </c>
      <c r="I64" s="203">
        <v>25</v>
      </c>
      <c r="J64" s="203">
        <v>38</v>
      </c>
      <c r="K64" s="65">
        <v>70731.710000000006</v>
      </c>
      <c r="L64" s="224">
        <v>38</v>
      </c>
      <c r="M64" s="50">
        <f t="shared" si="2"/>
        <v>70731.710000000006</v>
      </c>
      <c r="N64" s="65">
        <v>70731.710000000006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14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8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4</v>
      </c>
      <c r="J68" s="62">
        <v>5</v>
      </c>
      <c r="K68" s="30">
        <v>9142.82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9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8</v>
      </c>
      <c r="I74" s="203">
        <v>3</v>
      </c>
      <c r="J74" s="203">
        <v>3</v>
      </c>
      <c r="K74" s="65">
        <v>5482.32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89371.69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3</v>
      </c>
      <c r="S75" s="43">
        <f t="shared" si="3"/>
        <v>7115.8</v>
      </c>
      <c r="T75" s="114">
        <f>2881.5+2393.3+1841</f>
        <v>7115.8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15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7">
        <v>1</v>
      </c>
      <c r="J77" s="37">
        <v>1</v>
      </c>
      <c r="K77" s="68">
        <v>6181</v>
      </c>
      <c r="L77" s="40"/>
      <c r="M77" s="39">
        <f t="shared" si="2"/>
        <v>0</v>
      </c>
      <c r="N77" s="39"/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9</v>
      </c>
      <c r="J80" s="62">
        <v>14</v>
      </c>
      <c r="K80" s="30">
        <v>25205.5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9</v>
      </c>
      <c r="J82" s="203">
        <v>14</v>
      </c>
      <c r="K82" s="158">
        <v>36747.9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13</v>
      </c>
      <c r="Q82" s="65">
        <v>52889.43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49</v>
      </c>
      <c r="I84" s="62">
        <v>43</v>
      </c>
      <c r="J84" s="62">
        <v>64</v>
      </c>
      <c r="K84" s="30">
        <v>130892.7</v>
      </c>
      <c r="L84" s="205">
        <v>63</v>
      </c>
      <c r="M84" s="26">
        <f t="shared" si="4"/>
        <v>123601.32</v>
      </c>
      <c r="N84" s="30">
        <v>123601.32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10</v>
      </c>
      <c r="I86" s="62">
        <v>7</v>
      </c>
      <c r="J86" s="62">
        <v>7</v>
      </c>
      <c r="K86" s="30">
        <v>14776.14</v>
      </c>
      <c r="L86" s="205">
        <v>7</v>
      </c>
      <c r="M86" s="26">
        <f t="shared" si="4"/>
        <v>14776.14</v>
      </c>
      <c r="N86" s="30">
        <v>14776.14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2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15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2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23</v>
      </c>
      <c r="I98" s="62">
        <v>17</v>
      </c>
      <c r="J98" s="62">
        <v>24</v>
      </c>
      <c r="K98" s="30">
        <v>42965.08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9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6560.64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6" si="7">N102+O102</f>
        <v>8733.91</v>
      </c>
      <c r="N102" s="30">
        <v>8733.91</v>
      </c>
      <c r="O102" s="31"/>
      <c r="P102" s="53">
        <v>9</v>
      </c>
      <c r="Q102" s="30">
        <v>61187.9</v>
      </c>
      <c r="R102" s="205">
        <v>9</v>
      </c>
      <c r="S102" s="26">
        <f t="shared" si="6"/>
        <v>61187.9</v>
      </c>
      <c r="T102" s="30">
        <v>61187.9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03"/>
      <c r="Q103" s="43"/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6</v>
      </c>
      <c r="J106" s="62">
        <v>8</v>
      </c>
      <c r="K106" s="30">
        <v>20759.580000000002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28</v>
      </c>
      <c r="Q106" s="30">
        <v>97450.12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9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15</v>
      </c>
      <c r="I110" s="62">
        <v>10</v>
      </c>
      <c r="J110" s="62">
        <v>16</v>
      </c>
      <c r="K110" s="30">
        <v>29995.7</v>
      </c>
      <c r="L110" s="205">
        <v>16</v>
      </c>
      <c r="M110" s="26">
        <f t="shared" si="8"/>
        <v>29995.7</v>
      </c>
      <c r="N110" s="30">
        <v>29995.7</v>
      </c>
      <c r="O110" s="241"/>
      <c r="P110" s="214">
        <v>14</v>
      </c>
      <c r="Q110" s="30">
        <v>75827.070000000007</v>
      </c>
      <c r="R110" s="205">
        <v>14</v>
      </c>
      <c r="S110" s="26">
        <f t="shared" si="9"/>
        <v>75827.070000000007</v>
      </c>
      <c r="T110" s="30">
        <v>75827.070000000007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9</v>
      </c>
      <c r="I111" s="286">
        <v>7</v>
      </c>
      <c r="J111" s="286">
        <v>7</v>
      </c>
      <c r="K111" s="287">
        <v>21767.4</v>
      </c>
      <c r="L111" s="315">
        <v>6</v>
      </c>
      <c r="M111" s="39">
        <f t="shared" si="8"/>
        <v>13739.4</v>
      </c>
      <c r="N111" s="39">
        <f>1921+3073.6+1921+3010.5+1404.9+2408.4</f>
        <v>13739.4</v>
      </c>
      <c r="O111" s="41"/>
      <c r="P111" s="217">
        <v>4</v>
      </c>
      <c r="Q111" s="37">
        <v>19940.650000000001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13</v>
      </c>
      <c r="I114" s="203">
        <v>7</v>
      </c>
      <c r="J114" s="203">
        <v>8</v>
      </c>
      <c r="K114" s="65">
        <v>12423.22</v>
      </c>
      <c r="L114" s="224">
        <v>8</v>
      </c>
      <c r="M114" s="50">
        <f t="shared" si="8"/>
        <v>12423.22</v>
      </c>
      <c r="N114" s="65">
        <v>12423.22</v>
      </c>
      <c r="O114" s="225"/>
      <c r="P114" s="108">
        <v>10</v>
      </c>
      <c r="Q114" s="65">
        <v>25470.59</v>
      </c>
      <c r="R114" s="224">
        <v>10</v>
      </c>
      <c r="S114" s="50">
        <f t="shared" si="9"/>
        <v>25470.59</v>
      </c>
      <c r="T114" s="65">
        <v>25470.59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10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7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6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18</v>
      </c>
      <c r="J118" s="203">
        <v>22</v>
      </c>
      <c r="K118" s="65">
        <v>51826.81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23</v>
      </c>
      <c r="Q118" s="65">
        <v>105066.33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14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4</v>
      </c>
      <c r="I125" s="203">
        <v>3</v>
      </c>
      <c r="J125" s="203">
        <v>4</v>
      </c>
      <c r="K125" s="65">
        <v>5417.06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37589.71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13</v>
      </c>
      <c r="I127" s="62">
        <v>11</v>
      </c>
      <c r="J127" s="62">
        <v>15</v>
      </c>
      <c r="K127" s="30">
        <v>39786.14</v>
      </c>
      <c r="L127" s="205">
        <v>15</v>
      </c>
      <c r="M127" s="26">
        <f t="shared" si="10"/>
        <v>39786.14</v>
      </c>
      <c r="N127" s="30">
        <v>39786.14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21</v>
      </c>
      <c r="I129" s="62">
        <v>18</v>
      </c>
      <c r="J129" s="62">
        <v>26</v>
      </c>
      <c r="K129" s="30">
        <v>66481.97</v>
      </c>
      <c r="L129" s="205">
        <v>26</v>
      </c>
      <c r="M129" s="26">
        <f t="shared" si="10"/>
        <v>66481.97</v>
      </c>
      <c r="N129" s="30">
        <v>66481.97</v>
      </c>
      <c r="O129" s="225"/>
      <c r="P129" s="53">
        <v>11</v>
      </c>
      <c r="Q129" s="30">
        <v>31033.06</v>
      </c>
      <c r="R129" s="205">
        <v>11</v>
      </c>
      <c r="S129" s="26">
        <f t="shared" si="9"/>
        <v>31033.06</v>
      </c>
      <c r="T129" s="30">
        <v>31033.06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9</v>
      </c>
      <c r="I133" s="62">
        <v>7</v>
      </c>
      <c r="J133" s="62">
        <v>11</v>
      </c>
      <c r="K133" s="30">
        <v>19669.79</v>
      </c>
      <c r="L133" s="205">
        <v>11</v>
      </c>
      <c r="M133" s="26">
        <f t="shared" si="10"/>
        <v>19669.79</v>
      </c>
      <c r="N133" s="30">
        <v>19669.79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21</v>
      </c>
      <c r="I135" s="203">
        <v>16</v>
      </c>
      <c r="J135" s="203">
        <v>23</v>
      </c>
      <c r="K135" s="65">
        <v>62624.1</v>
      </c>
      <c r="L135" s="224">
        <v>23</v>
      </c>
      <c r="M135" s="50">
        <f t="shared" si="10"/>
        <v>62624.1</v>
      </c>
      <c r="N135" s="65">
        <v>62624.1</v>
      </c>
      <c r="O135" s="225"/>
      <c r="P135" s="108">
        <v>32</v>
      </c>
      <c r="Q135" s="65">
        <v>119894.49</v>
      </c>
      <c r="R135" s="224">
        <v>32</v>
      </c>
      <c r="S135" s="50">
        <f t="shared" si="9"/>
        <v>119894.49</v>
      </c>
      <c r="T135" s="65">
        <v>119894.49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19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42</v>
      </c>
      <c r="I139" s="62">
        <v>27</v>
      </c>
      <c r="J139" s="62">
        <v>32</v>
      </c>
      <c r="K139" s="30">
        <v>52510.43</v>
      </c>
      <c r="L139" s="205">
        <v>23</v>
      </c>
      <c r="M139" s="26">
        <f t="shared" si="10"/>
        <v>37589.230000000003</v>
      </c>
      <c r="N139" s="30">
        <v>37589.230000000003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6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47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27</v>
      </c>
      <c r="I145" s="266">
        <v>23</v>
      </c>
      <c r="J145" s="266">
        <v>34</v>
      </c>
      <c r="K145" s="79">
        <v>70420.62</v>
      </c>
      <c r="L145" s="268">
        <v>31</v>
      </c>
      <c r="M145" s="81">
        <f t="shared" si="11"/>
        <v>63666.23</v>
      </c>
      <c r="N145" s="79">
        <v>63666.23</v>
      </c>
      <c r="O145" s="269"/>
      <c r="P145" s="267">
        <v>21</v>
      </c>
      <c r="Q145" s="79">
        <v>86932.77</v>
      </c>
      <c r="R145" s="268">
        <v>19</v>
      </c>
      <c r="S145" s="81">
        <f t="shared" si="12"/>
        <v>83320.600000000006</v>
      </c>
      <c r="T145" s="79">
        <v>83320.600000000006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19</v>
      </c>
      <c r="I147" s="203">
        <v>15</v>
      </c>
      <c r="J147" s="203">
        <v>18</v>
      </c>
      <c r="K147" s="65">
        <v>47249.1</v>
      </c>
      <c r="L147" s="224">
        <v>17</v>
      </c>
      <c r="M147" s="50">
        <f t="shared" si="11"/>
        <v>47249.1</v>
      </c>
      <c r="N147" s="65">
        <v>47249.1</v>
      </c>
      <c r="O147" s="225"/>
      <c r="P147" s="108">
        <v>57</v>
      </c>
      <c r="Q147" s="65">
        <v>337965.75</v>
      </c>
      <c r="R147" s="224">
        <v>57</v>
      </c>
      <c r="S147" s="50">
        <f t="shared" si="12"/>
        <v>337965.75</v>
      </c>
      <c r="T147" s="65">
        <v>337965.75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237" t="s">
        <v>500</v>
      </c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238">
        <v>1</v>
      </c>
      <c r="Q148" s="239">
        <v>2408.4</v>
      </c>
      <c r="R148" s="316">
        <v>1</v>
      </c>
      <c r="S148" s="239">
        <v>2408.4</v>
      </c>
      <c r="T148" s="239">
        <v>2408.4</v>
      </c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ref="S149:S156" si="13">T149+U149</f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2</v>
      </c>
      <c r="J150" s="62">
        <v>2</v>
      </c>
      <c r="K150" s="30">
        <v>1267.28</v>
      </c>
      <c r="L150" s="205">
        <v>2</v>
      </c>
      <c r="M150" s="26">
        <f t="shared" si="11"/>
        <v>1267.28</v>
      </c>
      <c r="N150" s="30">
        <v>1267.28</v>
      </c>
      <c r="O150" s="225"/>
      <c r="P150" s="53">
        <v>15</v>
      </c>
      <c r="Q150" s="30">
        <v>10414.84</v>
      </c>
      <c r="R150" s="205">
        <v>4</v>
      </c>
      <c r="S150" s="26">
        <f t="shared" si="13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7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7</v>
      </c>
      <c r="Q151" s="68">
        <v>7062.2</v>
      </c>
      <c r="R151" s="285">
        <v>3</v>
      </c>
      <c r="S151" s="39">
        <f t="shared" si="13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12</v>
      </c>
      <c r="J152" s="203">
        <v>17</v>
      </c>
      <c r="K152" s="65">
        <v>33710.11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3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4</v>
      </c>
      <c r="J153" s="37">
        <v>4</v>
      </c>
      <c r="K153" s="68">
        <v>5174.6000000000004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3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3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3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3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9</v>
      </c>
      <c r="I157" s="130">
        <v>6</v>
      </c>
      <c r="J157" s="130">
        <v>6</v>
      </c>
      <c r="K157" s="114">
        <v>10810.58</v>
      </c>
      <c r="L157" s="270">
        <v>6</v>
      </c>
      <c r="M157" s="114">
        <v>10810.58</v>
      </c>
      <c r="N157" s="114">
        <v>10810.58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14</v>
      </c>
      <c r="I158" s="62">
        <v>11</v>
      </c>
      <c r="J158" s="62">
        <v>15</v>
      </c>
      <c r="K158" s="30">
        <v>26366.57</v>
      </c>
      <c r="L158" s="205">
        <v>13</v>
      </c>
      <c r="M158" s="26">
        <f t="shared" ref="M158:M229" si="14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5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16</v>
      </c>
      <c r="I159" s="271">
        <v>10</v>
      </c>
      <c r="J159" s="271">
        <v>10</v>
      </c>
      <c r="K159" s="239">
        <v>17440.900000000001</v>
      </c>
      <c r="L159" s="316">
        <v>9</v>
      </c>
      <c r="M159" s="129">
        <f t="shared" si="14"/>
        <v>17139.849999999999</v>
      </c>
      <c r="N159" s="129">
        <f>1728.9+2305.2+576.3+4802.5+1404.9+1404.9+1404.9+1103.85+2408.4</f>
        <v>17139.849999999999</v>
      </c>
      <c r="O159" s="45"/>
      <c r="P159" s="238">
        <v>9</v>
      </c>
      <c r="Q159" s="239">
        <v>31223.56</v>
      </c>
      <c r="R159" s="316">
        <v>10</v>
      </c>
      <c r="S159" s="129">
        <f t="shared" si="15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4"/>
        <v>0</v>
      </c>
      <c r="N160" s="43"/>
      <c r="O160" s="41"/>
      <c r="P160" s="103"/>
      <c r="Q160" s="43"/>
      <c r="R160" s="44"/>
      <c r="S160" s="43">
        <f t="shared" si="15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11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4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5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4"/>
        <v>0</v>
      </c>
      <c r="N162" s="39"/>
      <c r="O162" s="41"/>
      <c r="P162" s="59"/>
      <c r="Q162" s="39"/>
      <c r="R162" s="40"/>
      <c r="S162" s="39">
        <f t="shared" si="15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11</v>
      </c>
      <c r="J163" s="203">
        <v>12</v>
      </c>
      <c r="K163" s="65">
        <v>16411.849999999999</v>
      </c>
      <c r="L163" s="224">
        <v>12</v>
      </c>
      <c r="M163" s="50">
        <f t="shared" si="14"/>
        <v>16411.849999999999</v>
      </c>
      <c r="N163" s="65">
        <v>16411.849999999999</v>
      </c>
      <c r="O163" s="225"/>
      <c r="P163" s="108">
        <v>7</v>
      </c>
      <c r="Q163" s="65">
        <v>50795.35</v>
      </c>
      <c r="R163" s="224">
        <v>7</v>
      </c>
      <c r="S163" s="50">
        <f t="shared" si="15"/>
        <v>50795.35</v>
      </c>
      <c r="T163" s="65">
        <v>50795.35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5</v>
      </c>
      <c r="J164" s="246">
        <v>5</v>
      </c>
      <c r="K164" s="158">
        <v>10648.6</v>
      </c>
      <c r="L164" s="317">
        <v>4</v>
      </c>
      <c r="M164" s="142">
        <f t="shared" si="14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5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4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16</v>
      </c>
      <c r="I166" s="62">
        <v>9</v>
      </c>
      <c r="J166" s="62">
        <v>11</v>
      </c>
      <c r="K166" s="30">
        <v>20036.189999999999</v>
      </c>
      <c r="L166" s="205">
        <v>10</v>
      </c>
      <c r="M166" s="26">
        <f t="shared" si="14"/>
        <v>18691.57</v>
      </c>
      <c r="N166" s="30">
        <v>18691.57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6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5</v>
      </c>
      <c r="J167" s="37">
        <v>5</v>
      </c>
      <c r="K167" s="68">
        <v>5644.8</v>
      </c>
      <c r="L167" s="285">
        <v>5</v>
      </c>
      <c r="M167" s="39">
        <f t="shared" si="14"/>
        <v>5042.7000000000007</v>
      </c>
      <c r="N167" s="39">
        <f>576.3+1716.8+1344.7+1404.9</f>
        <v>5042.7000000000007</v>
      </c>
      <c r="O167" s="41"/>
      <c r="P167" s="115">
        <v>3</v>
      </c>
      <c r="Q167" s="68">
        <v>5674.1</v>
      </c>
      <c r="R167" s="285">
        <v>2</v>
      </c>
      <c r="S167" s="39">
        <f t="shared" si="16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4"/>
        <v>19508.22</v>
      </c>
      <c r="N168" s="65">
        <v>19508.22</v>
      </c>
      <c r="O168" s="31"/>
      <c r="P168" s="108">
        <v>10</v>
      </c>
      <c r="Q168" s="65">
        <v>22636.89</v>
      </c>
      <c r="R168" s="224">
        <v>9</v>
      </c>
      <c r="S168" s="50">
        <f t="shared" si="16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7</v>
      </c>
      <c r="I169" s="130">
        <v>5</v>
      </c>
      <c r="J169" s="130">
        <v>5</v>
      </c>
      <c r="K169" s="114">
        <v>18356.64</v>
      </c>
      <c r="L169" s="270">
        <v>7</v>
      </c>
      <c r="M169" s="43">
        <f t="shared" si="14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6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4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6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4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8</v>
      </c>
      <c r="S171" s="43">
        <f t="shared" si="16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19</v>
      </c>
      <c r="I172" s="62">
        <v>13</v>
      </c>
      <c r="J172" s="62">
        <v>16</v>
      </c>
      <c r="K172" s="30">
        <v>45564.83</v>
      </c>
      <c r="L172" s="205">
        <v>14</v>
      </c>
      <c r="M172" s="26">
        <f t="shared" si="14"/>
        <v>30399.81</v>
      </c>
      <c r="N172" s="30">
        <v>30399.81</v>
      </c>
      <c r="O172" s="159"/>
      <c r="P172" s="53">
        <v>4</v>
      </c>
      <c r="Q172" s="30">
        <v>31835.37</v>
      </c>
      <c r="R172" s="205">
        <v>4</v>
      </c>
      <c r="S172" s="26">
        <f t="shared" si="16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4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6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7</v>
      </c>
      <c r="I174" s="62">
        <v>4</v>
      </c>
      <c r="J174" s="62">
        <v>7</v>
      </c>
      <c r="K174" s="30">
        <v>18407.25</v>
      </c>
      <c r="L174" s="205">
        <v>6</v>
      </c>
      <c r="M174" s="26">
        <f t="shared" si="14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6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4"/>
        <v>0</v>
      </c>
      <c r="N175" s="39"/>
      <c r="O175" s="41"/>
      <c r="P175" s="217"/>
      <c r="Q175" s="68"/>
      <c r="R175" s="285"/>
      <c r="S175" s="39">
        <f t="shared" si="16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9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4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6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4"/>
        <v>0</v>
      </c>
      <c r="N177" s="43"/>
      <c r="O177" s="45"/>
      <c r="P177" s="103"/>
      <c r="Q177" s="43"/>
      <c r="R177" s="44"/>
      <c r="S177" s="43">
        <f t="shared" si="16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4"/>
        <v>524.91</v>
      </c>
      <c r="N178" s="30">
        <v>524.91</v>
      </c>
      <c r="O178" s="241"/>
      <c r="P178" s="53">
        <v>2</v>
      </c>
      <c r="Q178" s="30">
        <v>14444.79</v>
      </c>
      <c r="R178" s="205">
        <v>2</v>
      </c>
      <c r="S178" s="26">
        <f t="shared" si="16"/>
        <v>14444.79</v>
      </c>
      <c r="T178" s="30">
        <v>14444.79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4"/>
        <v>0</v>
      </c>
      <c r="N179" s="211"/>
      <c r="O179" s="212"/>
      <c r="P179" s="273"/>
      <c r="Q179" s="211"/>
      <c r="R179" s="210"/>
      <c r="S179" s="211">
        <f t="shared" si="16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5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4"/>
        <v>9442.35</v>
      </c>
      <c r="N180" s="30">
        <v>9442.35</v>
      </c>
      <c r="O180" s="28"/>
      <c r="P180" s="214"/>
      <c r="Q180" s="30"/>
      <c r="R180" s="205"/>
      <c r="S180" s="26">
        <f t="shared" si="16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4"/>
        <v>0</v>
      </c>
      <c r="N181" s="39"/>
      <c r="O181" s="41"/>
      <c r="P181" s="217"/>
      <c r="Q181" s="68"/>
      <c r="R181" s="285"/>
      <c r="S181" s="39">
        <f t="shared" si="16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9</v>
      </c>
      <c r="I182" s="266">
        <v>7</v>
      </c>
      <c r="J182" s="266">
        <v>9</v>
      </c>
      <c r="K182" s="79">
        <v>15151.29</v>
      </c>
      <c r="L182" s="268">
        <v>6</v>
      </c>
      <c r="M182" s="81">
        <f t="shared" si="14"/>
        <v>13766.46</v>
      </c>
      <c r="N182" s="79">
        <v>13766.46</v>
      </c>
      <c r="O182" s="219"/>
      <c r="P182" s="267">
        <v>18</v>
      </c>
      <c r="Q182" s="79">
        <v>50132.05</v>
      </c>
      <c r="R182" s="268">
        <v>18</v>
      </c>
      <c r="S182" s="81">
        <f t="shared" si="16"/>
        <v>50132.05</v>
      </c>
      <c r="T182" s="79">
        <v>50132.05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4"/>
        <v>21489.82</v>
      </c>
      <c r="N183" s="43">
        <f>2497.3+1152.6+5920.02+4595.4+602.1+6722.4</f>
        <v>21489.82</v>
      </c>
      <c r="O183" s="41"/>
      <c r="P183" s="113">
        <v>2</v>
      </c>
      <c r="Q183" s="114">
        <v>7924</v>
      </c>
      <c r="R183" s="270">
        <v>3</v>
      </c>
      <c r="S183" s="43">
        <f t="shared" si="16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14</v>
      </c>
      <c r="I184" s="62">
        <v>12</v>
      </c>
      <c r="J184" s="62">
        <v>13</v>
      </c>
      <c r="K184" s="30">
        <v>34160.230000000003</v>
      </c>
      <c r="L184" s="205">
        <v>9</v>
      </c>
      <c r="M184" s="26">
        <f t="shared" si="14"/>
        <v>29875.67</v>
      </c>
      <c r="N184" s="30">
        <v>29875.67</v>
      </c>
      <c r="O184" s="225"/>
      <c r="P184" s="53">
        <v>13</v>
      </c>
      <c r="Q184" s="30">
        <v>38649.24</v>
      </c>
      <c r="R184" s="205">
        <v>12</v>
      </c>
      <c r="S184" s="26">
        <f t="shared" si="16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2</v>
      </c>
      <c r="J185" s="130">
        <v>2</v>
      </c>
      <c r="K185" s="114">
        <v>7867.44</v>
      </c>
      <c r="L185" s="270">
        <v>1</v>
      </c>
      <c r="M185" s="43">
        <f t="shared" si="14"/>
        <v>2649.24</v>
      </c>
      <c r="N185" s="43">
        <f>2649.24</f>
        <v>2649.24</v>
      </c>
      <c r="O185" s="41"/>
      <c r="P185" s="115">
        <v>8</v>
      </c>
      <c r="Q185" s="68">
        <v>30985.07</v>
      </c>
      <c r="R185" s="285">
        <v>8</v>
      </c>
      <c r="S185" s="39">
        <f t="shared" si="16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23</v>
      </c>
      <c r="I186" s="62">
        <v>21</v>
      </c>
      <c r="J186" s="204">
        <v>29</v>
      </c>
      <c r="K186" s="30">
        <v>49041.25</v>
      </c>
      <c r="L186" s="205">
        <v>29</v>
      </c>
      <c r="M186" s="26">
        <f t="shared" si="14"/>
        <v>49041.25</v>
      </c>
      <c r="N186" s="30">
        <v>49041.25</v>
      </c>
      <c r="O186" s="225"/>
      <c r="P186" s="108">
        <v>23</v>
      </c>
      <c r="Q186" s="65">
        <v>84634.18</v>
      </c>
      <c r="R186" s="224">
        <v>23</v>
      </c>
      <c r="S186" s="50">
        <f t="shared" si="16"/>
        <v>84634.18</v>
      </c>
      <c r="T186" s="65">
        <v>84634.18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2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4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6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2</v>
      </c>
      <c r="J188" s="62">
        <v>3</v>
      </c>
      <c r="K188" s="326">
        <v>2669.31</v>
      </c>
      <c r="L188" s="327">
        <v>1</v>
      </c>
      <c r="M188" s="162">
        <f t="shared" si="14"/>
        <v>662.31</v>
      </c>
      <c r="N188" s="326">
        <v>662.31</v>
      </c>
      <c r="O188" s="28"/>
      <c r="P188" s="275"/>
      <c r="Q188" s="26"/>
      <c r="R188" s="27"/>
      <c r="S188" s="26">
        <f t="shared" si="16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5</v>
      </c>
      <c r="I189" s="37">
        <v>2</v>
      </c>
      <c r="J189" s="37">
        <v>2</v>
      </c>
      <c r="K189" s="318">
        <v>1658.32</v>
      </c>
      <c r="L189" s="343">
        <v>1</v>
      </c>
      <c r="M189" s="164">
        <f t="shared" si="14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6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4"/>
        <v>0</v>
      </c>
      <c r="N190" s="293"/>
      <c r="O190" s="82"/>
      <c r="P190" s="295"/>
      <c r="Q190" s="81"/>
      <c r="R190" s="80"/>
      <c r="S190" s="81">
        <f t="shared" si="16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17">
        <v>1</v>
      </c>
      <c r="I191" s="38"/>
      <c r="J191" s="38"/>
      <c r="K191" s="164"/>
      <c r="L191" s="165"/>
      <c r="M191" s="164">
        <f t="shared" si="14"/>
        <v>0</v>
      </c>
      <c r="N191" s="164"/>
      <c r="O191" s="41"/>
      <c r="P191" s="67">
        <v>5</v>
      </c>
      <c r="Q191" s="68">
        <v>32446.01</v>
      </c>
      <c r="R191" s="285">
        <v>5</v>
      </c>
      <c r="S191" s="68">
        <v>32446.01</v>
      </c>
      <c r="T191" s="68">
        <v>32446.01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23</v>
      </c>
      <c r="J192" s="203">
        <v>36</v>
      </c>
      <c r="K192" s="242">
        <v>79721.08</v>
      </c>
      <c r="L192" s="320">
        <v>36</v>
      </c>
      <c r="M192" s="166">
        <f t="shared" si="14"/>
        <v>79721.08</v>
      </c>
      <c r="N192" s="242">
        <v>79721.08</v>
      </c>
      <c r="O192" s="225"/>
      <c r="P192" s="108">
        <v>8</v>
      </c>
      <c r="Q192" s="65">
        <v>44672.93</v>
      </c>
      <c r="R192" s="224">
        <v>8</v>
      </c>
      <c r="S192" s="50">
        <f t="shared" ref="S192:S211" si="17">T192+U192</f>
        <v>44672.93</v>
      </c>
      <c r="T192" s="65">
        <v>44672.93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4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7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6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4"/>
        <v>5891.75</v>
      </c>
      <c r="N194" s="30">
        <v>5891.75</v>
      </c>
      <c r="O194" s="31"/>
      <c r="P194" s="53">
        <v>9</v>
      </c>
      <c r="Q194" s="30">
        <v>23074.77</v>
      </c>
      <c r="R194" s="205">
        <v>9</v>
      </c>
      <c r="S194" s="26">
        <f t="shared" si="17"/>
        <v>23074.77</v>
      </c>
      <c r="T194" s="30">
        <v>23074.77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4"/>
        <v>0</v>
      </c>
      <c r="N195" s="39"/>
      <c r="O195" s="41"/>
      <c r="P195" s="59"/>
      <c r="Q195" s="39"/>
      <c r="R195" s="40"/>
      <c r="S195" s="39">
        <f t="shared" si="17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4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7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2</v>
      </c>
      <c r="I197" s="57"/>
      <c r="J197" s="57"/>
      <c r="K197" s="43"/>
      <c r="L197" s="44"/>
      <c r="M197" s="43">
        <f t="shared" si="14"/>
        <v>0</v>
      </c>
      <c r="N197" s="43"/>
      <c r="O197" s="41"/>
      <c r="P197" s="113">
        <v>1</v>
      </c>
      <c r="Q197" s="114">
        <v>0</v>
      </c>
      <c r="R197" s="44"/>
      <c r="S197" s="43">
        <f t="shared" si="17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4"/>
        <v>0</v>
      </c>
      <c r="N198" s="26"/>
      <c r="O198" s="31"/>
      <c r="P198" s="120"/>
      <c r="Q198" s="26"/>
      <c r="R198" s="27"/>
      <c r="S198" s="26">
        <f t="shared" si="17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4"/>
        <v>0</v>
      </c>
      <c r="N199" s="39"/>
      <c r="O199" s="41"/>
      <c r="P199" s="69"/>
      <c r="Q199" s="39"/>
      <c r="R199" s="40"/>
      <c r="S199" s="39">
        <f t="shared" si="17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12</v>
      </c>
      <c r="M200" s="50">
        <f t="shared" si="14"/>
        <v>28819.85</v>
      </c>
      <c r="N200" s="65">
        <v>28819.85</v>
      </c>
      <c r="O200" s="225"/>
      <c r="P200" s="108">
        <v>10</v>
      </c>
      <c r="Q200" s="65">
        <v>22956.16</v>
      </c>
      <c r="R200" s="224">
        <v>10</v>
      </c>
      <c r="S200" s="50">
        <f t="shared" si="17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4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7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29</v>
      </c>
      <c r="I202" s="203">
        <v>23</v>
      </c>
      <c r="J202" s="203">
        <v>36</v>
      </c>
      <c r="K202" s="65">
        <v>64491.66</v>
      </c>
      <c r="L202" s="224">
        <v>36</v>
      </c>
      <c r="M202" s="50">
        <f t="shared" si="14"/>
        <v>64491.66</v>
      </c>
      <c r="N202" s="65">
        <v>64491.66</v>
      </c>
      <c r="O202" s="225"/>
      <c r="P202" s="108">
        <v>26</v>
      </c>
      <c r="Q202" s="65">
        <v>42356.26</v>
      </c>
      <c r="R202" s="224">
        <v>26</v>
      </c>
      <c r="S202" s="50">
        <f t="shared" si="17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7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4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7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15</v>
      </c>
      <c r="I204" s="62">
        <v>4</v>
      </c>
      <c r="J204" s="62">
        <v>7</v>
      </c>
      <c r="K204" s="30">
        <v>10074.370000000001</v>
      </c>
      <c r="L204" s="205">
        <v>7</v>
      </c>
      <c r="M204" s="26">
        <f t="shared" si="14"/>
        <v>10074.370000000001</v>
      </c>
      <c r="N204" s="30">
        <v>10074.370000000001</v>
      </c>
      <c r="O204" s="31"/>
      <c r="P204" s="53">
        <v>12</v>
      </c>
      <c r="Q204" s="30">
        <v>42909.61</v>
      </c>
      <c r="R204" s="205">
        <v>12</v>
      </c>
      <c r="S204" s="26">
        <f t="shared" si="17"/>
        <v>42909.61</v>
      </c>
      <c r="T204" s="30">
        <v>42909.61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6</v>
      </c>
      <c r="I205" s="38"/>
      <c r="J205" s="38"/>
      <c r="K205" s="39"/>
      <c r="L205" s="40"/>
      <c r="M205" s="39">
        <f t="shared" si="14"/>
        <v>0</v>
      </c>
      <c r="N205" s="39"/>
      <c r="O205" s="41"/>
      <c r="P205" s="59"/>
      <c r="Q205" s="39"/>
      <c r="R205" s="40"/>
      <c r="S205" s="39">
        <f t="shared" si="17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4"/>
        <v>0</v>
      </c>
      <c r="N206" s="50"/>
      <c r="O206" s="31"/>
      <c r="P206" s="123"/>
      <c r="Q206" s="50"/>
      <c r="R206" s="51"/>
      <c r="S206" s="50">
        <f t="shared" si="17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4"/>
        <v>0</v>
      </c>
      <c r="N207" s="50"/>
      <c r="O207" s="45"/>
      <c r="P207" s="123"/>
      <c r="Q207" s="50"/>
      <c r="R207" s="51"/>
      <c r="S207" s="50">
        <f t="shared" si="17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4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7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4"/>
        <v>0</v>
      </c>
      <c r="N209" s="26"/>
      <c r="O209" s="31"/>
      <c r="P209" s="99"/>
      <c r="Q209" s="26"/>
      <c r="R209" s="27"/>
      <c r="S209" s="26">
        <f t="shared" si="17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130">
        <v>2</v>
      </c>
      <c r="J210" s="130">
        <v>2</v>
      </c>
      <c r="K210" s="114">
        <v>3813.3</v>
      </c>
      <c r="L210" s="44"/>
      <c r="M210" s="43">
        <f t="shared" si="14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7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4"/>
        <v>0</v>
      </c>
      <c r="N211" s="26"/>
      <c r="O211" s="31"/>
      <c r="P211" s="99"/>
      <c r="Q211" s="26"/>
      <c r="R211" s="27"/>
      <c r="S211" s="26">
        <f t="shared" si="17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4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3</v>
      </c>
      <c r="J213" s="231">
        <v>3</v>
      </c>
      <c r="K213" s="91">
        <v>5211.17</v>
      </c>
      <c r="L213" s="330">
        <v>1</v>
      </c>
      <c r="M213" s="26">
        <f t="shared" si="14"/>
        <v>301.05</v>
      </c>
      <c r="N213" s="91">
        <v>301.05</v>
      </c>
      <c r="O213" s="94"/>
      <c r="P213" s="329"/>
      <c r="Q213" s="91"/>
      <c r="R213" s="330"/>
      <c r="S213" s="26">
        <f t="shared" ref="S213:S229" si="18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9</v>
      </c>
      <c r="I214" s="37">
        <v>5</v>
      </c>
      <c r="J214" s="37">
        <v>5</v>
      </c>
      <c r="K214" s="68">
        <v>11540.25</v>
      </c>
      <c r="L214" s="285">
        <v>3</v>
      </c>
      <c r="M214" s="87">
        <f t="shared" si="14"/>
        <v>8429.4</v>
      </c>
      <c r="N214" s="39">
        <f>3211.2+2609.1+2609.1</f>
        <v>8429.4</v>
      </c>
      <c r="O214" s="41"/>
      <c r="P214" s="217"/>
      <c r="Q214" s="68"/>
      <c r="R214" s="285"/>
      <c r="S214" s="87">
        <f t="shared" si="18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4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8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4"/>
        <v>0</v>
      </c>
      <c r="N216" s="43"/>
      <c r="O216" s="45"/>
      <c r="P216" s="273"/>
      <c r="Q216" s="211"/>
      <c r="R216" s="210"/>
      <c r="S216" s="211">
        <f t="shared" si="18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4"/>
        <v>6502.43</v>
      </c>
      <c r="N217" s="30">
        <v>6502.43</v>
      </c>
      <c r="O217" s="308"/>
      <c r="P217" s="99"/>
      <c r="Q217" s="26"/>
      <c r="R217" s="27"/>
      <c r="S217" s="26">
        <f t="shared" si="18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4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6</v>
      </c>
      <c r="S218" s="39">
        <f t="shared" si="18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4"/>
        <v>0</v>
      </c>
      <c r="N219" s="50"/>
      <c r="O219" s="31"/>
      <c r="P219" s="277"/>
      <c r="Q219" s="81"/>
      <c r="R219" s="80"/>
      <c r="S219" s="81">
        <f t="shared" si="18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130">
        <v>1</v>
      </c>
      <c r="J220" s="130">
        <v>1</v>
      </c>
      <c r="K220" s="114">
        <v>1404.9</v>
      </c>
      <c r="L220" s="44"/>
      <c r="M220" s="43">
        <f t="shared" si="14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8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29</v>
      </c>
      <c r="I221" s="62">
        <v>23</v>
      </c>
      <c r="J221" s="62">
        <v>31</v>
      </c>
      <c r="K221" s="30">
        <v>69903.67</v>
      </c>
      <c r="L221" s="205">
        <v>31</v>
      </c>
      <c r="M221" s="26">
        <f t="shared" si="14"/>
        <v>69903.67</v>
      </c>
      <c r="N221" s="30">
        <v>69903.67</v>
      </c>
      <c r="O221" s="225"/>
      <c r="P221" s="53">
        <v>24</v>
      </c>
      <c r="Q221" s="30">
        <v>70420.100000000006</v>
      </c>
      <c r="R221" s="205">
        <v>24</v>
      </c>
      <c r="S221" s="26">
        <f t="shared" si="18"/>
        <v>70420.100000000006</v>
      </c>
      <c r="T221" s="30">
        <v>70420.100000000006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4"/>
        <v>0</v>
      </c>
      <c r="N222" s="39"/>
      <c r="O222" s="41"/>
      <c r="P222" s="59"/>
      <c r="Q222" s="39"/>
      <c r="R222" s="40"/>
      <c r="S222" s="39">
        <f t="shared" si="18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4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8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4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2</v>
      </c>
      <c r="S224" s="39">
        <f t="shared" si="18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4"/>
        <v>0</v>
      </c>
      <c r="N225" s="91"/>
      <c r="O225" s="331"/>
      <c r="P225" s="329"/>
      <c r="Q225" s="91"/>
      <c r="R225" s="330"/>
      <c r="S225" s="142">
        <f t="shared" si="18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4"/>
        <v>0</v>
      </c>
      <c r="N226" s="209"/>
      <c r="O226" s="234"/>
      <c r="P226" s="262"/>
      <c r="Q226" s="209"/>
      <c r="R226" s="290"/>
      <c r="S226" s="87">
        <f t="shared" si="18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35</v>
      </c>
      <c r="I227" s="62">
        <v>15</v>
      </c>
      <c r="J227" s="62">
        <v>16</v>
      </c>
      <c r="K227" s="30">
        <v>15584.37</v>
      </c>
      <c r="L227" s="205">
        <v>14</v>
      </c>
      <c r="M227" s="26">
        <f t="shared" si="14"/>
        <v>12481.62</v>
      </c>
      <c r="N227" s="30">
        <v>12481.62</v>
      </c>
      <c r="O227" s="269"/>
      <c r="P227" s="53">
        <v>29</v>
      </c>
      <c r="Q227" s="30">
        <v>78523.929999999993</v>
      </c>
      <c r="R227" s="205">
        <v>28</v>
      </c>
      <c r="S227" s="26">
        <f t="shared" si="18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4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8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52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4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8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16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26</v>
      </c>
      <c r="I231" s="203">
        <v>17</v>
      </c>
      <c r="J231" s="203">
        <v>20</v>
      </c>
      <c r="K231" s="65">
        <v>35378.800000000003</v>
      </c>
      <c r="L231" s="224">
        <v>20</v>
      </c>
      <c r="M231" s="50">
        <f>N231+O231</f>
        <v>35378.800000000003</v>
      </c>
      <c r="N231" s="65">
        <v>35378.800000000003</v>
      </c>
      <c r="O231" s="225"/>
      <c r="P231" s="108">
        <v>20</v>
      </c>
      <c r="Q231" s="65">
        <v>72364.149999999994</v>
      </c>
      <c r="R231" s="224">
        <v>20</v>
      </c>
      <c r="S231" s="50">
        <f>T231+U231</f>
        <v>72364.149999999994</v>
      </c>
      <c r="T231" s="65">
        <v>72364.149999999994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7</v>
      </c>
      <c r="I233" s="62">
        <v>5</v>
      </c>
      <c r="J233" s="62">
        <v>5</v>
      </c>
      <c r="K233" s="30">
        <v>8372.27</v>
      </c>
      <c r="L233" s="205">
        <v>5</v>
      </c>
      <c r="M233" s="26">
        <f t="shared" ref="M233:M259" si="19">N233+O233</f>
        <v>8372.27</v>
      </c>
      <c r="N233" s="30">
        <v>8372.27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20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9"/>
        <v>0</v>
      </c>
      <c r="N234" s="43"/>
      <c r="O234" s="41"/>
      <c r="P234" s="103"/>
      <c r="Q234" s="43"/>
      <c r="R234" s="44"/>
      <c r="S234" s="43">
        <f t="shared" si="20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8</v>
      </c>
      <c r="J235" s="62">
        <v>10</v>
      </c>
      <c r="K235" s="30">
        <v>14011.64</v>
      </c>
      <c r="L235" s="205">
        <v>10</v>
      </c>
      <c r="M235" s="26">
        <f t="shared" si="19"/>
        <v>14011.64</v>
      </c>
      <c r="N235" s="30">
        <v>14011.64</v>
      </c>
      <c r="O235" s="31"/>
      <c r="P235" s="29">
        <v>1</v>
      </c>
      <c r="Q235" s="30">
        <v>2466.56</v>
      </c>
      <c r="R235" s="205">
        <v>1</v>
      </c>
      <c r="S235" s="26">
        <f t="shared" si="20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9"/>
        <v>0</v>
      </c>
      <c r="N236" s="39"/>
      <c r="O236" s="41"/>
      <c r="P236" s="69"/>
      <c r="Q236" s="39"/>
      <c r="R236" s="40"/>
      <c r="S236" s="39">
        <f t="shared" si="20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9"/>
        <v>0</v>
      </c>
      <c r="N237" s="81"/>
      <c r="O237" s="82"/>
      <c r="P237" s="295"/>
      <c r="Q237" s="81"/>
      <c r="R237" s="80"/>
      <c r="S237" s="142">
        <f t="shared" si="20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9"/>
        <v>0</v>
      </c>
      <c r="N238" s="211"/>
      <c r="O238" s="212"/>
      <c r="P238" s="284"/>
      <c r="Q238" s="211"/>
      <c r="R238" s="210"/>
      <c r="S238" s="39">
        <f t="shared" si="20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9"/>
        <v>0</v>
      </c>
      <c r="N239" s="26"/>
      <c r="O239" s="28"/>
      <c r="P239" s="29">
        <v>4</v>
      </c>
      <c r="Q239" s="30">
        <v>0</v>
      </c>
      <c r="R239" s="27"/>
      <c r="S239" s="26">
        <f t="shared" si="20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9"/>
        <v>0</v>
      </c>
      <c r="N240" s="211"/>
      <c r="O240" s="212"/>
      <c r="P240" s="284"/>
      <c r="Q240" s="211"/>
      <c r="R240" s="210"/>
      <c r="S240" s="211">
        <f t="shared" si="20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22</v>
      </c>
      <c r="I241" s="62">
        <v>14</v>
      </c>
      <c r="J241" s="62">
        <v>17</v>
      </c>
      <c r="K241" s="30">
        <v>31536.51</v>
      </c>
      <c r="L241" s="205">
        <v>17</v>
      </c>
      <c r="M241" s="26">
        <f t="shared" si="19"/>
        <v>31536.51</v>
      </c>
      <c r="N241" s="30">
        <v>31536.51</v>
      </c>
      <c r="O241" s="28"/>
      <c r="P241" s="214"/>
      <c r="Q241" s="30"/>
      <c r="R241" s="205"/>
      <c r="S241" s="26">
        <f t="shared" si="20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5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9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20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18</v>
      </c>
      <c r="I243" s="266">
        <v>10</v>
      </c>
      <c r="J243" s="266">
        <v>11</v>
      </c>
      <c r="K243" s="79">
        <v>18573.689999999999</v>
      </c>
      <c r="L243" s="268">
        <v>11</v>
      </c>
      <c r="M243" s="81">
        <f t="shared" si="19"/>
        <v>18573.689999999999</v>
      </c>
      <c r="N243" s="79">
        <v>18573.689999999999</v>
      </c>
      <c r="O243" s="219"/>
      <c r="P243" s="267">
        <v>16</v>
      </c>
      <c r="Q243" s="79">
        <v>70880.23</v>
      </c>
      <c r="R243" s="268">
        <v>16</v>
      </c>
      <c r="S243" s="26">
        <f t="shared" si="20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9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20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19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9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13</v>
      </c>
      <c r="S245" s="26">
        <f t="shared" si="20"/>
        <v>80512.5</v>
      </c>
      <c r="T245" s="30">
        <v>80512.5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9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20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9"/>
        <v>0</v>
      </c>
      <c r="N247" s="79"/>
      <c r="O247" s="82"/>
      <c r="P247" s="267"/>
      <c r="Q247" s="79"/>
      <c r="R247" s="268"/>
      <c r="S247" s="142">
        <f t="shared" si="20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6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9"/>
        <v>1324.62</v>
      </c>
      <c r="N248" s="339">
        <v>1324.62</v>
      </c>
      <c r="O248" s="89"/>
      <c r="P248" s="357"/>
      <c r="Q248" s="339"/>
      <c r="R248" s="340"/>
      <c r="S248" s="39">
        <f t="shared" si="20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18</v>
      </c>
      <c r="I249" s="266">
        <v>10</v>
      </c>
      <c r="J249" s="266">
        <v>12</v>
      </c>
      <c r="K249" s="79">
        <v>13757.78</v>
      </c>
      <c r="L249" s="268">
        <v>12</v>
      </c>
      <c r="M249" s="81">
        <f t="shared" si="19"/>
        <v>13757.78</v>
      </c>
      <c r="N249" s="79">
        <v>13757.78</v>
      </c>
      <c r="O249" s="219"/>
      <c r="P249" s="267">
        <v>13</v>
      </c>
      <c r="Q249" s="79">
        <v>43600.12</v>
      </c>
      <c r="R249" s="268">
        <v>13</v>
      </c>
      <c r="S249" s="81">
        <f t="shared" si="20"/>
        <v>43600.12</v>
      </c>
      <c r="T249" s="79">
        <v>43600.12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5</v>
      </c>
      <c r="J250" s="208">
        <v>5</v>
      </c>
      <c r="K250" s="209">
        <v>11904.4</v>
      </c>
      <c r="L250" s="290">
        <v>2</v>
      </c>
      <c r="M250" s="211">
        <f t="shared" si="19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20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12</v>
      </c>
      <c r="I251" s="62">
        <v>8</v>
      </c>
      <c r="J251" s="62">
        <v>13</v>
      </c>
      <c r="K251" s="30">
        <v>16702.03</v>
      </c>
      <c r="L251" s="205">
        <v>13</v>
      </c>
      <c r="M251" s="26">
        <f t="shared" si="19"/>
        <v>16702.03</v>
      </c>
      <c r="N251" s="30">
        <v>16702.03</v>
      </c>
      <c r="O251" s="28"/>
      <c r="P251" s="275"/>
      <c r="Q251" s="26"/>
      <c r="R251" s="27"/>
      <c r="S251" s="26">
        <f t="shared" si="20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9"/>
        <v>0</v>
      </c>
      <c r="N252" s="39"/>
      <c r="O252" s="41"/>
      <c r="P252" s="276"/>
      <c r="Q252" s="39"/>
      <c r="R252" s="40"/>
      <c r="S252" s="39">
        <f t="shared" si="20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4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9"/>
        <v>3158.6</v>
      </c>
      <c r="N253" s="79">
        <v>3158.6</v>
      </c>
      <c r="O253" s="219"/>
      <c r="P253" s="277"/>
      <c r="Q253" s="81"/>
      <c r="R253" s="80"/>
      <c r="S253" s="81">
        <f t="shared" si="20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6</v>
      </c>
      <c r="I254" s="130">
        <v>3</v>
      </c>
      <c r="J254" s="130">
        <v>3</v>
      </c>
      <c r="K254" s="114">
        <v>8675.82</v>
      </c>
      <c r="L254" s="270">
        <v>3</v>
      </c>
      <c r="M254" s="43">
        <f t="shared" si="19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20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9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20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7</v>
      </c>
      <c r="I256" s="57"/>
      <c r="J256" s="57"/>
      <c r="K256" s="43"/>
      <c r="L256" s="44"/>
      <c r="M256" s="43">
        <f t="shared" si="19"/>
        <v>0</v>
      </c>
      <c r="N256" s="43"/>
      <c r="O256" s="41"/>
      <c r="P256" s="113">
        <v>3</v>
      </c>
      <c r="Q256" s="114">
        <v>15773.67</v>
      </c>
      <c r="R256" s="270">
        <v>3</v>
      </c>
      <c r="S256" s="43">
        <f t="shared" si="20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15</v>
      </c>
      <c r="I257" s="62">
        <v>10</v>
      </c>
      <c r="J257" s="62">
        <v>14</v>
      </c>
      <c r="K257" s="30">
        <v>26534.59</v>
      </c>
      <c r="L257" s="205">
        <v>14</v>
      </c>
      <c r="M257" s="26">
        <f t="shared" si="19"/>
        <v>26534.59</v>
      </c>
      <c r="N257" s="30">
        <v>26534.59</v>
      </c>
      <c r="O257" s="31"/>
      <c r="P257" s="53">
        <v>14</v>
      </c>
      <c r="Q257" s="30">
        <v>43510.34</v>
      </c>
      <c r="R257" s="205">
        <v>14</v>
      </c>
      <c r="S257" s="26">
        <f t="shared" si="20"/>
        <v>43510.34</v>
      </c>
      <c r="T257" s="30">
        <v>43510.34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10</v>
      </c>
      <c r="I258" s="37">
        <v>2</v>
      </c>
      <c r="J258" s="37">
        <v>2</v>
      </c>
      <c r="K258" s="68">
        <v>3010</v>
      </c>
      <c r="L258" s="40"/>
      <c r="M258" s="39">
        <f t="shared" si="19"/>
        <v>0</v>
      </c>
      <c r="N258" s="39"/>
      <c r="O258" s="41"/>
      <c r="P258" s="59"/>
      <c r="Q258" s="39"/>
      <c r="R258" s="40"/>
      <c r="S258" s="39">
        <f t="shared" si="20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18</v>
      </c>
      <c r="I259" s="203">
        <v>15</v>
      </c>
      <c r="J259" s="203">
        <v>20</v>
      </c>
      <c r="K259" s="65">
        <v>35824.5</v>
      </c>
      <c r="L259" s="224">
        <v>20</v>
      </c>
      <c r="M259" s="50">
        <f t="shared" si="19"/>
        <v>35824.5</v>
      </c>
      <c r="N259" s="65">
        <v>35824.5</v>
      </c>
      <c r="O259" s="225"/>
      <c r="P259" s="108">
        <v>20</v>
      </c>
      <c r="Q259" s="65">
        <v>57368.51</v>
      </c>
      <c r="R259" s="224">
        <v>20</v>
      </c>
      <c r="S259" s="50">
        <f t="shared" si="20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5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1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2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1"/>
        <v>0</v>
      </c>
      <c r="N262" s="43"/>
      <c r="O262" s="41"/>
      <c r="P262" s="113"/>
      <c r="Q262" s="114"/>
      <c r="R262" s="44"/>
      <c r="S262" s="43">
        <f t="shared" si="22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4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1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2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1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2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14</v>
      </c>
      <c r="J265" s="62">
        <v>18</v>
      </c>
      <c r="K265" s="30">
        <v>38219.47</v>
      </c>
      <c r="L265" s="205">
        <v>17</v>
      </c>
      <c r="M265" s="26">
        <f t="shared" si="21"/>
        <v>32041.62</v>
      </c>
      <c r="N265" s="30">
        <v>32041.62</v>
      </c>
      <c r="O265" s="241"/>
      <c r="P265" s="29">
        <v>3</v>
      </c>
      <c r="Q265" s="30">
        <v>23366.85</v>
      </c>
      <c r="R265" s="205">
        <v>3</v>
      </c>
      <c r="S265" s="26">
        <f t="shared" si="22"/>
        <v>23366.85</v>
      </c>
      <c r="T265" s="30">
        <v>23366.85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2</v>
      </c>
      <c r="J266" s="37">
        <v>2</v>
      </c>
      <c r="K266" s="68">
        <v>5456.32</v>
      </c>
      <c r="L266" s="285">
        <v>1</v>
      </c>
      <c r="M266" s="39">
        <f t="shared" si="21"/>
        <v>1921</v>
      </c>
      <c r="N266" s="39">
        <f>1921</f>
        <v>1921</v>
      </c>
      <c r="O266" s="41"/>
      <c r="P266" s="69"/>
      <c r="Q266" s="39"/>
      <c r="R266" s="40"/>
      <c r="S266" s="39">
        <f t="shared" si="22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1"/>
        <v>0</v>
      </c>
      <c r="N267" s="50"/>
      <c r="O267" s="31"/>
      <c r="P267" s="123"/>
      <c r="Q267" s="50"/>
      <c r="R267" s="51"/>
      <c r="S267" s="50">
        <f t="shared" si="22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1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2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24</v>
      </c>
      <c r="I269" s="62">
        <v>21</v>
      </c>
      <c r="J269" s="62">
        <v>25</v>
      </c>
      <c r="K269" s="30">
        <v>36841.29</v>
      </c>
      <c r="L269" s="205">
        <v>23</v>
      </c>
      <c r="M269" s="26">
        <f t="shared" si="21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2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1"/>
        <v>1728.9</v>
      </c>
      <c r="N270" s="39">
        <f>1728.9</f>
        <v>1728.9</v>
      </c>
      <c r="O270" s="41"/>
      <c r="P270" s="42"/>
      <c r="Q270" s="43"/>
      <c r="R270" s="44"/>
      <c r="S270" s="43">
        <f t="shared" si="22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1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2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/>
      <c r="J272" s="37"/>
      <c r="K272" s="39"/>
      <c r="L272" s="44"/>
      <c r="M272" s="43">
        <f t="shared" si="21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2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>
        <v>1</v>
      </c>
      <c r="M273" s="26">
        <f t="shared" si="21"/>
        <v>2185.62</v>
      </c>
      <c r="N273" s="30">
        <v>2185.62</v>
      </c>
      <c r="O273" s="31"/>
      <c r="P273" s="64">
        <v>7</v>
      </c>
      <c r="Q273" s="65">
        <v>46859.35</v>
      </c>
      <c r="R273" s="224">
        <v>7</v>
      </c>
      <c r="S273" s="50">
        <f t="shared" si="22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8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1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2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1"/>
        <v>0</v>
      </c>
      <c r="N275" s="26"/>
      <c r="O275" s="28"/>
      <c r="P275" s="120"/>
      <c r="Q275" s="26"/>
      <c r="R275" s="27"/>
      <c r="S275" s="26">
        <f t="shared" si="22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9</v>
      </c>
      <c r="I276" s="37">
        <v>4</v>
      </c>
      <c r="J276" s="37">
        <v>4</v>
      </c>
      <c r="K276" s="68">
        <v>9834.2999999999993</v>
      </c>
      <c r="L276" s="40"/>
      <c r="M276" s="39">
        <f t="shared" si="21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2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1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2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1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2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11</v>
      </c>
      <c r="I279" s="62">
        <v>10</v>
      </c>
      <c r="J279" s="62">
        <v>11</v>
      </c>
      <c r="K279" s="30">
        <v>13036.69</v>
      </c>
      <c r="L279" s="205">
        <v>10</v>
      </c>
      <c r="M279" s="26">
        <f t="shared" si="21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2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1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2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1"/>
        <v>0</v>
      </c>
      <c r="N281" s="50"/>
      <c r="O281" s="31"/>
      <c r="P281" s="123"/>
      <c r="Q281" s="50"/>
      <c r="R281" s="51"/>
      <c r="S281" s="50">
        <f t="shared" si="22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1"/>
        <v>0</v>
      </c>
      <c r="N282" s="43"/>
      <c r="O282" s="41"/>
      <c r="P282" s="103"/>
      <c r="Q282" s="43"/>
      <c r="R282" s="44"/>
      <c r="S282" s="43">
        <f t="shared" si="22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1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2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1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2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1"/>
        <v>0</v>
      </c>
      <c r="N285" s="26"/>
      <c r="O285" s="241"/>
      <c r="P285" s="214"/>
      <c r="Q285" s="30"/>
      <c r="R285" s="205"/>
      <c r="S285" s="26">
        <f t="shared" si="22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1"/>
        <v>0</v>
      </c>
      <c r="N286" s="39"/>
      <c r="O286" s="234"/>
      <c r="P286" s="217"/>
      <c r="Q286" s="68"/>
      <c r="R286" s="285"/>
      <c r="S286" s="39">
        <f t="shared" si="22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20</v>
      </c>
      <c r="I287" s="266">
        <v>15</v>
      </c>
      <c r="J287" s="266">
        <v>23</v>
      </c>
      <c r="K287" s="79">
        <v>32610.76</v>
      </c>
      <c r="L287" s="268">
        <v>23</v>
      </c>
      <c r="M287" s="81">
        <f t="shared" si="21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2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4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3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4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3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4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3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3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4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3"/>
        <v>0</v>
      </c>
      <c r="N292" s="39"/>
      <c r="O292" s="41"/>
      <c r="P292" s="69"/>
      <c r="Q292" s="39"/>
      <c r="R292" s="40"/>
      <c r="S292" s="39">
        <f t="shared" si="24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8</v>
      </c>
      <c r="J293" s="203">
        <v>9</v>
      </c>
      <c r="K293" s="65">
        <v>11474.19</v>
      </c>
      <c r="L293" s="224">
        <v>8</v>
      </c>
      <c r="M293" s="50">
        <f t="shared" si="23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4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3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5">SUM(H9:H294)</f>
        <v>1993</v>
      </c>
      <c r="I295" s="183">
        <f t="shared" si="25"/>
        <v>1258</v>
      </c>
      <c r="J295" s="183">
        <f t="shared" si="25"/>
        <v>1581</v>
      </c>
      <c r="K295" s="184">
        <f t="shared" si="25"/>
        <v>2959148.419999999</v>
      </c>
      <c r="L295" s="185">
        <f t="shared" si="25"/>
        <v>1481</v>
      </c>
      <c r="M295" s="184">
        <f t="shared" si="25"/>
        <v>2747047.7799999993</v>
      </c>
      <c r="N295" s="184">
        <f t="shared" si="25"/>
        <v>2748251.9799999991</v>
      </c>
      <c r="O295" s="186">
        <f t="shared" si="25"/>
        <v>0</v>
      </c>
      <c r="P295" s="187">
        <f t="shared" si="25"/>
        <v>1405</v>
      </c>
      <c r="Q295" s="188">
        <f t="shared" si="25"/>
        <v>4948962.1800000016</v>
      </c>
      <c r="R295" s="185">
        <f t="shared" si="25"/>
        <v>1348</v>
      </c>
      <c r="S295" s="188">
        <f t="shared" si="25"/>
        <v>4873206.3</v>
      </c>
      <c r="T295" s="188">
        <f t="shared" si="25"/>
        <v>4873206.3</v>
      </c>
      <c r="U295" s="189">
        <f t="shared" si="25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6">SUMIF($G$9:$G$294,$F$301,H9:H294)</f>
        <v>1464</v>
      </c>
      <c r="H301" s="193">
        <f t="shared" si="26"/>
        <v>1043</v>
      </c>
      <c r="I301" s="193">
        <f t="shared" si="26"/>
        <v>1365</v>
      </c>
      <c r="J301" s="194">
        <f t="shared" ref="J301:J303" si="27">SUMIF($G$9:$G$294,F301,$K$9:$K$294)</f>
        <v>2542767.5299999998</v>
      </c>
      <c r="K301" s="195">
        <f t="shared" ref="K301:K303" si="28">SUMIF($G$9:$G$294,F301,$L$9:$L$294)</f>
        <v>1293</v>
      </c>
      <c r="L301" s="194">
        <f t="shared" ref="L301:L303" si="29">SUMIF($G$9:$G$294,F301,$M$9:$M$294)</f>
        <v>2388473.7599999998</v>
      </c>
      <c r="M301" s="194">
        <f t="shared" ref="M301:O301" si="30">SUMIF($G$9:$G$294,$F$301,N9:N294)</f>
        <v>2388473.7599999998</v>
      </c>
      <c r="N301" s="194">
        <f t="shared" si="30"/>
        <v>0</v>
      </c>
      <c r="O301" s="193">
        <f t="shared" si="30"/>
        <v>1121</v>
      </c>
      <c r="P301" s="194">
        <f t="shared" ref="P301:P303" si="31">SUMIF($G$9:$G$294,F301,$Q$9:$Q$294)</f>
        <v>4007120.9599999995</v>
      </c>
      <c r="Q301" s="195">
        <f t="shared" ref="Q301:Q303" si="32">SUMIF($G$9:$G$294,F301,$R$9:$R$294)</f>
        <v>1059</v>
      </c>
      <c r="R301" s="194">
        <f t="shared" ref="R301:R303" si="33">SUMIF($G$9:$G$294,F301,$S$9:$S$294)</f>
        <v>3939484.13</v>
      </c>
      <c r="S301" s="194">
        <f t="shared" ref="S301:T301" si="34">SUMIF($G$9:$G$294,$F$301,T9:T294)</f>
        <v>3939484.13</v>
      </c>
      <c r="T301" s="194">
        <f t="shared" si="34"/>
        <v>0</v>
      </c>
      <c r="U301" s="194">
        <f t="shared" ref="U301:U303" si="35">S301+M301</f>
        <v>6327957.8899999997</v>
      </c>
      <c r="V301" s="196">
        <f t="shared" ref="V301:V303" si="36">J301-M301+P301-S301</f>
        <v>221930.59999999963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7">SUMIF($G$9:$G$294,$F$302,H9:H294)</f>
        <v>439</v>
      </c>
      <c r="H302" s="193">
        <f t="shared" si="37"/>
        <v>171</v>
      </c>
      <c r="I302" s="193">
        <f t="shared" si="37"/>
        <v>172</v>
      </c>
      <c r="J302" s="194">
        <f t="shared" si="27"/>
        <v>342698.39999999997</v>
      </c>
      <c r="K302" s="195">
        <f t="shared" si="28"/>
        <v>144</v>
      </c>
      <c r="L302" s="194">
        <f t="shared" si="29"/>
        <v>284891.52999999991</v>
      </c>
      <c r="M302" s="194">
        <f t="shared" ref="M302:O302" si="38">SUMIF($G$9:$G$294,$F$302,N9:N294)</f>
        <v>286095.73</v>
      </c>
      <c r="N302" s="194">
        <f t="shared" si="38"/>
        <v>0</v>
      </c>
      <c r="O302" s="193">
        <f t="shared" si="38"/>
        <v>218</v>
      </c>
      <c r="P302" s="194">
        <f t="shared" si="31"/>
        <v>687256.67000000016</v>
      </c>
      <c r="Q302" s="195">
        <f t="shared" si="32"/>
        <v>225</v>
      </c>
      <c r="R302" s="194">
        <f t="shared" si="33"/>
        <v>679137.62000000023</v>
      </c>
      <c r="S302" s="194">
        <f t="shared" ref="S302:T302" si="39">SUMIF($G$9:$G$294,$F$302,T9:T294)</f>
        <v>679137.62000000023</v>
      </c>
      <c r="T302" s="194">
        <f t="shared" si="39"/>
        <v>0</v>
      </c>
      <c r="U302" s="194">
        <f t="shared" si="35"/>
        <v>965233.35000000021</v>
      </c>
      <c r="V302" s="196">
        <f t="shared" si="36"/>
        <v>64721.719999999856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40">SUMIF($G$9:$G$294,$F$303,H9:H294)</f>
        <v>90</v>
      </c>
      <c r="H303" s="193">
        <f t="shared" si="40"/>
        <v>44</v>
      </c>
      <c r="I303" s="193">
        <f t="shared" si="40"/>
        <v>44</v>
      </c>
      <c r="J303" s="194">
        <f t="shared" si="27"/>
        <v>73682.489999999991</v>
      </c>
      <c r="K303" s="195">
        <f t="shared" si="28"/>
        <v>44</v>
      </c>
      <c r="L303" s="194">
        <f t="shared" si="29"/>
        <v>73682.489999999991</v>
      </c>
      <c r="M303" s="194">
        <f t="shared" ref="M303:O303" si="41">SUMIF($G$9:$G$294,$F$303,N9:N294)</f>
        <v>73682.489999999991</v>
      </c>
      <c r="N303" s="194">
        <f t="shared" si="41"/>
        <v>0</v>
      </c>
      <c r="O303" s="193">
        <f t="shared" si="41"/>
        <v>66</v>
      </c>
      <c r="P303" s="194">
        <f t="shared" si="31"/>
        <v>254584.55</v>
      </c>
      <c r="Q303" s="195">
        <f t="shared" si="32"/>
        <v>64</v>
      </c>
      <c r="R303" s="194">
        <f t="shared" si="33"/>
        <v>254584.55</v>
      </c>
      <c r="S303" s="194">
        <f t="shared" ref="S303:T303" si="42">SUMIF($G$9:$G$294,$F$303,T9:T294)</f>
        <v>254584.55</v>
      </c>
      <c r="T303" s="194">
        <f t="shared" si="42"/>
        <v>0</v>
      </c>
      <c r="U303" s="194">
        <f t="shared" si="35"/>
        <v>328267.03999999998</v>
      </c>
      <c r="V303" s="196">
        <f t="shared" si="36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3">G303+G302+G301</f>
        <v>1993</v>
      </c>
      <c r="H304" s="197">
        <f t="shared" si="43"/>
        <v>1258</v>
      </c>
      <c r="I304" s="197">
        <f t="shared" si="43"/>
        <v>1581</v>
      </c>
      <c r="J304" s="198">
        <f t="shared" si="43"/>
        <v>2959148.42</v>
      </c>
      <c r="K304" s="199">
        <f t="shared" si="43"/>
        <v>1481</v>
      </c>
      <c r="L304" s="198">
        <f t="shared" si="43"/>
        <v>2747047.78</v>
      </c>
      <c r="M304" s="198">
        <f t="shared" si="43"/>
        <v>2748251.9799999995</v>
      </c>
      <c r="N304" s="198">
        <f t="shared" si="43"/>
        <v>0</v>
      </c>
      <c r="O304" s="197">
        <f t="shared" si="43"/>
        <v>1405</v>
      </c>
      <c r="P304" s="198">
        <f t="shared" si="43"/>
        <v>4948962.18</v>
      </c>
      <c r="Q304" s="200">
        <f t="shared" si="43"/>
        <v>1348</v>
      </c>
      <c r="R304" s="198">
        <f t="shared" si="43"/>
        <v>4873206.3</v>
      </c>
      <c r="S304" s="198">
        <f t="shared" si="43"/>
        <v>4873206.3</v>
      </c>
      <c r="T304" s="198">
        <f t="shared" si="43"/>
        <v>0</v>
      </c>
      <c r="U304" s="198">
        <f t="shared" si="43"/>
        <v>7621458.2799999993</v>
      </c>
      <c r="V304" s="198">
        <f t="shared" si="43"/>
        <v>286652.31999999948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15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21</v>
      </c>
      <c r="K13" s="79">
        <v>59450.59</v>
      </c>
      <c r="L13" s="268">
        <v>21</v>
      </c>
      <c r="M13" s="81">
        <f t="shared" si="0"/>
        <v>59450.59</v>
      </c>
      <c r="N13" s="79">
        <v>59450.59</v>
      </c>
      <c r="O13" s="97"/>
      <c r="P13" s="267">
        <v>14</v>
      </c>
      <c r="Q13" s="79">
        <v>87821.82</v>
      </c>
      <c r="R13" s="268">
        <v>14</v>
      </c>
      <c r="S13" s="81">
        <f t="shared" si="1"/>
        <v>87821.82</v>
      </c>
      <c r="T13" s="79">
        <v>87821.82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6</v>
      </c>
      <c r="I14" s="130">
        <v>1</v>
      </c>
      <c r="J14" s="130">
        <v>1</v>
      </c>
      <c r="K14" s="114">
        <v>1152.5999999999999</v>
      </c>
      <c r="L14" s="44"/>
      <c r="M14" s="43">
        <f t="shared" si="0"/>
        <v>0</v>
      </c>
      <c r="N14" s="43"/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27</v>
      </c>
      <c r="J15" s="62">
        <v>47</v>
      </c>
      <c r="K15" s="30">
        <v>120164.71</v>
      </c>
      <c r="L15" s="205">
        <v>42</v>
      </c>
      <c r="M15" s="26">
        <f t="shared" si="0"/>
        <v>101976.28</v>
      </c>
      <c r="N15" s="30">
        <v>101976.28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4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9</v>
      </c>
      <c r="Q18" s="209">
        <v>42612.91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15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11</v>
      </c>
      <c r="I21" s="266">
        <v>10</v>
      </c>
      <c r="J21" s="266">
        <v>15</v>
      </c>
      <c r="K21" s="79">
        <v>28930.75</v>
      </c>
      <c r="L21" s="268">
        <v>14</v>
      </c>
      <c r="M21" s="81">
        <f t="shared" si="0"/>
        <v>22307.65</v>
      </c>
      <c r="N21" s="79">
        <v>22307.65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18</v>
      </c>
      <c r="I23" s="203">
        <v>18</v>
      </c>
      <c r="J23" s="203">
        <v>30</v>
      </c>
      <c r="K23" s="65">
        <v>44901.9</v>
      </c>
      <c r="L23" s="224">
        <v>27</v>
      </c>
      <c r="M23" s="50">
        <f t="shared" si="0"/>
        <v>40994.269999999997</v>
      </c>
      <c r="N23" s="65">
        <v>40994.269999999997</v>
      </c>
      <c r="O23" s="225"/>
      <c r="P23" s="53">
        <v>17</v>
      </c>
      <c r="Q23" s="30">
        <v>35092</v>
      </c>
      <c r="R23" s="205">
        <v>16</v>
      </c>
      <c r="S23" s="26">
        <f t="shared" si="1"/>
        <v>35092</v>
      </c>
      <c r="T23" s="30">
        <v>35092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17</v>
      </c>
      <c r="I25" s="62">
        <v>13</v>
      </c>
      <c r="J25" s="62">
        <v>13</v>
      </c>
      <c r="K25" s="62">
        <v>10081.81</v>
      </c>
      <c r="L25" s="205">
        <v>13</v>
      </c>
      <c r="M25" s="26">
        <f t="shared" si="0"/>
        <v>10081.81</v>
      </c>
      <c r="N25" s="30">
        <v>10081.81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5</v>
      </c>
      <c r="I26" s="37">
        <v>1</v>
      </c>
      <c r="J26" s="37">
        <v>1</v>
      </c>
      <c r="K26" s="68">
        <v>1986.93</v>
      </c>
      <c r="L26" s="40"/>
      <c r="M26" s="39">
        <f t="shared" si="0"/>
        <v>0</v>
      </c>
      <c r="N26" s="39"/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15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3</v>
      </c>
      <c r="J28" s="130">
        <v>3</v>
      </c>
      <c r="K28" s="114">
        <v>3211.2</v>
      </c>
      <c r="L28" s="270">
        <v>1</v>
      </c>
      <c r="M28" s="43">
        <f t="shared" si="0"/>
        <v>1204.2</v>
      </c>
      <c r="N28" s="43">
        <f>1204.2</f>
        <v>1204.2</v>
      </c>
      <c r="O28" s="41"/>
      <c r="P28" s="115">
        <v>11</v>
      </c>
      <c r="Q28" s="68">
        <v>47836.3</v>
      </c>
      <c r="R28" s="285">
        <v>9</v>
      </c>
      <c r="S28" s="39">
        <f t="shared" si="1"/>
        <v>27294.600000000002</v>
      </c>
      <c r="T28" s="68">
        <f>4302+3533.6+960.5+5240.8+4226.2+5820.3+2007+1204.2</f>
        <v>27294.600000000002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7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15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6</v>
      </c>
      <c r="J34" s="130">
        <v>6</v>
      </c>
      <c r="K34" s="114">
        <v>15654.7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5</v>
      </c>
      <c r="I43" s="62">
        <v>3</v>
      </c>
      <c r="J43" s="62">
        <v>5</v>
      </c>
      <c r="K43" s="30">
        <v>10750.36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17</v>
      </c>
      <c r="J45" s="266">
        <v>21</v>
      </c>
      <c r="K45" s="79">
        <v>34699.769999999997</v>
      </c>
      <c r="L45" s="268">
        <v>20</v>
      </c>
      <c r="M45" s="81">
        <f t="shared" si="2"/>
        <v>33657.33</v>
      </c>
      <c r="N45" s="79">
        <v>33657.33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24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5</v>
      </c>
      <c r="J50" s="266">
        <v>6</v>
      </c>
      <c r="K50" s="79">
        <v>9733.15</v>
      </c>
      <c r="L50" s="268">
        <v>6</v>
      </c>
      <c r="M50" s="81">
        <f t="shared" si="2"/>
        <v>9733.15</v>
      </c>
      <c r="N50" s="79">
        <v>9733.15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1</v>
      </c>
      <c r="J53" s="338">
        <v>1</v>
      </c>
      <c r="K53" s="339">
        <v>1134.9000000000001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5</v>
      </c>
      <c r="I56" s="266">
        <v>1</v>
      </c>
      <c r="J56" s="266">
        <v>1</v>
      </c>
      <c r="K56" s="79">
        <v>2284.9299999999998</v>
      </c>
      <c r="L56" s="268">
        <v>1</v>
      </c>
      <c r="M56" s="81">
        <f t="shared" si="2"/>
        <v>2284.9299999999998</v>
      </c>
      <c r="N56" s="79">
        <v>2284.9299999999998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8</v>
      </c>
      <c r="I57" s="130">
        <v>6</v>
      </c>
      <c r="J57" s="130">
        <v>6</v>
      </c>
      <c r="K57" s="114">
        <v>14932.08</v>
      </c>
      <c r="L57" s="270">
        <v>3</v>
      </c>
      <c r="M57" s="43">
        <f t="shared" si="2"/>
        <v>5619.5999999999995</v>
      </c>
      <c r="N57" s="43">
        <f>1605.6+1806.3+2207.7</f>
        <v>5619.5999999999995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6</v>
      </c>
      <c r="I59" s="37">
        <v>3</v>
      </c>
      <c r="J59" s="37">
        <v>3</v>
      </c>
      <c r="K59" s="68">
        <v>8028</v>
      </c>
      <c r="L59" s="285">
        <v>1</v>
      </c>
      <c r="M59" s="39">
        <f t="shared" si="2"/>
        <v>2007</v>
      </c>
      <c r="N59" s="39">
        <f>2007</f>
        <v>2007</v>
      </c>
      <c r="O59" s="41"/>
      <c r="P59" s="115">
        <v>11</v>
      </c>
      <c r="Q59" s="68">
        <v>27095.83</v>
      </c>
      <c r="R59" s="285">
        <v>13</v>
      </c>
      <c r="S59" s="39">
        <f t="shared" si="3"/>
        <v>28376.030000000002</v>
      </c>
      <c r="T59" s="68">
        <f>2209.2+576.3+13639.1+1921+1921+3438.83+3265.7+1404.9</f>
        <v>28376.030000000002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8</v>
      </c>
      <c r="I60" s="203">
        <v>6</v>
      </c>
      <c r="J60" s="203">
        <v>9</v>
      </c>
      <c r="K60" s="65">
        <v>17478.27</v>
      </c>
      <c r="L60" s="224">
        <v>7</v>
      </c>
      <c r="M60" s="50">
        <f t="shared" si="2"/>
        <v>12948.87</v>
      </c>
      <c r="N60" s="65">
        <v>12948.87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19</v>
      </c>
      <c r="I62" s="62">
        <v>17</v>
      </c>
      <c r="J62" s="62">
        <v>20</v>
      </c>
      <c r="K62" s="30">
        <v>34588.44</v>
      </c>
      <c r="L62" s="205">
        <v>19</v>
      </c>
      <c r="M62" s="26">
        <f t="shared" si="2"/>
        <v>33859.9</v>
      </c>
      <c r="N62" s="30">
        <v>33859.9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6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37</v>
      </c>
      <c r="I64" s="203">
        <v>25</v>
      </c>
      <c r="J64" s="203">
        <v>38</v>
      </c>
      <c r="K64" s="65">
        <v>70731.710000000006</v>
      </c>
      <c r="L64" s="224">
        <v>38</v>
      </c>
      <c r="M64" s="50">
        <f t="shared" si="2"/>
        <v>70731.710000000006</v>
      </c>
      <c r="N64" s="65">
        <v>70731.710000000006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14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8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4</v>
      </c>
      <c r="J68" s="62">
        <v>5</v>
      </c>
      <c r="K68" s="30">
        <v>9142.82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9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9</v>
      </c>
      <c r="I74" s="203">
        <v>3</v>
      </c>
      <c r="J74" s="203">
        <v>3</v>
      </c>
      <c r="K74" s="65">
        <v>5482.32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89371.69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3</v>
      </c>
      <c r="S75" s="43">
        <f t="shared" si="3"/>
        <v>7115.8</v>
      </c>
      <c r="T75" s="114">
        <f>2881.5+2393.3+1841</f>
        <v>7115.8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15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7">
        <v>1</v>
      </c>
      <c r="J77" s="37">
        <v>1</v>
      </c>
      <c r="K77" s="68">
        <v>6181</v>
      </c>
      <c r="L77" s="40"/>
      <c r="M77" s="39">
        <f t="shared" si="2"/>
        <v>0</v>
      </c>
      <c r="N77" s="39"/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9</v>
      </c>
      <c r="J80" s="62">
        <v>14</v>
      </c>
      <c r="K80" s="30">
        <v>25458.38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12</v>
      </c>
      <c r="I82" s="203">
        <v>9</v>
      </c>
      <c r="J82" s="203">
        <v>14</v>
      </c>
      <c r="K82" s="158">
        <v>36747.9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13</v>
      </c>
      <c r="Q82" s="65">
        <v>52889.43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49</v>
      </c>
      <c r="I84" s="62">
        <v>43</v>
      </c>
      <c r="J84" s="62">
        <v>64</v>
      </c>
      <c r="K84" s="30">
        <v>130892.7</v>
      </c>
      <c r="L84" s="205">
        <v>63</v>
      </c>
      <c r="M84" s="26">
        <f t="shared" si="4"/>
        <v>123601.32</v>
      </c>
      <c r="N84" s="30">
        <v>123601.32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10</v>
      </c>
      <c r="I86" s="62">
        <v>8</v>
      </c>
      <c r="J86" s="62">
        <v>8</v>
      </c>
      <c r="K86" s="30">
        <v>15519.08</v>
      </c>
      <c r="L86" s="205">
        <v>7</v>
      </c>
      <c r="M86" s="26">
        <f t="shared" si="4"/>
        <v>14776.14</v>
      </c>
      <c r="N86" s="30">
        <v>14776.14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2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24</v>
      </c>
      <c r="I98" s="62">
        <v>17</v>
      </c>
      <c r="J98" s="62">
        <v>24</v>
      </c>
      <c r="K98" s="30">
        <v>42965.08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10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6560.64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6" si="7">N102+O102</f>
        <v>8733.91</v>
      </c>
      <c r="N102" s="30">
        <v>8733.91</v>
      </c>
      <c r="O102" s="31"/>
      <c r="P102" s="53">
        <v>9</v>
      </c>
      <c r="Q102" s="30">
        <v>61187.9</v>
      </c>
      <c r="R102" s="205">
        <v>9</v>
      </c>
      <c r="S102" s="26">
        <f t="shared" si="6"/>
        <v>61187.9</v>
      </c>
      <c r="T102" s="30">
        <v>61187.9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1</v>
      </c>
      <c r="S103" s="43">
        <f t="shared" si="6"/>
        <v>2408.4</v>
      </c>
      <c r="T103" s="43">
        <f>2408.4</f>
        <v>2408.4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6</v>
      </c>
      <c r="J106" s="62">
        <v>8</v>
      </c>
      <c r="K106" s="30">
        <v>20920.14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28</v>
      </c>
      <c r="Q106" s="30">
        <v>97450.12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9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15</v>
      </c>
      <c r="I110" s="62">
        <v>10</v>
      </c>
      <c r="J110" s="62">
        <v>16</v>
      </c>
      <c r="K110" s="30">
        <v>29995.7</v>
      </c>
      <c r="L110" s="205">
        <v>16</v>
      </c>
      <c r="M110" s="26">
        <f t="shared" si="8"/>
        <v>29995.7</v>
      </c>
      <c r="N110" s="30">
        <v>29995.7</v>
      </c>
      <c r="O110" s="241"/>
      <c r="P110" s="214">
        <v>14</v>
      </c>
      <c r="Q110" s="30">
        <v>75827.070000000007</v>
      </c>
      <c r="R110" s="205">
        <v>14</v>
      </c>
      <c r="S110" s="26">
        <f t="shared" si="9"/>
        <v>75827.070000000007</v>
      </c>
      <c r="T110" s="30">
        <v>75827.070000000007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10</v>
      </c>
      <c r="I111" s="286">
        <v>7</v>
      </c>
      <c r="J111" s="286">
        <v>7</v>
      </c>
      <c r="K111" s="287">
        <v>21767.4</v>
      </c>
      <c r="L111" s="315">
        <v>6</v>
      </c>
      <c r="M111" s="39">
        <f t="shared" si="8"/>
        <v>13739.4</v>
      </c>
      <c r="N111" s="39">
        <f>1921+3073.6+1921+3010.5+1404.9+2408.4</f>
        <v>13739.4</v>
      </c>
      <c r="O111" s="41"/>
      <c r="P111" s="217">
        <v>4</v>
      </c>
      <c r="Q111" s="37">
        <v>19940.650000000001</v>
      </c>
      <c r="R111" s="285">
        <v>3</v>
      </c>
      <c r="S111" s="39">
        <f t="shared" si="9"/>
        <v>8740.5499999999993</v>
      </c>
      <c r="T111" s="68">
        <f>1056.55+3457.8+4226.2</f>
        <v>8740.5499999999993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13</v>
      </c>
      <c r="I114" s="203">
        <v>7</v>
      </c>
      <c r="J114" s="203">
        <v>8</v>
      </c>
      <c r="K114" s="65">
        <v>12423.22</v>
      </c>
      <c r="L114" s="224">
        <v>8</v>
      </c>
      <c r="M114" s="50">
        <f t="shared" si="8"/>
        <v>12423.22</v>
      </c>
      <c r="N114" s="65">
        <v>12423.22</v>
      </c>
      <c r="O114" s="225"/>
      <c r="P114" s="108">
        <v>10</v>
      </c>
      <c r="Q114" s="65">
        <v>25470.59</v>
      </c>
      <c r="R114" s="224">
        <v>10</v>
      </c>
      <c r="S114" s="50">
        <f t="shared" si="9"/>
        <v>25470.59</v>
      </c>
      <c r="T114" s="65">
        <v>25470.59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10</v>
      </c>
      <c r="I115" s="130">
        <v>4</v>
      </c>
      <c r="J115" s="130">
        <v>4</v>
      </c>
      <c r="K115" s="114">
        <v>3785.4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8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7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18</v>
      </c>
      <c r="J118" s="203">
        <v>22</v>
      </c>
      <c r="K118" s="65">
        <v>51826.81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23</v>
      </c>
      <c r="Q118" s="65">
        <v>105066.33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03"/>
      <c r="Q119" s="43"/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16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4</v>
      </c>
      <c r="I125" s="203">
        <v>3</v>
      </c>
      <c r="J125" s="203">
        <v>4</v>
      </c>
      <c r="K125" s="65">
        <v>5417.06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37589.71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13</v>
      </c>
      <c r="I127" s="62">
        <v>11</v>
      </c>
      <c r="J127" s="62">
        <v>15</v>
      </c>
      <c r="K127" s="30">
        <v>39786.14</v>
      </c>
      <c r="L127" s="205">
        <v>15</v>
      </c>
      <c r="M127" s="26">
        <f t="shared" si="10"/>
        <v>39786.14</v>
      </c>
      <c r="N127" s="30">
        <v>39786.14</v>
      </c>
      <c r="O127" s="31"/>
      <c r="P127" s="53">
        <v>4</v>
      </c>
      <c r="Q127" s="30">
        <v>3732.5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21</v>
      </c>
      <c r="I129" s="62">
        <v>18</v>
      </c>
      <c r="J129" s="62">
        <v>26</v>
      </c>
      <c r="K129" s="30">
        <v>66481.97</v>
      </c>
      <c r="L129" s="205">
        <v>26</v>
      </c>
      <c r="M129" s="26">
        <f t="shared" si="10"/>
        <v>66481.97</v>
      </c>
      <c r="N129" s="30">
        <v>66481.97</v>
      </c>
      <c r="O129" s="225"/>
      <c r="P129" s="53">
        <v>11</v>
      </c>
      <c r="Q129" s="30">
        <v>31033.06</v>
      </c>
      <c r="R129" s="205">
        <v>11</v>
      </c>
      <c r="S129" s="26">
        <f t="shared" si="9"/>
        <v>31033.06</v>
      </c>
      <c r="T129" s="30">
        <v>31033.06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9</v>
      </c>
      <c r="I133" s="62">
        <v>7</v>
      </c>
      <c r="J133" s="62">
        <v>11</v>
      </c>
      <c r="K133" s="30">
        <v>19669.79</v>
      </c>
      <c r="L133" s="205">
        <v>11</v>
      </c>
      <c r="M133" s="26">
        <f t="shared" si="10"/>
        <v>19669.79</v>
      </c>
      <c r="N133" s="30">
        <v>19669.79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5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22</v>
      </c>
      <c r="I135" s="203">
        <v>16</v>
      </c>
      <c r="J135" s="203">
        <v>23</v>
      </c>
      <c r="K135" s="65">
        <v>62624.1</v>
      </c>
      <c r="L135" s="224">
        <v>23</v>
      </c>
      <c r="M135" s="50">
        <f t="shared" si="10"/>
        <v>62624.1</v>
      </c>
      <c r="N135" s="65">
        <v>62624.1</v>
      </c>
      <c r="O135" s="225"/>
      <c r="P135" s="108">
        <v>32</v>
      </c>
      <c r="Q135" s="65">
        <v>119894.49</v>
      </c>
      <c r="R135" s="224">
        <v>32</v>
      </c>
      <c r="S135" s="50">
        <f t="shared" si="9"/>
        <v>119894.49</v>
      </c>
      <c r="T135" s="65">
        <v>119894.49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19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44</v>
      </c>
      <c r="I139" s="62">
        <v>27</v>
      </c>
      <c r="J139" s="62">
        <v>32</v>
      </c>
      <c r="K139" s="30">
        <v>52510.43</v>
      </c>
      <c r="L139" s="205">
        <v>23</v>
      </c>
      <c r="M139" s="26">
        <f t="shared" si="10"/>
        <v>37589.230000000003</v>
      </c>
      <c r="N139" s="30">
        <v>37589.230000000003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7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47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28</v>
      </c>
      <c r="I145" s="266">
        <v>23</v>
      </c>
      <c r="J145" s="266">
        <v>34</v>
      </c>
      <c r="K145" s="79">
        <v>70420.62</v>
      </c>
      <c r="L145" s="268">
        <v>31</v>
      </c>
      <c r="M145" s="81">
        <f t="shared" si="11"/>
        <v>63666.23</v>
      </c>
      <c r="N145" s="79">
        <v>63666.23</v>
      </c>
      <c r="O145" s="269"/>
      <c r="P145" s="267">
        <v>22</v>
      </c>
      <c r="Q145" s="79">
        <v>89981.45</v>
      </c>
      <c r="R145" s="268">
        <v>19</v>
      </c>
      <c r="S145" s="81">
        <f t="shared" si="12"/>
        <v>83320.600000000006</v>
      </c>
      <c r="T145" s="79">
        <v>83320.600000000006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19</v>
      </c>
      <c r="I147" s="203">
        <v>15</v>
      </c>
      <c r="J147" s="203">
        <v>18</v>
      </c>
      <c r="K147" s="65">
        <v>47249.1</v>
      </c>
      <c r="L147" s="224">
        <v>17</v>
      </c>
      <c r="M147" s="50">
        <f t="shared" si="11"/>
        <v>47249.1</v>
      </c>
      <c r="N147" s="65">
        <v>47249.1</v>
      </c>
      <c r="O147" s="225"/>
      <c r="P147" s="108">
        <v>57</v>
      </c>
      <c r="Q147" s="65">
        <v>337965.75</v>
      </c>
      <c r="R147" s="224">
        <v>57</v>
      </c>
      <c r="S147" s="50">
        <f t="shared" si="12"/>
        <v>337965.75</v>
      </c>
      <c r="T147" s="65">
        <v>337965.75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237" t="s">
        <v>500</v>
      </c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238">
        <v>1</v>
      </c>
      <c r="Q148" s="239">
        <v>2408.4</v>
      </c>
      <c r="R148" s="316">
        <v>1</v>
      </c>
      <c r="S148" s="239">
        <v>2408.4</v>
      </c>
      <c r="T148" s="239">
        <v>2408.4</v>
      </c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3</v>
      </c>
      <c r="Q149" s="114">
        <v>8317.5</v>
      </c>
      <c r="R149" s="270">
        <v>4</v>
      </c>
      <c r="S149" s="43">
        <f t="shared" ref="S149:S156" si="13">T149+U149</f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6</v>
      </c>
      <c r="I150" s="62">
        <v>2</v>
      </c>
      <c r="J150" s="62">
        <v>2</v>
      </c>
      <c r="K150" s="30">
        <v>1267.28</v>
      </c>
      <c r="L150" s="205">
        <v>2</v>
      </c>
      <c r="M150" s="26">
        <f t="shared" si="11"/>
        <v>1267.28</v>
      </c>
      <c r="N150" s="30">
        <v>1267.28</v>
      </c>
      <c r="O150" s="225"/>
      <c r="P150" s="53">
        <v>15</v>
      </c>
      <c r="Q150" s="30">
        <v>10414.84</v>
      </c>
      <c r="R150" s="205">
        <v>4</v>
      </c>
      <c r="S150" s="26">
        <f t="shared" si="13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7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7</v>
      </c>
      <c r="Q151" s="68">
        <v>7062.2</v>
      </c>
      <c r="R151" s="285">
        <v>3</v>
      </c>
      <c r="S151" s="39">
        <f t="shared" si="13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12</v>
      </c>
      <c r="J152" s="203">
        <v>17</v>
      </c>
      <c r="K152" s="65">
        <v>33710.11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3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5</v>
      </c>
      <c r="J153" s="37">
        <v>5</v>
      </c>
      <c r="K153" s="68">
        <v>5776.7</v>
      </c>
      <c r="L153" s="285">
        <v>4</v>
      </c>
      <c r="M153" s="39">
        <f t="shared" si="11"/>
        <v>5220.5999999999995</v>
      </c>
      <c r="N153" s="39">
        <f>1578.8+1152.6+1152.6+1336.6</f>
        <v>5220.5999999999995</v>
      </c>
      <c r="O153" s="41"/>
      <c r="P153" s="115">
        <v>3</v>
      </c>
      <c r="Q153" s="68">
        <v>17095</v>
      </c>
      <c r="R153" s="285">
        <v>3</v>
      </c>
      <c r="S153" s="39">
        <f t="shared" si="13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3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3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3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9</v>
      </c>
      <c r="I157" s="130">
        <v>6</v>
      </c>
      <c r="J157" s="130">
        <v>6</v>
      </c>
      <c r="K157" s="114">
        <v>10810.58</v>
      </c>
      <c r="L157" s="270">
        <v>6</v>
      </c>
      <c r="M157" s="114">
        <v>10810.58</v>
      </c>
      <c r="N157" s="114">
        <v>10810.58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14</v>
      </c>
      <c r="I158" s="62">
        <v>11</v>
      </c>
      <c r="J158" s="62">
        <v>15</v>
      </c>
      <c r="K158" s="30">
        <v>26366.57</v>
      </c>
      <c r="L158" s="205">
        <v>13</v>
      </c>
      <c r="M158" s="26">
        <f t="shared" ref="M158:M229" si="14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5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16</v>
      </c>
      <c r="I159" s="271">
        <v>10</v>
      </c>
      <c r="J159" s="271">
        <v>10</v>
      </c>
      <c r="K159" s="239">
        <v>17440.900000000001</v>
      </c>
      <c r="L159" s="316">
        <v>9</v>
      </c>
      <c r="M159" s="129">
        <f t="shared" si="14"/>
        <v>17139.849999999999</v>
      </c>
      <c r="N159" s="129">
        <f>1728.9+2305.2+576.3+4802.5+1404.9+1404.9+1404.9+1103.85+2408.4</f>
        <v>17139.849999999999</v>
      </c>
      <c r="O159" s="45"/>
      <c r="P159" s="238">
        <v>9</v>
      </c>
      <c r="Q159" s="239">
        <v>31223.56</v>
      </c>
      <c r="R159" s="316">
        <v>10</v>
      </c>
      <c r="S159" s="129">
        <f t="shared" si="15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4"/>
        <v>0</v>
      </c>
      <c r="N160" s="43"/>
      <c r="O160" s="41"/>
      <c r="P160" s="103"/>
      <c r="Q160" s="43"/>
      <c r="R160" s="44"/>
      <c r="S160" s="43">
        <f t="shared" si="15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11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4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5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4"/>
        <v>0</v>
      </c>
      <c r="N162" s="39"/>
      <c r="O162" s="41"/>
      <c r="P162" s="59"/>
      <c r="Q162" s="39"/>
      <c r="R162" s="40"/>
      <c r="S162" s="39">
        <f t="shared" si="15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11</v>
      </c>
      <c r="J163" s="203">
        <v>12</v>
      </c>
      <c r="K163" s="65">
        <v>16411.849999999999</v>
      </c>
      <c r="L163" s="224">
        <v>12</v>
      </c>
      <c r="M163" s="50">
        <f t="shared" si="14"/>
        <v>16411.849999999999</v>
      </c>
      <c r="N163" s="65">
        <v>16411.849999999999</v>
      </c>
      <c r="O163" s="225"/>
      <c r="P163" s="108">
        <v>7</v>
      </c>
      <c r="Q163" s="65">
        <v>50795.35</v>
      </c>
      <c r="R163" s="224">
        <v>7</v>
      </c>
      <c r="S163" s="50">
        <f t="shared" si="15"/>
        <v>50795.35</v>
      </c>
      <c r="T163" s="65">
        <v>50795.35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5</v>
      </c>
      <c r="J164" s="246">
        <v>5</v>
      </c>
      <c r="K164" s="158">
        <v>10648.6</v>
      </c>
      <c r="L164" s="317">
        <v>4</v>
      </c>
      <c r="M164" s="142">
        <f t="shared" si="14"/>
        <v>8842.2999999999993</v>
      </c>
      <c r="N164" s="142">
        <f>1921+2305.2+1404.9+3211.2</f>
        <v>8842.2999999999993</v>
      </c>
      <c r="O164" s="45"/>
      <c r="P164" s="157">
        <v>4</v>
      </c>
      <c r="Q164" s="158">
        <v>8625.2900000000009</v>
      </c>
      <c r="R164" s="224">
        <v>5</v>
      </c>
      <c r="S164" s="50">
        <f t="shared" si="15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4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16</v>
      </c>
      <c r="I166" s="62">
        <v>11</v>
      </c>
      <c r="J166" s="62">
        <v>13</v>
      </c>
      <c r="K166" s="30">
        <v>23437.14</v>
      </c>
      <c r="L166" s="205">
        <v>10</v>
      </c>
      <c r="M166" s="26">
        <f t="shared" si="14"/>
        <v>18691.57</v>
      </c>
      <c r="N166" s="30">
        <v>18691.57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6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6</v>
      </c>
      <c r="J167" s="37">
        <v>6</v>
      </c>
      <c r="K167" s="68">
        <v>7049.7</v>
      </c>
      <c r="L167" s="285">
        <v>5</v>
      </c>
      <c r="M167" s="39">
        <f t="shared" si="14"/>
        <v>5042.7000000000007</v>
      </c>
      <c r="N167" s="39">
        <f>576.3+1716.8+1344.7+1404.9</f>
        <v>5042.7000000000007</v>
      </c>
      <c r="O167" s="41"/>
      <c r="P167" s="115">
        <v>3</v>
      </c>
      <c r="Q167" s="68">
        <v>5674.1</v>
      </c>
      <c r="R167" s="285">
        <v>2</v>
      </c>
      <c r="S167" s="39">
        <f t="shared" si="16"/>
        <v>6957.96</v>
      </c>
      <c r="T167" s="39">
        <f>1921+1344.7+3692.26</f>
        <v>6957.96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9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4"/>
        <v>19508.22</v>
      </c>
      <c r="N168" s="65">
        <v>19508.22</v>
      </c>
      <c r="O168" s="31"/>
      <c r="P168" s="108">
        <v>10</v>
      </c>
      <c r="Q168" s="65">
        <v>22636.89</v>
      </c>
      <c r="R168" s="224">
        <v>9</v>
      </c>
      <c r="S168" s="50">
        <f t="shared" si="16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7</v>
      </c>
      <c r="I169" s="130">
        <v>7</v>
      </c>
      <c r="J169" s="130">
        <v>7</v>
      </c>
      <c r="K169" s="114">
        <v>26745.9</v>
      </c>
      <c r="L169" s="270">
        <v>7</v>
      </c>
      <c r="M169" s="43">
        <f t="shared" si="14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6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6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4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6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3</v>
      </c>
      <c r="J171" s="130">
        <v>3</v>
      </c>
      <c r="K171" s="114">
        <v>4835.3999999999996</v>
      </c>
      <c r="L171" s="270">
        <v>4</v>
      </c>
      <c r="M171" s="43">
        <f t="shared" si="14"/>
        <v>8335.2999999999993</v>
      </c>
      <c r="N171" s="43">
        <f>1728.9+602.1+2504.4+3499.9</f>
        <v>8335.2999999999993</v>
      </c>
      <c r="O171" s="45"/>
      <c r="P171" s="113">
        <v>6</v>
      </c>
      <c r="Q171" s="114">
        <v>15990.2</v>
      </c>
      <c r="R171" s="270">
        <v>8</v>
      </c>
      <c r="S171" s="43">
        <f t="shared" si="16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19</v>
      </c>
      <c r="I172" s="62">
        <v>13</v>
      </c>
      <c r="J172" s="62">
        <v>16</v>
      </c>
      <c r="K172" s="30">
        <v>45564.83</v>
      </c>
      <c r="L172" s="205">
        <v>14</v>
      </c>
      <c r="M172" s="26">
        <f t="shared" si="14"/>
        <v>30399.81</v>
      </c>
      <c r="N172" s="30">
        <v>30399.81</v>
      </c>
      <c r="O172" s="159"/>
      <c r="P172" s="53">
        <v>4</v>
      </c>
      <c r="Q172" s="30">
        <v>31835.37</v>
      </c>
      <c r="R172" s="205">
        <v>4</v>
      </c>
      <c r="S172" s="26">
        <f t="shared" si="16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4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6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7</v>
      </c>
      <c r="I174" s="62">
        <v>4</v>
      </c>
      <c r="J174" s="62">
        <v>7</v>
      </c>
      <c r="K174" s="30">
        <v>18407.25</v>
      </c>
      <c r="L174" s="205">
        <v>6</v>
      </c>
      <c r="M174" s="26">
        <f t="shared" si="14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6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4"/>
        <v>0</v>
      </c>
      <c r="N175" s="39"/>
      <c r="O175" s="41"/>
      <c r="P175" s="217"/>
      <c r="Q175" s="68"/>
      <c r="R175" s="285"/>
      <c r="S175" s="39">
        <f t="shared" si="16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9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4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6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4"/>
        <v>0</v>
      </c>
      <c r="N177" s="43"/>
      <c r="O177" s="45"/>
      <c r="P177" s="103"/>
      <c r="Q177" s="43"/>
      <c r="R177" s="44"/>
      <c r="S177" s="43">
        <f t="shared" si="16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4"/>
        <v>524.91</v>
      </c>
      <c r="N178" s="30">
        <v>524.91</v>
      </c>
      <c r="O178" s="241"/>
      <c r="P178" s="53">
        <v>2</v>
      </c>
      <c r="Q178" s="30">
        <v>14444.79</v>
      </c>
      <c r="R178" s="205">
        <v>2</v>
      </c>
      <c r="S178" s="26">
        <f t="shared" si="16"/>
        <v>14444.79</v>
      </c>
      <c r="T178" s="30">
        <v>14444.79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4"/>
        <v>0</v>
      </c>
      <c r="N179" s="211"/>
      <c r="O179" s="212"/>
      <c r="P179" s="273"/>
      <c r="Q179" s="211"/>
      <c r="R179" s="210"/>
      <c r="S179" s="211">
        <f t="shared" si="16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5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4"/>
        <v>9442.35</v>
      </c>
      <c r="N180" s="30">
        <v>9442.35</v>
      </c>
      <c r="O180" s="28"/>
      <c r="P180" s="214"/>
      <c r="Q180" s="30"/>
      <c r="R180" s="205"/>
      <c r="S180" s="26">
        <f t="shared" si="16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4"/>
        <v>0</v>
      </c>
      <c r="N181" s="39"/>
      <c r="O181" s="41"/>
      <c r="P181" s="217"/>
      <c r="Q181" s="68"/>
      <c r="R181" s="285"/>
      <c r="S181" s="39">
        <f t="shared" si="16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9</v>
      </c>
      <c r="I182" s="266">
        <v>7</v>
      </c>
      <c r="J182" s="266">
        <v>9</v>
      </c>
      <c r="K182" s="79">
        <v>15151.29</v>
      </c>
      <c r="L182" s="268">
        <v>6</v>
      </c>
      <c r="M182" s="81">
        <f t="shared" si="14"/>
        <v>13766.46</v>
      </c>
      <c r="N182" s="79">
        <v>13766.46</v>
      </c>
      <c r="O182" s="219"/>
      <c r="P182" s="267">
        <v>18</v>
      </c>
      <c r="Q182" s="79">
        <v>50132.05</v>
      </c>
      <c r="R182" s="268">
        <v>18</v>
      </c>
      <c r="S182" s="81">
        <f t="shared" si="16"/>
        <v>50132.05</v>
      </c>
      <c r="T182" s="79">
        <v>50132.05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4"/>
        <v>21489.82</v>
      </c>
      <c r="N183" s="43">
        <f>2497.3+1152.6+5920.02+4595.4+602.1+6722.4</f>
        <v>21489.82</v>
      </c>
      <c r="O183" s="41"/>
      <c r="P183" s="113">
        <v>3</v>
      </c>
      <c r="Q183" s="114">
        <v>17758.3</v>
      </c>
      <c r="R183" s="270">
        <v>3</v>
      </c>
      <c r="S183" s="43">
        <f t="shared" si="16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14</v>
      </c>
      <c r="I184" s="62">
        <v>12</v>
      </c>
      <c r="J184" s="62">
        <v>13</v>
      </c>
      <c r="K184" s="30">
        <v>34160.230000000003</v>
      </c>
      <c r="L184" s="205">
        <v>9</v>
      </c>
      <c r="M184" s="26">
        <f t="shared" si="14"/>
        <v>29875.67</v>
      </c>
      <c r="N184" s="30">
        <v>29875.67</v>
      </c>
      <c r="O184" s="225"/>
      <c r="P184" s="53">
        <v>13</v>
      </c>
      <c r="Q184" s="30">
        <v>38649.24</v>
      </c>
      <c r="R184" s="205">
        <v>12</v>
      </c>
      <c r="S184" s="26">
        <f t="shared" si="16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2</v>
      </c>
      <c r="J185" s="130">
        <v>2</v>
      </c>
      <c r="K185" s="114">
        <v>7867.44</v>
      </c>
      <c r="L185" s="270">
        <v>1</v>
      </c>
      <c r="M185" s="43">
        <f t="shared" si="14"/>
        <v>2649.24</v>
      </c>
      <c r="N185" s="43">
        <f>2649.24</f>
        <v>2649.24</v>
      </c>
      <c r="O185" s="41"/>
      <c r="P185" s="115">
        <v>8</v>
      </c>
      <c r="Q185" s="68">
        <v>30985.07</v>
      </c>
      <c r="R185" s="285">
        <v>8</v>
      </c>
      <c r="S185" s="39">
        <f t="shared" si="16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23</v>
      </c>
      <c r="I186" s="62">
        <v>21</v>
      </c>
      <c r="J186" s="204">
        <v>29</v>
      </c>
      <c r="K186" s="30">
        <v>49041.25</v>
      </c>
      <c r="L186" s="205">
        <v>29</v>
      </c>
      <c r="M186" s="26">
        <f t="shared" si="14"/>
        <v>49041.25</v>
      </c>
      <c r="N186" s="30">
        <v>49041.25</v>
      </c>
      <c r="O186" s="225"/>
      <c r="P186" s="108">
        <v>23</v>
      </c>
      <c r="Q186" s="65">
        <v>84634.18</v>
      </c>
      <c r="R186" s="224">
        <v>23</v>
      </c>
      <c r="S186" s="50">
        <f t="shared" si="16"/>
        <v>84634.18</v>
      </c>
      <c r="T186" s="65">
        <v>84634.18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3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4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6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2</v>
      </c>
      <c r="J188" s="62">
        <v>3</v>
      </c>
      <c r="K188" s="326">
        <v>2669.31</v>
      </c>
      <c r="L188" s="327">
        <v>1</v>
      </c>
      <c r="M188" s="162">
        <f t="shared" si="14"/>
        <v>662.31</v>
      </c>
      <c r="N188" s="326">
        <v>662.31</v>
      </c>
      <c r="O188" s="28"/>
      <c r="P188" s="275"/>
      <c r="Q188" s="26"/>
      <c r="R188" s="27"/>
      <c r="S188" s="26">
        <f t="shared" si="16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5</v>
      </c>
      <c r="I189" s="37">
        <v>2</v>
      </c>
      <c r="J189" s="37">
        <v>2</v>
      </c>
      <c r="K189" s="318">
        <v>1658.32</v>
      </c>
      <c r="L189" s="343">
        <v>1</v>
      </c>
      <c r="M189" s="164">
        <f t="shared" si="14"/>
        <v>1056.55</v>
      </c>
      <c r="N189" s="164">
        <f>1056.55</f>
        <v>1056.55</v>
      </c>
      <c r="O189" s="41"/>
      <c r="P189" s="276"/>
      <c r="Q189" s="39"/>
      <c r="R189" s="40"/>
      <c r="S189" s="39">
        <f t="shared" si="16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4"/>
        <v>0</v>
      </c>
      <c r="N190" s="293"/>
      <c r="O190" s="82"/>
      <c r="P190" s="295"/>
      <c r="Q190" s="81"/>
      <c r="R190" s="80"/>
      <c r="S190" s="81">
        <f t="shared" si="16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17">
        <v>2</v>
      </c>
      <c r="I191" s="38"/>
      <c r="J191" s="38"/>
      <c r="K191" s="164"/>
      <c r="L191" s="165"/>
      <c r="M191" s="164">
        <f t="shared" si="14"/>
        <v>0</v>
      </c>
      <c r="N191" s="164"/>
      <c r="O191" s="41"/>
      <c r="P191" s="67">
        <v>5</v>
      </c>
      <c r="Q191" s="68">
        <v>32446.01</v>
      </c>
      <c r="R191" s="285">
        <v>5</v>
      </c>
      <c r="S191" s="68">
        <v>32446.01</v>
      </c>
      <c r="T191" s="68">
        <v>32446.01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23</v>
      </c>
      <c r="J192" s="203">
        <v>36</v>
      </c>
      <c r="K192" s="242">
        <v>79721.08</v>
      </c>
      <c r="L192" s="320">
        <v>36</v>
      </c>
      <c r="M192" s="166">
        <f t="shared" si="14"/>
        <v>79721.08</v>
      </c>
      <c r="N192" s="242">
        <v>79721.08</v>
      </c>
      <c r="O192" s="225"/>
      <c r="P192" s="108">
        <v>8</v>
      </c>
      <c r="Q192" s="65">
        <v>44672.93</v>
      </c>
      <c r="R192" s="224">
        <v>8</v>
      </c>
      <c r="S192" s="50">
        <f t="shared" ref="S192:S211" si="17">T192+U192</f>
        <v>44672.93</v>
      </c>
      <c r="T192" s="65">
        <v>44672.93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4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7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6</v>
      </c>
      <c r="I194" s="62">
        <v>4</v>
      </c>
      <c r="J194" s="62">
        <v>4</v>
      </c>
      <c r="K194" s="30">
        <v>5891.75</v>
      </c>
      <c r="L194" s="205">
        <v>4</v>
      </c>
      <c r="M194" s="26">
        <f t="shared" si="14"/>
        <v>5891.75</v>
      </c>
      <c r="N194" s="30">
        <v>5891.75</v>
      </c>
      <c r="O194" s="31"/>
      <c r="P194" s="53">
        <v>9</v>
      </c>
      <c r="Q194" s="30">
        <v>23074.77</v>
      </c>
      <c r="R194" s="205">
        <v>9</v>
      </c>
      <c r="S194" s="26">
        <f t="shared" si="17"/>
        <v>23074.77</v>
      </c>
      <c r="T194" s="30">
        <v>23074.77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4"/>
        <v>0</v>
      </c>
      <c r="N195" s="39"/>
      <c r="O195" s="41"/>
      <c r="P195" s="59"/>
      <c r="Q195" s="39"/>
      <c r="R195" s="40"/>
      <c r="S195" s="39">
        <f t="shared" si="17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4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7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3</v>
      </c>
      <c r="I197" s="57"/>
      <c r="J197" s="57"/>
      <c r="K197" s="43"/>
      <c r="L197" s="44"/>
      <c r="M197" s="43">
        <f t="shared" si="14"/>
        <v>0</v>
      </c>
      <c r="N197" s="43"/>
      <c r="O197" s="41"/>
      <c r="P197" s="113">
        <v>1</v>
      </c>
      <c r="Q197" s="114">
        <v>0</v>
      </c>
      <c r="R197" s="44"/>
      <c r="S197" s="43">
        <f t="shared" si="17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4"/>
        <v>0</v>
      </c>
      <c r="N198" s="26"/>
      <c r="O198" s="31"/>
      <c r="P198" s="120"/>
      <c r="Q198" s="26"/>
      <c r="R198" s="27"/>
      <c r="S198" s="26">
        <f t="shared" si="17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4"/>
        <v>0</v>
      </c>
      <c r="N199" s="39"/>
      <c r="O199" s="41"/>
      <c r="P199" s="69"/>
      <c r="Q199" s="39"/>
      <c r="R199" s="40"/>
      <c r="S199" s="39">
        <f t="shared" si="17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12</v>
      </c>
      <c r="M200" s="50">
        <f t="shared" si="14"/>
        <v>28819.85</v>
      </c>
      <c r="N200" s="65">
        <v>28819.85</v>
      </c>
      <c r="O200" s="225"/>
      <c r="P200" s="108">
        <v>10</v>
      </c>
      <c r="Q200" s="65">
        <v>22956.16</v>
      </c>
      <c r="R200" s="224">
        <v>10</v>
      </c>
      <c r="S200" s="50">
        <f t="shared" si="17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4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7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29</v>
      </c>
      <c r="I202" s="203">
        <v>23</v>
      </c>
      <c r="J202" s="203">
        <v>36</v>
      </c>
      <c r="K202" s="65">
        <v>64491.66</v>
      </c>
      <c r="L202" s="224">
        <v>36</v>
      </c>
      <c r="M202" s="50">
        <f t="shared" si="14"/>
        <v>64491.66</v>
      </c>
      <c r="N202" s="65">
        <v>64491.66</v>
      </c>
      <c r="O202" s="225"/>
      <c r="P202" s="108">
        <v>26</v>
      </c>
      <c r="Q202" s="65">
        <v>42356.26</v>
      </c>
      <c r="R202" s="224">
        <v>26</v>
      </c>
      <c r="S202" s="50">
        <f t="shared" si="17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7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4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7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16</v>
      </c>
      <c r="I204" s="62">
        <v>4</v>
      </c>
      <c r="J204" s="62">
        <v>7</v>
      </c>
      <c r="K204" s="30">
        <v>10074.370000000001</v>
      </c>
      <c r="L204" s="205">
        <v>7</v>
      </c>
      <c r="M204" s="26">
        <f t="shared" si="14"/>
        <v>10074.370000000001</v>
      </c>
      <c r="N204" s="30">
        <v>10074.370000000001</v>
      </c>
      <c r="O204" s="31"/>
      <c r="P204" s="53">
        <v>12</v>
      </c>
      <c r="Q204" s="30">
        <v>42909.61</v>
      </c>
      <c r="R204" s="205">
        <v>12</v>
      </c>
      <c r="S204" s="26">
        <f t="shared" si="17"/>
        <v>42909.61</v>
      </c>
      <c r="T204" s="30">
        <v>42909.61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6</v>
      </c>
      <c r="I205" s="38"/>
      <c r="J205" s="38"/>
      <c r="K205" s="39"/>
      <c r="L205" s="40"/>
      <c r="M205" s="39">
        <f t="shared" si="14"/>
        <v>0</v>
      </c>
      <c r="N205" s="39"/>
      <c r="O205" s="41"/>
      <c r="P205" s="59"/>
      <c r="Q205" s="39"/>
      <c r="R205" s="40"/>
      <c r="S205" s="39">
        <f t="shared" si="17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4"/>
        <v>0</v>
      </c>
      <c r="N206" s="50"/>
      <c r="O206" s="31"/>
      <c r="P206" s="123"/>
      <c r="Q206" s="50"/>
      <c r="R206" s="51"/>
      <c r="S206" s="50">
        <f t="shared" si="17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4"/>
        <v>0</v>
      </c>
      <c r="N207" s="50"/>
      <c r="O207" s="45"/>
      <c r="P207" s="123"/>
      <c r="Q207" s="50"/>
      <c r="R207" s="51"/>
      <c r="S207" s="50">
        <f t="shared" si="17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4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7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4"/>
        <v>0</v>
      </c>
      <c r="N209" s="26"/>
      <c r="O209" s="31"/>
      <c r="P209" s="99"/>
      <c r="Q209" s="26"/>
      <c r="R209" s="27"/>
      <c r="S209" s="26">
        <f t="shared" si="17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130">
        <v>2</v>
      </c>
      <c r="J210" s="130">
        <v>2</v>
      </c>
      <c r="K210" s="114">
        <v>3813.3</v>
      </c>
      <c r="L210" s="44"/>
      <c r="M210" s="43">
        <f t="shared" si="14"/>
        <v>0</v>
      </c>
      <c r="N210" s="43"/>
      <c r="O210" s="41"/>
      <c r="P210" s="113">
        <v>4</v>
      </c>
      <c r="Q210" s="114">
        <v>7395.85</v>
      </c>
      <c r="R210" s="270">
        <v>5</v>
      </c>
      <c r="S210" s="43">
        <f t="shared" si="17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4"/>
        <v>0</v>
      </c>
      <c r="N211" s="26"/>
      <c r="O211" s="31"/>
      <c r="P211" s="99"/>
      <c r="Q211" s="26"/>
      <c r="R211" s="27"/>
      <c r="S211" s="26">
        <f t="shared" si="17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4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3</v>
      </c>
      <c r="J213" s="231">
        <v>3</v>
      </c>
      <c r="K213" s="91">
        <v>5211.17</v>
      </c>
      <c r="L213" s="330">
        <v>1</v>
      </c>
      <c r="M213" s="26">
        <f t="shared" si="14"/>
        <v>301.05</v>
      </c>
      <c r="N213" s="91">
        <v>301.05</v>
      </c>
      <c r="O213" s="94"/>
      <c r="P213" s="329"/>
      <c r="Q213" s="91"/>
      <c r="R213" s="330"/>
      <c r="S213" s="26">
        <f t="shared" ref="S213:S229" si="18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9</v>
      </c>
      <c r="I214" s="37">
        <v>5</v>
      </c>
      <c r="J214" s="37">
        <v>5</v>
      </c>
      <c r="K214" s="68">
        <v>11540.25</v>
      </c>
      <c r="L214" s="285">
        <v>3</v>
      </c>
      <c r="M214" s="87">
        <f t="shared" si="14"/>
        <v>8429.4</v>
      </c>
      <c r="N214" s="39">
        <f>3211.2+2609.1+2609.1</f>
        <v>8429.4</v>
      </c>
      <c r="O214" s="41"/>
      <c r="P214" s="217"/>
      <c r="Q214" s="68"/>
      <c r="R214" s="285"/>
      <c r="S214" s="87">
        <f t="shared" si="18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4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8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4"/>
        <v>0</v>
      </c>
      <c r="N216" s="43"/>
      <c r="O216" s="45"/>
      <c r="P216" s="273"/>
      <c r="Q216" s="211"/>
      <c r="R216" s="210"/>
      <c r="S216" s="211">
        <f t="shared" si="18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4"/>
        <v>6502.43</v>
      </c>
      <c r="N217" s="30">
        <v>6502.43</v>
      </c>
      <c r="O217" s="308"/>
      <c r="P217" s="99"/>
      <c r="Q217" s="26"/>
      <c r="R217" s="27"/>
      <c r="S217" s="26">
        <f t="shared" si="18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4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6</v>
      </c>
      <c r="S218" s="39">
        <f t="shared" si="18"/>
        <v>19124.87</v>
      </c>
      <c r="T218" s="68">
        <f>4034.1+1152.6+2881.5+2497.3+1921+6638.37</f>
        <v>19124.87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4"/>
        <v>0</v>
      </c>
      <c r="N219" s="50"/>
      <c r="O219" s="31"/>
      <c r="P219" s="277"/>
      <c r="Q219" s="81"/>
      <c r="R219" s="80"/>
      <c r="S219" s="81">
        <f t="shared" si="18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130">
        <v>1</v>
      </c>
      <c r="J220" s="130">
        <v>1</v>
      </c>
      <c r="K220" s="114">
        <v>1404.9</v>
      </c>
      <c r="L220" s="44"/>
      <c r="M220" s="43">
        <f t="shared" si="14"/>
        <v>0</v>
      </c>
      <c r="N220" s="43"/>
      <c r="O220" s="41"/>
      <c r="P220" s="113">
        <v>1</v>
      </c>
      <c r="Q220" s="114">
        <v>3842</v>
      </c>
      <c r="R220" s="316">
        <v>1</v>
      </c>
      <c r="S220" s="50">
        <f t="shared" si="18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30</v>
      </c>
      <c r="I221" s="62">
        <v>23</v>
      </c>
      <c r="J221" s="62">
        <v>31</v>
      </c>
      <c r="K221" s="30">
        <v>69903.67</v>
      </c>
      <c r="L221" s="205">
        <v>31</v>
      </c>
      <c r="M221" s="26">
        <f t="shared" si="14"/>
        <v>69903.67</v>
      </c>
      <c r="N221" s="30">
        <v>69903.67</v>
      </c>
      <c r="O221" s="225"/>
      <c r="P221" s="53">
        <v>24</v>
      </c>
      <c r="Q221" s="30">
        <v>70420.100000000006</v>
      </c>
      <c r="R221" s="205">
        <v>24</v>
      </c>
      <c r="S221" s="26">
        <f t="shared" si="18"/>
        <v>70420.100000000006</v>
      </c>
      <c r="T221" s="30">
        <v>70420.100000000006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4"/>
        <v>0</v>
      </c>
      <c r="N222" s="39"/>
      <c r="O222" s="41"/>
      <c r="P222" s="59"/>
      <c r="Q222" s="39"/>
      <c r="R222" s="40"/>
      <c r="S222" s="39">
        <f t="shared" si="18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4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8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4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4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2</v>
      </c>
      <c r="S224" s="39">
        <f t="shared" si="18"/>
        <v>7299.7999999999993</v>
      </c>
      <c r="T224" s="39">
        <f>3073.6+4226.2</f>
        <v>7299.7999999999993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4"/>
        <v>0</v>
      </c>
      <c r="N225" s="91"/>
      <c r="O225" s="331"/>
      <c r="P225" s="329"/>
      <c r="Q225" s="91"/>
      <c r="R225" s="330"/>
      <c r="S225" s="142">
        <f t="shared" si="18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4"/>
        <v>0</v>
      </c>
      <c r="N226" s="209"/>
      <c r="O226" s="234"/>
      <c r="P226" s="262"/>
      <c r="Q226" s="209"/>
      <c r="R226" s="290"/>
      <c r="S226" s="87">
        <f t="shared" si="18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36</v>
      </c>
      <c r="I227" s="62">
        <v>25</v>
      </c>
      <c r="J227" s="62">
        <v>26</v>
      </c>
      <c r="K227" s="30">
        <v>22583.41</v>
      </c>
      <c r="L227" s="205">
        <v>14</v>
      </c>
      <c r="M227" s="26">
        <f t="shared" si="14"/>
        <v>12481.62</v>
      </c>
      <c r="N227" s="30">
        <v>12481.62</v>
      </c>
      <c r="O227" s="269"/>
      <c r="P227" s="53">
        <v>30</v>
      </c>
      <c r="Q227" s="30">
        <v>80165.17</v>
      </c>
      <c r="R227" s="205">
        <v>28</v>
      </c>
      <c r="S227" s="26">
        <f t="shared" si="18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4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8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53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4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8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16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27</v>
      </c>
      <c r="I231" s="203">
        <v>19</v>
      </c>
      <c r="J231" s="203">
        <v>23</v>
      </c>
      <c r="K231" s="65">
        <v>45839.44</v>
      </c>
      <c r="L231" s="224">
        <v>20</v>
      </c>
      <c r="M231" s="50">
        <f>N231+O231</f>
        <v>35378.800000000003</v>
      </c>
      <c r="N231" s="65">
        <v>35378.800000000003</v>
      </c>
      <c r="O231" s="225"/>
      <c r="P231" s="108">
        <v>21</v>
      </c>
      <c r="Q231" s="65">
        <v>75412.83</v>
      </c>
      <c r="R231" s="224">
        <v>20</v>
      </c>
      <c r="S231" s="50">
        <f>T231+U231</f>
        <v>72364.149999999994</v>
      </c>
      <c r="T231" s="65">
        <v>72364.149999999994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9</v>
      </c>
      <c r="I233" s="62">
        <v>5</v>
      </c>
      <c r="J233" s="62">
        <v>5</v>
      </c>
      <c r="K233" s="30">
        <v>8372.27</v>
      </c>
      <c r="L233" s="205">
        <v>5</v>
      </c>
      <c r="M233" s="26">
        <f t="shared" ref="M233:M259" si="19">N233+O233</f>
        <v>8372.27</v>
      </c>
      <c r="N233" s="30">
        <v>8372.27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20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9"/>
        <v>0</v>
      </c>
      <c r="N234" s="43"/>
      <c r="O234" s="41"/>
      <c r="P234" s="103"/>
      <c r="Q234" s="43"/>
      <c r="R234" s="44"/>
      <c r="S234" s="43">
        <f t="shared" si="20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8</v>
      </c>
      <c r="J235" s="62">
        <v>10</v>
      </c>
      <c r="K235" s="30">
        <v>14011.64</v>
      </c>
      <c r="L235" s="205">
        <v>10</v>
      </c>
      <c r="M235" s="26">
        <f t="shared" si="19"/>
        <v>14011.64</v>
      </c>
      <c r="N235" s="30">
        <v>14011.64</v>
      </c>
      <c r="O235" s="31"/>
      <c r="P235" s="29">
        <v>1</v>
      </c>
      <c r="Q235" s="30">
        <v>2466.56</v>
      </c>
      <c r="R235" s="205">
        <v>1</v>
      </c>
      <c r="S235" s="26">
        <f t="shared" si="20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9"/>
        <v>0</v>
      </c>
      <c r="N236" s="39"/>
      <c r="O236" s="41"/>
      <c r="P236" s="69"/>
      <c r="Q236" s="39"/>
      <c r="R236" s="40"/>
      <c r="S236" s="39">
        <f t="shared" si="20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9"/>
        <v>0</v>
      </c>
      <c r="N237" s="81"/>
      <c r="O237" s="82"/>
      <c r="P237" s="295"/>
      <c r="Q237" s="81"/>
      <c r="R237" s="80"/>
      <c r="S237" s="142">
        <f t="shared" si="20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9"/>
        <v>0</v>
      </c>
      <c r="N238" s="211"/>
      <c r="O238" s="212"/>
      <c r="P238" s="284"/>
      <c r="Q238" s="211"/>
      <c r="R238" s="210"/>
      <c r="S238" s="39">
        <f t="shared" si="20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9"/>
        <v>0</v>
      </c>
      <c r="N239" s="26"/>
      <c r="O239" s="28"/>
      <c r="P239" s="29">
        <v>4</v>
      </c>
      <c r="Q239" s="30">
        <v>0</v>
      </c>
      <c r="R239" s="27"/>
      <c r="S239" s="26">
        <f t="shared" si="20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9"/>
        <v>0</v>
      </c>
      <c r="N240" s="211"/>
      <c r="O240" s="212"/>
      <c r="P240" s="284"/>
      <c r="Q240" s="211"/>
      <c r="R240" s="210"/>
      <c r="S240" s="211">
        <f t="shared" si="20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23</v>
      </c>
      <c r="I241" s="62">
        <v>14</v>
      </c>
      <c r="J241" s="62">
        <v>17</v>
      </c>
      <c r="K241" s="30">
        <v>31536.51</v>
      </c>
      <c r="L241" s="205">
        <v>17</v>
      </c>
      <c r="M241" s="26">
        <f t="shared" si="19"/>
        <v>31536.51</v>
      </c>
      <c r="N241" s="30">
        <v>31536.51</v>
      </c>
      <c r="O241" s="28"/>
      <c r="P241" s="214"/>
      <c r="Q241" s="30"/>
      <c r="R241" s="205"/>
      <c r="S241" s="26">
        <f t="shared" si="20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6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9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20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19</v>
      </c>
      <c r="I243" s="266">
        <v>11</v>
      </c>
      <c r="J243" s="266">
        <v>12</v>
      </c>
      <c r="K243" s="79">
        <v>21720.67</v>
      </c>
      <c r="L243" s="268">
        <v>11</v>
      </c>
      <c r="M243" s="81">
        <f t="shared" si="19"/>
        <v>18573.689999999999</v>
      </c>
      <c r="N243" s="79">
        <v>18573.689999999999</v>
      </c>
      <c r="O243" s="219"/>
      <c r="P243" s="267">
        <v>16</v>
      </c>
      <c r="Q243" s="79">
        <v>70880.23</v>
      </c>
      <c r="R243" s="268">
        <v>16</v>
      </c>
      <c r="S243" s="26">
        <f t="shared" si="20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9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20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19</v>
      </c>
      <c r="I245" s="62">
        <v>18</v>
      </c>
      <c r="J245" s="62">
        <v>20</v>
      </c>
      <c r="K245" s="30">
        <v>27137.19</v>
      </c>
      <c r="L245" s="205">
        <v>20</v>
      </c>
      <c r="M245" s="26">
        <f t="shared" si="19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13</v>
      </c>
      <c r="S245" s="26">
        <f t="shared" si="20"/>
        <v>80512.5</v>
      </c>
      <c r="T245" s="30">
        <v>80512.5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9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20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9"/>
        <v>0</v>
      </c>
      <c r="N247" s="79"/>
      <c r="O247" s="82"/>
      <c r="P247" s="267"/>
      <c r="Q247" s="79"/>
      <c r="R247" s="268"/>
      <c r="S247" s="142">
        <f t="shared" si="20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6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9"/>
        <v>1324.62</v>
      </c>
      <c r="N248" s="339">
        <v>1324.62</v>
      </c>
      <c r="O248" s="89"/>
      <c r="P248" s="357"/>
      <c r="Q248" s="339"/>
      <c r="R248" s="340"/>
      <c r="S248" s="39">
        <f t="shared" si="20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18</v>
      </c>
      <c r="I249" s="266">
        <v>12</v>
      </c>
      <c r="J249" s="266">
        <v>15</v>
      </c>
      <c r="K249" s="79">
        <v>17917.29</v>
      </c>
      <c r="L249" s="268">
        <v>12</v>
      </c>
      <c r="M249" s="81">
        <f t="shared" si="19"/>
        <v>13757.78</v>
      </c>
      <c r="N249" s="79">
        <v>13757.78</v>
      </c>
      <c r="O249" s="219"/>
      <c r="P249" s="267">
        <v>14</v>
      </c>
      <c r="Q249" s="79">
        <v>49900.46</v>
      </c>
      <c r="R249" s="268">
        <v>13</v>
      </c>
      <c r="S249" s="81">
        <f t="shared" si="20"/>
        <v>43600.12</v>
      </c>
      <c r="T249" s="79">
        <v>43600.12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9</v>
      </c>
      <c r="I250" s="208">
        <v>6</v>
      </c>
      <c r="J250" s="208">
        <v>6</v>
      </c>
      <c r="K250" s="209">
        <v>13108.6</v>
      </c>
      <c r="L250" s="290">
        <v>2</v>
      </c>
      <c r="M250" s="211">
        <f t="shared" si="19"/>
        <v>4879.8999999999996</v>
      </c>
      <c r="N250" s="211">
        <f>1806.3+3073.6</f>
        <v>4879.8999999999996</v>
      </c>
      <c r="O250" s="212"/>
      <c r="P250" s="262">
        <v>3</v>
      </c>
      <c r="Q250" s="209">
        <v>7185.1</v>
      </c>
      <c r="R250" s="290">
        <v>2</v>
      </c>
      <c r="S250" s="211">
        <f t="shared" si="20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13</v>
      </c>
      <c r="I251" s="62">
        <v>8</v>
      </c>
      <c r="J251" s="62">
        <v>13</v>
      </c>
      <c r="K251" s="30">
        <v>16702.03</v>
      </c>
      <c r="L251" s="205">
        <v>13</v>
      </c>
      <c r="M251" s="26">
        <f t="shared" si="19"/>
        <v>16702.03</v>
      </c>
      <c r="N251" s="30">
        <v>16702.03</v>
      </c>
      <c r="O251" s="28"/>
      <c r="P251" s="275"/>
      <c r="Q251" s="26"/>
      <c r="R251" s="27"/>
      <c r="S251" s="26">
        <f t="shared" si="20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9"/>
        <v>0</v>
      </c>
      <c r="N252" s="39"/>
      <c r="O252" s="41"/>
      <c r="P252" s="276"/>
      <c r="Q252" s="39"/>
      <c r="R252" s="40"/>
      <c r="S252" s="39">
        <f t="shared" si="20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4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9"/>
        <v>3158.6</v>
      </c>
      <c r="N253" s="79">
        <v>3158.6</v>
      </c>
      <c r="O253" s="219"/>
      <c r="P253" s="277"/>
      <c r="Q253" s="81"/>
      <c r="R253" s="80"/>
      <c r="S253" s="81">
        <f t="shared" si="20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6</v>
      </c>
      <c r="I254" s="130">
        <v>4</v>
      </c>
      <c r="J254" s="130">
        <v>4</v>
      </c>
      <c r="K254" s="114">
        <v>10482.120000000001</v>
      </c>
      <c r="L254" s="270">
        <v>3</v>
      </c>
      <c r="M254" s="43">
        <f t="shared" si="19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20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9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20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7</v>
      </c>
      <c r="I256" s="57"/>
      <c r="J256" s="57"/>
      <c r="K256" s="43"/>
      <c r="L256" s="44"/>
      <c r="M256" s="43">
        <f t="shared" si="19"/>
        <v>0</v>
      </c>
      <c r="N256" s="43"/>
      <c r="O256" s="41"/>
      <c r="P256" s="113">
        <v>4</v>
      </c>
      <c r="Q256" s="114">
        <v>21251.87</v>
      </c>
      <c r="R256" s="270">
        <v>3</v>
      </c>
      <c r="S256" s="43">
        <f t="shared" si="20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15</v>
      </c>
      <c r="I257" s="62">
        <v>10</v>
      </c>
      <c r="J257" s="62">
        <v>14</v>
      </c>
      <c r="K257" s="30">
        <v>26534.59</v>
      </c>
      <c r="L257" s="205">
        <v>14</v>
      </c>
      <c r="M257" s="26">
        <f t="shared" si="19"/>
        <v>26534.59</v>
      </c>
      <c r="N257" s="30">
        <v>26534.59</v>
      </c>
      <c r="O257" s="31"/>
      <c r="P257" s="53">
        <v>14</v>
      </c>
      <c r="Q257" s="30">
        <v>43510.34</v>
      </c>
      <c r="R257" s="205">
        <v>14</v>
      </c>
      <c r="S257" s="26">
        <f t="shared" si="20"/>
        <v>43510.34</v>
      </c>
      <c r="T257" s="30">
        <v>43510.34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10</v>
      </c>
      <c r="I258" s="37">
        <v>2</v>
      </c>
      <c r="J258" s="37">
        <v>2</v>
      </c>
      <c r="K258" s="68">
        <v>3010</v>
      </c>
      <c r="L258" s="40"/>
      <c r="M258" s="39">
        <f t="shared" si="19"/>
        <v>0</v>
      </c>
      <c r="N258" s="39"/>
      <c r="O258" s="41"/>
      <c r="P258" s="59"/>
      <c r="Q258" s="39"/>
      <c r="R258" s="40"/>
      <c r="S258" s="39">
        <f t="shared" si="20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18</v>
      </c>
      <c r="I259" s="203">
        <v>15</v>
      </c>
      <c r="J259" s="203">
        <v>20</v>
      </c>
      <c r="K259" s="65">
        <v>35824.5</v>
      </c>
      <c r="L259" s="224">
        <v>20</v>
      </c>
      <c r="M259" s="50">
        <f t="shared" si="19"/>
        <v>35824.5</v>
      </c>
      <c r="N259" s="65">
        <v>35824.5</v>
      </c>
      <c r="O259" s="225"/>
      <c r="P259" s="108">
        <v>20</v>
      </c>
      <c r="Q259" s="65">
        <v>57368.51</v>
      </c>
      <c r="R259" s="224">
        <v>20</v>
      </c>
      <c r="S259" s="50">
        <f t="shared" si="20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5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1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2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1"/>
        <v>0</v>
      </c>
      <c r="N262" s="43"/>
      <c r="O262" s="41"/>
      <c r="P262" s="113"/>
      <c r="Q262" s="114"/>
      <c r="R262" s="44"/>
      <c r="S262" s="43">
        <f t="shared" si="22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4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1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2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1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2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14</v>
      </c>
      <c r="J265" s="62">
        <v>18</v>
      </c>
      <c r="K265" s="30">
        <v>38219.47</v>
      </c>
      <c r="L265" s="205">
        <v>17</v>
      </c>
      <c r="M265" s="26">
        <f t="shared" si="21"/>
        <v>32041.62</v>
      </c>
      <c r="N265" s="30">
        <v>32041.62</v>
      </c>
      <c r="O265" s="241"/>
      <c r="P265" s="29">
        <v>3</v>
      </c>
      <c r="Q265" s="30">
        <v>23366.85</v>
      </c>
      <c r="R265" s="205">
        <v>3</v>
      </c>
      <c r="S265" s="26">
        <f t="shared" si="22"/>
        <v>23366.85</v>
      </c>
      <c r="T265" s="30">
        <v>23366.85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2</v>
      </c>
      <c r="J266" s="37">
        <v>2</v>
      </c>
      <c r="K266" s="68">
        <v>5456.32</v>
      </c>
      <c r="L266" s="285">
        <v>1</v>
      </c>
      <c r="M266" s="39">
        <f t="shared" si="21"/>
        <v>1921</v>
      </c>
      <c r="N266" s="39">
        <f>1921</f>
        <v>1921</v>
      </c>
      <c r="O266" s="41"/>
      <c r="P266" s="69"/>
      <c r="Q266" s="39"/>
      <c r="R266" s="40"/>
      <c r="S266" s="39">
        <f t="shared" si="22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1"/>
        <v>0</v>
      </c>
      <c r="N267" s="50"/>
      <c r="O267" s="31"/>
      <c r="P267" s="123"/>
      <c r="Q267" s="50"/>
      <c r="R267" s="51"/>
      <c r="S267" s="50">
        <f t="shared" si="22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1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2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24</v>
      </c>
      <c r="I269" s="62">
        <v>21</v>
      </c>
      <c r="J269" s="62">
        <v>25</v>
      </c>
      <c r="K269" s="30">
        <v>36841.29</v>
      </c>
      <c r="L269" s="205">
        <v>23</v>
      </c>
      <c r="M269" s="26">
        <f t="shared" si="21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2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1"/>
        <v>1728.9</v>
      </c>
      <c r="N270" s="39">
        <f>1728.9</f>
        <v>1728.9</v>
      </c>
      <c r="O270" s="41"/>
      <c r="P270" s="42"/>
      <c r="Q270" s="43"/>
      <c r="R270" s="44"/>
      <c r="S270" s="43">
        <f t="shared" si="22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1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2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>
        <v>1</v>
      </c>
      <c r="J272" s="37">
        <v>1</v>
      </c>
      <c r="K272" s="68">
        <v>602.1</v>
      </c>
      <c r="L272" s="44"/>
      <c r="M272" s="43">
        <f t="shared" si="21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2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>
        <v>1</v>
      </c>
      <c r="M273" s="26">
        <f t="shared" si="21"/>
        <v>2185.62</v>
      </c>
      <c r="N273" s="30">
        <v>2185.62</v>
      </c>
      <c r="O273" s="31"/>
      <c r="P273" s="64">
        <v>7</v>
      </c>
      <c r="Q273" s="65">
        <v>46859.35</v>
      </c>
      <c r="R273" s="224">
        <v>7</v>
      </c>
      <c r="S273" s="50">
        <f t="shared" si="22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10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1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2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1"/>
        <v>0</v>
      </c>
      <c r="N275" s="26"/>
      <c r="O275" s="28"/>
      <c r="P275" s="120"/>
      <c r="Q275" s="26"/>
      <c r="R275" s="27"/>
      <c r="S275" s="26">
        <f t="shared" si="22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10</v>
      </c>
      <c r="I276" s="37">
        <v>4</v>
      </c>
      <c r="J276" s="37">
        <v>4</v>
      </c>
      <c r="K276" s="68">
        <v>9834.2999999999993</v>
      </c>
      <c r="L276" s="40"/>
      <c r="M276" s="39">
        <f t="shared" si="21"/>
        <v>0</v>
      </c>
      <c r="N276" s="39"/>
      <c r="O276" s="41"/>
      <c r="P276" s="67">
        <v>4</v>
      </c>
      <c r="Q276" s="68">
        <v>11282.42</v>
      </c>
      <c r="R276" s="285">
        <v>4</v>
      </c>
      <c r="S276" s="39">
        <f t="shared" si="22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1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2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1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2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11</v>
      </c>
      <c r="I279" s="62">
        <v>10</v>
      </c>
      <c r="J279" s="62">
        <v>11</v>
      </c>
      <c r="K279" s="30">
        <v>13036.69</v>
      </c>
      <c r="L279" s="205">
        <v>10</v>
      </c>
      <c r="M279" s="26">
        <f t="shared" si="21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2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1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2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1"/>
        <v>0</v>
      </c>
      <c r="N281" s="50"/>
      <c r="O281" s="31"/>
      <c r="P281" s="123"/>
      <c r="Q281" s="50"/>
      <c r="R281" s="51"/>
      <c r="S281" s="50">
        <f t="shared" si="22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1"/>
        <v>0</v>
      </c>
      <c r="N282" s="43"/>
      <c r="O282" s="41"/>
      <c r="P282" s="103"/>
      <c r="Q282" s="43"/>
      <c r="R282" s="44"/>
      <c r="S282" s="43">
        <f t="shared" si="22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1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2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1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2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1"/>
        <v>0</v>
      </c>
      <c r="N285" s="26"/>
      <c r="O285" s="241"/>
      <c r="P285" s="214"/>
      <c r="Q285" s="30"/>
      <c r="R285" s="205"/>
      <c r="S285" s="26">
        <f t="shared" si="22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1"/>
        <v>0</v>
      </c>
      <c r="N286" s="39"/>
      <c r="O286" s="234"/>
      <c r="P286" s="217"/>
      <c r="Q286" s="68"/>
      <c r="R286" s="285"/>
      <c r="S286" s="39">
        <f t="shared" si="22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22</v>
      </c>
      <c r="I287" s="266">
        <v>20</v>
      </c>
      <c r="J287" s="266">
        <v>31</v>
      </c>
      <c r="K287" s="79">
        <v>43039.65</v>
      </c>
      <c r="L287" s="268">
        <v>23</v>
      </c>
      <c r="M287" s="81">
        <f t="shared" si="21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2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4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3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4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3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4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3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3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4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3"/>
        <v>0</v>
      </c>
      <c r="N292" s="39"/>
      <c r="O292" s="41"/>
      <c r="P292" s="69"/>
      <c r="Q292" s="39"/>
      <c r="R292" s="40"/>
      <c r="S292" s="39">
        <f t="shared" si="24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8</v>
      </c>
      <c r="J293" s="203">
        <v>9</v>
      </c>
      <c r="K293" s="65">
        <v>11474.19</v>
      </c>
      <c r="L293" s="224">
        <v>8</v>
      </c>
      <c r="M293" s="50">
        <f t="shared" si="23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4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3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5">SUM(H9:H294)</f>
        <v>2035</v>
      </c>
      <c r="I295" s="183">
        <f t="shared" si="25"/>
        <v>1293</v>
      </c>
      <c r="J295" s="183">
        <f t="shared" si="25"/>
        <v>1622</v>
      </c>
      <c r="K295" s="184">
        <f t="shared" si="25"/>
        <v>3024534.9199999995</v>
      </c>
      <c r="L295" s="185">
        <f t="shared" si="25"/>
        <v>1483</v>
      </c>
      <c r="M295" s="184">
        <f t="shared" si="25"/>
        <v>2750459.6799999992</v>
      </c>
      <c r="N295" s="184">
        <f t="shared" si="25"/>
        <v>2751663.879999999</v>
      </c>
      <c r="O295" s="186">
        <f t="shared" si="25"/>
        <v>0</v>
      </c>
      <c r="P295" s="187">
        <f t="shared" si="25"/>
        <v>1413</v>
      </c>
      <c r="Q295" s="188">
        <f t="shared" si="25"/>
        <v>4991158.4200000009</v>
      </c>
      <c r="R295" s="185">
        <f t="shared" si="25"/>
        <v>1348</v>
      </c>
      <c r="S295" s="188">
        <f t="shared" si="25"/>
        <v>4873206.3</v>
      </c>
      <c r="T295" s="188">
        <f t="shared" si="25"/>
        <v>4873206.3</v>
      </c>
      <c r="U295" s="189">
        <f t="shared" si="25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6">SUMIF($G$9:$G$294,$F$301,H9:H294)</f>
        <v>1492</v>
      </c>
      <c r="H301" s="193">
        <f t="shared" si="26"/>
        <v>1069</v>
      </c>
      <c r="I301" s="193">
        <f t="shared" si="26"/>
        <v>1397</v>
      </c>
      <c r="J301" s="194">
        <f t="shared" ref="J301:J303" si="27">SUMIF($G$9:$G$294,F301,$K$9:$K$294)</f>
        <v>2588525.5700000003</v>
      </c>
      <c r="K301" s="195">
        <f t="shared" ref="K301:K303" si="28">SUMIF($G$9:$G$294,F301,$L$9:$L$294)</f>
        <v>1293</v>
      </c>
      <c r="L301" s="194">
        <f t="shared" ref="L301:L303" si="29">SUMIF($G$9:$G$294,F301,$M$9:$M$294)</f>
        <v>2388473.7599999998</v>
      </c>
      <c r="M301" s="194">
        <f t="shared" ref="M301:O301" si="30">SUMIF($G$9:$G$294,$F$301,N9:N294)</f>
        <v>2388473.7599999998</v>
      </c>
      <c r="N301" s="194">
        <f t="shared" si="30"/>
        <v>0</v>
      </c>
      <c r="O301" s="193">
        <f t="shared" si="30"/>
        <v>1125</v>
      </c>
      <c r="P301" s="194">
        <f t="shared" ref="P301:P303" si="31">SUMIF($G$9:$G$294,F301,$Q$9:$Q$294)</f>
        <v>4021159.8999999994</v>
      </c>
      <c r="Q301" s="195">
        <f t="shared" ref="Q301:Q303" si="32">SUMIF($G$9:$G$294,F301,$R$9:$R$294)</f>
        <v>1059</v>
      </c>
      <c r="R301" s="194">
        <f t="shared" ref="R301:R303" si="33">SUMIF($G$9:$G$294,F301,$S$9:$S$294)</f>
        <v>3939484.13</v>
      </c>
      <c r="S301" s="194">
        <f t="shared" ref="S301:T301" si="34">SUMIF($G$9:$G$294,$F$301,T9:T294)</f>
        <v>3939484.13</v>
      </c>
      <c r="T301" s="194">
        <f t="shared" si="34"/>
        <v>0</v>
      </c>
      <c r="U301" s="194">
        <f t="shared" ref="U301:U303" si="35">S301+M301</f>
        <v>6327957.8899999997</v>
      </c>
      <c r="V301" s="196">
        <f t="shared" ref="V301:V303" si="36">J301-M301+P301-S301</f>
        <v>281727.58000000007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7">SUMIF($G$9:$G$294,$F$302,H9:H294)</f>
        <v>450</v>
      </c>
      <c r="H302" s="193">
        <f t="shared" si="37"/>
        <v>179</v>
      </c>
      <c r="I302" s="193">
        <f t="shared" si="37"/>
        <v>180</v>
      </c>
      <c r="J302" s="194">
        <f t="shared" si="27"/>
        <v>360119.15999999986</v>
      </c>
      <c r="K302" s="195">
        <f t="shared" si="28"/>
        <v>145</v>
      </c>
      <c r="L302" s="194">
        <f t="shared" si="29"/>
        <v>286095.73</v>
      </c>
      <c r="M302" s="194">
        <f t="shared" ref="M302:O302" si="38">SUMIF($G$9:$G$294,$F$302,N9:N294)</f>
        <v>287299.92999999993</v>
      </c>
      <c r="N302" s="194">
        <f t="shared" si="38"/>
        <v>0</v>
      </c>
      <c r="O302" s="193">
        <f t="shared" si="38"/>
        <v>222</v>
      </c>
      <c r="P302" s="194">
        <f t="shared" si="31"/>
        <v>715413.97</v>
      </c>
      <c r="Q302" s="195">
        <f t="shared" si="32"/>
        <v>225</v>
      </c>
      <c r="R302" s="194">
        <f t="shared" si="33"/>
        <v>679137.62000000023</v>
      </c>
      <c r="S302" s="194">
        <f t="shared" ref="S302:T302" si="39">SUMIF($G$9:$G$294,$F$302,T9:T294)</f>
        <v>679137.62000000023</v>
      </c>
      <c r="T302" s="194">
        <f t="shared" si="39"/>
        <v>0</v>
      </c>
      <c r="U302" s="194">
        <f t="shared" si="35"/>
        <v>966437.55000000016</v>
      </c>
      <c r="V302" s="196">
        <f t="shared" si="36"/>
        <v>109095.57999999973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40">SUMIF($G$9:$G$294,$F$303,H9:H294)</f>
        <v>93</v>
      </c>
      <c r="H303" s="193">
        <f t="shared" si="40"/>
        <v>45</v>
      </c>
      <c r="I303" s="193">
        <f t="shared" si="40"/>
        <v>45</v>
      </c>
      <c r="J303" s="194">
        <f t="shared" si="27"/>
        <v>75890.189999999988</v>
      </c>
      <c r="K303" s="195">
        <f t="shared" si="28"/>
        <v>45</v>
      </c>
      <c r="L303" s="194">
        <f t="shared" si="29"/>
        <v>75890.189999999988</v>
      </c>
      <c r="M303" s="194">
        <f t="shared" ref="M303:O303" si="41">SUMIF($G$9:$G$294,$F$303,N9:N294)</f>
        <v>75890.189999999988</v>
      </c>
      <c r="N303" s="194">
        <f t="shared" si="41"/>
        <v>0</v>
      </c>
      <c r="O303" s="193">
        <f t="shared" si="41"/>
        <v>66</v>
      </c>
      <c r="P303" s="194">
        <f t="shared" si="31"/>
        <v>254584.55</v>
      </c>
      <c r="Q303" s="195">
        <f t="shared" si="32"/>
        <v>64</v>
      </c>
      <c r="R303" s="194">
        <f t="shared" si="33"/>
        <v>254584.55</v>
      </c>
      <c r="S303" s="194">
        <f t="shared" ref="S303:T303" si="42">SUMIF($G$9:$G$294,$F$303,T9:T294)</f>
        <v>254584.55</v>
      </c>
      <c r="T303" s="194">
        <f t="shared" si="42"/>
        <v>0</v>
      </c>
      <c r="U303" s="194">
        <f t="shared" si="35"/>
        <v>330474.74</v>
      </c>
      <c r="V303" s="196">
        <f t="shared" si="36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3">G303+G302+G301</f>
        <v>2035</v>
      </c>
      <c r="H304" s="197">
        <f t="shared" si="43"/>
        <v>1293</v>
      </c>
      <c r="I304" s="197">
        <f t="shared" si="43"/>
        <v>1622</v>
      </c>
      <c r="J304" s="198">
        <f t="shared" si="43"/>
        <v>3024534.92</v>
      </c>
      <c r="K304" s="199">
        <f t="shared" si="43"/>
        <v>1483</v>
      </c>
      <c r="L304" s="198">
        <f t="shared" si="43"/>
        <v>2750459.6799999997</v>
      </c>
      <c r="M304" s="198">
        <f t="shared" si="43"/>
        <v>2751663.88</v>
      </c>
      <c r="N304" s="198">
        <f t="shared" si="43"/>
        <v>0</v>
      </c>
      <c r="O304" s="197">
        <f t="shared" si="43"/>
        <v>1413</v>
      </c>
      <c r="P304" s="198">
        <f t="shared" si="43"/>
        <v>4991158.42</v>
      </c>
      <c r="Q304" s="200">
        <f t="shared" si="43"/>
        <v>1348</v>
      </c>
      <c r="R304" s="198">
        <f t="shared" si="43"/>
        <v>4873206.3</v>
      </c>
      <c r="S304" s="198">
        <f t="shared" si="43"/>
        <v>4873206.3</v>
      </c>
      <c r="T304" s="198">
        <f t="shared" si="43"/>
        <v>0</v>
      </c>
      <c r="U304" s="198">
        <f t="shared" si="43"/>
        <v>7624870.1799999997</v>
      </c>
      <c r="V304" s="198">
        <f t="shared" si="43"/>
        <v>390823.1599999998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15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21</v>
      </c>
      <c r="K13" s="79">
        <v>59450.59</v>
      </c>
      <c r="L13" s="268">
        <v>21</v>
      </c>
      <c r="M13" s="81">
        <f t="shared" si="0"/>
        <v>59450.59</v>
      </c>
      <c r="N13" s="79">
        <v>59450.59</v>
      </c>
      <c r="O13" s="97"/>
      <c r="P13" s="267">
        <v>14</v>
      </c>
      <c r="Q13" s="79">
        <v>87821.82</v>
      </c>
      <c r="R13" s="268">
        <v>14</v>
      </c>
      <c r="S13" s="81">
        <f t="shared" si="1"/>
        <v>87821.82</v>
      </c>
      <c r="T13" s="79">
        <v>87821.82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6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28</v>
      </c>
      <c r="J15" s="62">
        <v>48</v>
      </c>
      <c r="K15" s="30">
        <v>121158.18</v>
      </c>
      <c r="L15" s="205">
        <v>42</v>
      </c>
      <c r="M15" s="26">
        <f t="shared" si="0"/>
        <v>101976.28</v>
      </c>
      <c r="N15" s="30">
        <v>101976.28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6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9</v>
      </c>
      <c r="Q18" s="209">
        <v>42612.91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15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11</v>
      </c>
      <c r="I21" s="266">
        <v>10</v>
      </c>
      <c r="J21" s="266">
        <v>15</v>
      </c>
      <c r="K21" s="79">
        <v>28930.75</v>
      </c>
      <c r="L21" s="268">
        <v>14</v>
      </c>
      <c r="M21" s="81">
        <f t="shared" si="0"/>
        <v>22307.65</v>
      </c>
      <c r="N21" s="79">
        <v>22307.65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19</v>
      </c>
      <c r="I23" s="203">
        <v>18</v>
      </c>
      <c r="J23" s="203">
        <v>30</v>
      </c>
      <c r="K23" s="65">
        <v>44901.9</v>
      </c>
      <c r="L23" s="224">
        <v>27</v>
      </c>
      <c r="M23" s="50">
        <f t="shared" si="0"/>
        <v>40994.269999999997</v>
      </c>
      <c r="N23" s="65">
        <v>40994.269999999997</v>
      </c>
      <c r="O23" s="225"/>
      <c r="P23" s="53">
        <v>17</v>
      </c>
      <c r="Q23" s="30">
        <v>35092</v>
      </c>
      <c r="R23" s="205">
        <v>16</v>
      </c>
      <c r="S23" s="26">
        <f t="shared" si="1"/>
        <v>35092</v>
      </c>
      <c r="T23" s="30">
        <v>35092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17</v>
      </c>
      <c r="I25" s="62">
        <v>13</v>
      </c>
      <c r="J25" s="62">
        <v>13</v>
      </c>
      <c r="K25" s="62">
        <v>10081.81</v>
      </c>
      <c r="L25" s="205">
        <v>13</v>
      </c>
      <c r="M25" s="26">
        <f t="shared" si="0"/>
        <v>10081.81</v>
      </c>
      <c r="N25" s="30">
        <v>10081.81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5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15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11</v>
      </c>
      <c r="Q28" s="68">
        <v>47836.3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7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15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6</v>
      </c>
      <c r="J34" s="130">
        <v>6</v>
      </c>
      <c r="K34" s="114">
        <v>15654.7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5</v>
      </c>
      <c r="I43" s="62">
        <v>3</v>
      </c>
      <c r="J43" s="62">
        <v>5</v>
      </c>
      <c r="K43" s="30">
        <v>10750.36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19</v>
      </c>
      <c r="J45" s="266">
        <v>24</v>
      </c>
      <c r="K45" s="79">
        <v>39175.68</v>
      </c>
      <c r="L45" s="268">
        <v>20</v>
      </c>
      <c r="M45" s="81">
        <f t="shared" si="2"/>
        <v>33657.33</v>
      </c>
      <c r="N45" s="79">
        <v>33657.33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26</v>
      </c>
      <c r="I47" s="62">
        <v>11</v>
      </c>
      <c r="J47" s="62">
        <v>14</v>
      </c>
      <c r="K47" s="30">
        <v>22253.33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1</v>
      </c>
      <c r="J48" s="208">
        <v>1</v>
      </c>
      <c r="K48" s="209">
        <v>4728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7</v>
      </c>
      <c r="J50" s="266">
        <v>9</v>
      </c>
      <c r="K50" s="79">
        <v>14526.67</v>
      </c>
      <c r="L50" s="268">
        <v>6</v>
      </c>
      <c r="M50" s="81">
        <f t="shared" si="2"/>
        <v>9733.15</v>
      </c>
      <c r="N50" s="79">
        <v>9733.15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1</v>
      </c>
      <c r="J53" s="338">
        <v>1</v>
      </c>
      <c r="K53" s="339">
        <v>1134.9000000000001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5</v>
      </c>
      <c r="I56" s="266">
        <v>1</v>
      </c>
      <c r="J56" s="266">
        <v>1</v>
      </c>
      <c r="K56" s="79">
        <v>2284.9299999999998</v>
      </c>
      <c r="L56" s="268">
        <v>1</v>
      </c>
      <c r="M56" s="81">
        <f t="shared" si="2"/>
        <v>2284.9299999999998</v>
      </c>
      <c r="N56" s="79">
        <v>2284.9299999999998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8</v>
      </c>
      <c r="I57" s="130">
        <v>6</v>
      </c>
      <c r="J57" s="130">
        <v>6</v>
      </c>
      <c r="K57" s="114">
        <v>14932.08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6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11</v>
      </c>
      <c r="Q59" s="68">
        <v>27095.83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8</v>
      </c>
      <c r="I60" s="203">
        <v>6</v>
      </c>
      <c r="J60" s="203">
        <v>9</v>
      </c>
      <c r="K60" s="65">
        <v>17478.27</v>
      </c>
      <c r="L60" s="224">
        <v>7</v>
      </c>
      <c r="M60" s="50">
        <f t="shared" si="2"/>
        <v>12948.87</v>
      </c>
      <c r="N60" s="65">
        <v>12948.87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20</v>
      </c>
      <c r="I62" s="62">
        <v>17</v>
      </c>
      <c r="J62" s="62">
        <v>20</v>
      </c>
      <c r="K62" s="30">
        <v>34588.44</v>
      </c>
      <c r="L62" s="205">
        <v>19</v>
      </c>
      <c r="M62" s="26">
        <f t="shared" si="2"/>
        <v>33859.9</v>
      </c>
      <c r="N62" s="30">
        <v>33859.9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7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39</v>
      </c>
      <c r="I64" s="203">
        <v>32</v>
      </c>
      <c r="J64" s="203">
        <v>46</v>
      </c>
      <c r="K64" s="65">
        <v>90420.64</v>
      </c>
      <c r="L64" s="224">
        <v>38</v>
      </c>
      <c r="M64" s="50">
        <f t="shared" si="2"/>
        <v>70731.710000000006</v>
      </c>
      <c r="N64" s="65">
        <v>70731.710000000006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14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8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6</v>
      </c>
      <c r="J68" s="62">
        <v>7</v>
      </c>
      <c r="K68" s="30">
        <v>13445.23</v>
      </c>
      <c r="L68" s="205">
        <v>5</v>
      </c>
      <c r="M68" s="26">
        <f t="shared" si="2"/>
        <v>9142.82</v>
      </c>
      <c r="N68" s="30">
        <v>9142.82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9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2</v>
      </c>
      <c r="Q71" s="114">
        <v>18827.099999999999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10</v>
      </c>
      <c r="I74" s="203">
        <v>3</v>
      </c>
      <c r="J74" s="203">
        <v>3</v>
      </c>
      <c r="K74" s="65">
        <v>5482.32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89371.69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16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7">
        <v>1</v>
      </c>
      <c r="J77" s="37">
        <v>1</v>
      </c>
      <c r="K77" s="68">
        <v>6181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9</v>
      </c>
      <c r="J80" s="62">
        <v>14</v>
      </c>
      <c r="K80" s="30">
        <v>25458.38</v>
      </c>
      <c r="L80" s="205">
        <v>11</v>
      </c>
      <c r="M80" s="26">
        <f t="shared" si="2"/>
        <v>18453.95</v>
      </c>
      <c r="N80" s="30">
        <v>18453.95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1</v>
      </c>
      <c r="Q81" s="68">
        <v>6823.8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13</v>
      </c>
      <c r="I82" s="203">
        <v>9</v>
      </c>
      <c r="J82" s="203">
        <v>14</v>
      </c>
      <c r="K82" s="158">
        <v>36747.9</v>
      </c>
      <c r="L82" s="224">
        <v>13</v>
      </c>
      <c r="M82" s="50">
        <f t="shared" ref="M82:M98" si="4">N82+O82</f>
        <v>34489.42</v>
      </c>
      <c r="N82" s="65">
        <v>34489.42</v>
      </c>
      <c r="O82" s="225"/>
      <c r="P82" s="108">
        <v>13</v>
      </c>
      <c r="Q82" s="65">
        <v>52889.43</v>
      </c>
      <c r="R82" s="224">
        <v>11</v>
      </c>
      <c r="S82" s="50">
        <f t="shared" ref="S82:S98" si="5">T82+U82</f>
        <v>42582.42</v>
      </c>
      <c r="T82" s="65">
        <v>42582.42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49</v>
      </c>
      <c r="I84" s="62">
        <v>43</v>
      </c>
      <c r="J84" s="62">
        <v>64</v>
      </c>
      <c r="K84" s="30">
        <v>130892.7</v>
      </c>
      <c r="L84" s="205">
        <v>63</v>
      </c>
      <c r="M84" s="26">
        <f t="shared" si="4"/>
        <v>123601.32</v>
      </c>
      <c r="N84" s="30">
        <v>123601.32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10</v>
      </c>
      <c r="I86" s="62">
        <v>8</v>
      </c>
      <c r="J86" s="62">
        <v>8</v>
      </c>
      <c r="K86" s="30">
        <v>15619.08</v>
      </c>
      <c r="L86" s="205">
        <v>7</v>
      </c>
      <c r="M86" s="26">
        <f t="shared" si="4"/>
        <v>14776.14</v>
      </c>
      <c r="N86" s="30">
        <v>14776.14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26</v>
      </c>
      <c r="I98" s="62">
        <v>17</v>
      </c>
      <c r="J98" s="62">
        <v>24</v>
      </c>
      <c r="K98" s="30">
        <v>42965.08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11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6179.09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10</v>
      </c>
      <c r="Q100" s="65">
        <v>111555.71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5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6" si="7">N102+O102</f>
        <v>8733.91</v>
      </c>
      <c r="N102" s="30">
        <v>8733.91</v>
      </c>
      <c r="O102" s="31"/>
      <c r="P102" s="53">
        <v>9</v>
      </c>
      <c r="Q102" s="30">
        <v>61187.9</v>
      </c>
      <c r="R102" s="205">
        <v>9</v>
      </c>
      <c r="S102" s="26">
        <f t="shared" si="6"/>
        <v>61187.9</v>
      </c>
      <c r="T102" s="30">
        <v>61187.9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3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6</v>
      </c>
      <c r="J106" s="62">
        <v>8</v>
      </c>
      <c r="K106" s="30">
        <v>20920.14</v>
      </c>
      <c r="L106" s="205">
        <v>7</v>
      </c>
      <c r="M106" s="26">
        <f t="shared" si="7"/>
        <v>19153.98</v>
      </c>
      <c r="N106" s="30">
        <v>19153.98</v>
      </c>
      <c r="O106" s="31"/>
      <c r="P106" s="53">
        <v>28</v>
      </c>
      <c r="Q106" s="30">
        <v>97450.12</v>
      </c>
      <c r="R106" s="205">
        <v>27</v>
      </c>
      <c r="S106" s="26">
        <f t="shared" si="6"/>
        <v>93034.72</v>
      </c>
      <c r="T106" s="30">
        <v>93034.72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10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15</v>
      </c>
      <c r="I110" s="62">
        <v>10</v>
      </c>
      <c r="J110" s="62">
        <v>16</v>
      </c>
      <c r="K110" s="30">
        <v>29995.7</v>
      </c>
      <c r="L110" s="205">
        <v>16</v>
      </c>
      <c r="M110" s="26">
        <f t="shared" si="8"/>
        <v>29995.7</v>
      </c>
      <c r="N110" s="30">
        <v>29995.7</v>
      </c>
      <c r="O110" s="241"/>
      <c r="P110" s="214">
        <v>14</v>
      </c>
      <c r="Q110" s="30">
        <v>75827.070000000007</v>
      </c>
      <c r="R110" s="205">
        <v>14</v>
      </c>
      <c r="S110" s="26">
        <f t="shared" si="9"/>
        <v>75827.070000000007</v>
      </c>
      <c r="T110" s="30">
        <v>75827.070000000007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10</v>
      </c>
      <c r="I111" s="286">
        <v>7</v>
      </c>
      <c r="J111" s="286">
        <v>7</v>
      </c>
      <c r="K111" s="287">
        <v>21767.4</v>
      </c>
      <c r="L111" s="315">
        <v>7</v>
      </c>
      <c r="M111" s="39">
        <f t="shared" si="8"/>
        <v>21767.4</v>
      </c>
      <c r="N111" s="39">
        <f>1921+3073.6+1921+3010.5+1404.9+2408.4+8028</f>
        <v>21767.4</v>
      </c>
      <c r="O111" s="41"/>
      <c r="P111" s="217">
        <v>4</v>
      </c>
      <c r="Q111" s="37">
        <v>19940.650000000001</v>
      </c>
      <c r="R111" s="285">
        <v>4</v>
      </c>
      <c r="S111" s="39">
        <f t="shared" si="9"/>
        <v>21093.25</v>
      </c>
      <c r="T111" s="68">
        <f>1056.55+3457.8+4226.2+12352.7</f>
        <v>21093.25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13</v>
      </c>
      <c r="I114" s="203">
        <v>7</v>
      </c>
      <c r="J114" s="203">
        <v>8</v>
      </c>
      <c r="K114" s="65">
        <v>12423.22</v>
      </c>
      <c r="L114" s="224">
        <v>8</v>
      </c>
      <c r="M114" s="50">
        <f t="shared" si="8"/>
        <v>12423.22</v>
      </c>
      <c r="N114" s="65">
        <v>12423.22</v>
      </c>
      <c r="O114" s="225"/>
      <c r="P114" s="108">
        <v>10</v>
      </c>
      <c r="Q114" s="65">
        <v>25470.59</v>
      </c>
      <c r="R114" s="224">
        <v>10</v>
      </c>
      <c r="S114" s="50">
        <f t="shared" si="9"/>
        <v>25470.59</v>
      </c>
      <c r="T114" s="65">
        <v>25470.59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10</v>
      </c>
      <c r="I115" s="130">
        <v>6</v>
      </c>
      <c r="J115" s="130">
        <v>6</v>
      </c>
      <c r="K115" s="114">
        <v>13482.3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8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7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19</v>
      </c>
      <c r="J118" s="203">
        <v>23</v>
      </c>
      <c r="K118" s="65">
        <v>56337.54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23</v>
      </c>
      <c r="Q118" s="65">
        <v>105066.33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13">
        <v>1</v>
      </c>
      <c r="Q119" s="114">
        <v>1545.39</v>
      </c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16</v>
      </c>
      <c r="I122" s="62">
        <v>12</v>
      </c>
      <c r="J122" s="62">
        <v>12</v>
      </c>
      <c r="K122" s="30">
        <v>11401.39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3</v>
      </c>
      <c r="J123" s="246">
        <v>3</v>
      </c>
      <c r="K123" s="158">
        <v>3159.6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4</v>
      </c>
      <c r="I125" s="203">
        <v>4</v>
      </c>
      <c r="J125" s="203">
        <v>5</v>
      </c>
      <c r="K125" s="65">
        <v>6123.37</v>
      </c>
      <c r="L125" s="224">
        <v>3</v>
      </c>
      <c r="M125" s="50">
        <f t="shared" ref="M125:M139" si="10">N125+O125</f>
        <v>5015.66</v>
      </c>
      <c r="N125" s="65">
        <v>5015.66</v>
      </c>
      <c r="O125" s="31"/>
      <c r="P125" s="108">
        <v>8</v>
      </c>
      <c r="Q125" s="65">
        <v>37589.71</v>
      </c>
      <c r="R125" s="224">
        <v>7</v>
      </c>
      <c r="S125" s="50">
        <f t="shared" si="9"/>
        <v>34054.94</v>
      </c>
      <c r="T125" s="65">
        <v>34054.94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14</v>
      </c>
      <c r="I127" s="62">
        <v>11</v>
      </c>
      <c r="J127" s="62">
        <v>15</v>
      </c>
      <c r="K127" s="30">
        <v>39786.14</v>
      </c>
      <c r="L127" s="205">
        <v>15</v>
      </c>
      <c r="M127" s="26">
        <f t="shared" si="10"/>
        <v>39786.14</v>
      </c>
      <c r="N127" s="30">
        <v>39786.14</v>
      </c>
      <c r="O127" s="31"/>
      <c r="P127" s="53">
        <v>5</v>
      </c>
      <c r="Q127" s="30">
        <v>17824.11</v>
      </c>
      <c r="R127" s="205">
        <v>4</v>
      </c>
      <c r="S127" s="26">
        <f t="shared" si="9"/>
        <v>3732.5</v>
      </c>
      <c r="T127" s="30">
        <v>3732.5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21</v>
      </c>
      <c r="I129" s="62">
        <v>18</v>
      </c>
      <c r="J129" s="62">
        <v>26</v>
      </c>
      <c r="K129" s="30">
        <v>66481.97</v>
      </c>
      <c r="L129" s="205">
        <v>26</v>
      </c>
      <c r="M129" s="26">
        <f t="shared" si="10"/>
        <v>66481.97</v>
      </c>
      <c r="N129" s="30">
        <v>66481.97</v>
      </c>
      <c r="O129" s="225"/>
      <c r="P129" s="53">
        <v>11</v>
      </c>
      <c r="Q129" s="30">
        <v>31033.06</v>
      </c>
      <c r="R129" s="205">
        <v>11</v>
      </c>
      <c r="S129" s="26">
        <f t="shared" si="9"/>
        <v>31033.06</v>
      </c>
      <c r="T129" s="30">
        <v>31033.06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9</v>
      </c>
      <c r="I133" s="62">
        <v>7</v>
      </c>
      <c r="J133" s="62">
        <v>11</v>
      </c>
      <c r="K133" s="30">
        <v>19669.79</v>
      </c>
      <c r="L133" s="205">
        <v>11</v>
      </c>
      <c r="M133" s="26">
        <f t="shared" si="10"/>
        <v>19669.79</v>
      </c>
      <c r="N133" s="30">
        <v>19669.79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6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22</v>
      </c>
      <c r="I135" s="203">
        <v>18</v>
      </c>
      <c r="J135" s="203">
        <v>28</v>
      </c>
      <c r="K135" s="65">
        <v>73824.58</v>
      </c>
      <c r="L135" s="224">
        <v>23</v>
      </c>
      <c r="M135" s="50">
        <f t="shared" si="10"/>
        <v>62624.1</v>
      </c>
      <c r="N135" s="65">
        <v>62624.1</v>
      </c>
      <c r="O135" s="225"/>
      <c r="P135" s="108">
        <v>32</v>
      </c>
      <c r="Q135" s="65">
        <v>119894.49</v>
      </c>
      <c r="R135" s="224">
        <v>32</v>
      </c>
      <c r="S135" s="50">
        <f t="shared" si="9"/>
        <v>119894.49</v>
      </c>
      <c r="T135" s="65">
        <v>119894.49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19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45</v>
      </c>
      <c r="I139" s="62">
        <v>33</v>
      </c>
      <c r="J139" s="62">
        <v>38</v>
      </c>
      <c r="K139" s="30">
        <v>59421.54</v>
      </c>
      <c r="L139" s="205">
        <v>23</v>
      </c>
      <c r="M139" s="26">
        <f t="shared" si="10"/>
        <v>37589.230000000003</v>
      </c>
      <c r="N139" s="30">
        <v>37589.230000000003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7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47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28</v>
      </c>
      <c r="I145" s="266">
        <v>23</v>
      </c>
      <c r="J145" s="266">
        <v>34</v>
      </c>
      <c r="K145" s="79">
        <v>70420.62</v>
      </c>
      <c r="L145" s="268">
        <v>31</v>
      </c>
      <c r="M145" s="81">
        <f t="shared" si="11"/>
        <v>63666.23</v>
      </c>
      <c r="N145" s="79">
        <v>63666.23</v>
      </c>
      <c r="O145" s="269"/>
      <c r="P145" s="267">
        <v>22</v>
      </c>
      <c r="Q145" s="79">
        <v>89981.45</v>
      </c>
      <c r="R145" s="268">
        <v>19</v>
      </c>
      <c r="S145" s="81">
        <f t="shared" si="12"/>
        <v>83320.600000000006</v>
      </c>
      <c r="T145" s="79">
        <v>83320.600000000006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19</v>
      </c>
      <c r="I147" s="203">
        <v>15</v>
      </c>
      <c r="J147" s="203">
        <v>18</v>
      </c>
      <c r="K147" s="65">
        <v>47249.1</v>
      </c>
      <c r="L147" s="224">
        <v>17</v>
      </c>
      <c r="M147" s="50">
        <f t="shared" si="11"/>
        <v>47249.1</v>
      </c>
      <c r="N147" s="65">
        <v>47249.1</v>
      </c>
      <c r="O147" s="225"/>
      <c r="P147" s="108">
        <v>57</v>
      </c>
      <c r="Q147" s="65">
        <v>337965.75</v>
      </c>
      <c r="R147" s="224">
        <v>57</v>
      </c>
      <c r="S147" s="50">
        <f t="shared" si="12"/>
        <v>337965.75</v>
      </c>
      <c r="T147" s="65">
        <v>337965.75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237" t="s">
        <v>500</v>
      </c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238">
        <v>1</v>
      </c>
      <c r="Q148" s="239">
        <v>2408.4</v>
      </c>
      <c r="R148" s="316">
        <v>1</v>
      </c>
      <c r="S148" s="239">
        <v>2408.4</v>
      </c>
      <c r="T148" s="239">
        <v>2408.4</v>
      </c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4</v>
      </c>
      <c r="Q149" s="114">
        <v>9722.4</v>
      </c>
      <c r="R149" s="270">
        <v>4</v>
      </c>
      <c r="S149" s="43">
        <f t="shared" ref="S149:S156" si="13">T149+U149</f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7</v>
      </c>
      <c r="I150" s="62">
        <v>2</v>
      </c>
      <c r="J150" s="62">
        <v>2</v>
      </c>
      <c r="K150" s="30">
        <v>1267.28</v>
      </c>
      <c r="L150" s="205">
        <v>2</v>
      </c>
      <c r="M150" s="26">
        <f t="shared" si="11"/>
        <v>1267.28</v>
      </c>
      <c r="N150" s="30">
        <v>1267.28</v>
      </c>
      <c r="O150" s="225"/>
      <c r="P150" s="53">
        <v>15</v>
      </c>
      <c r="Q150" s="30">
        <v>10414.84</v>
      </c>
      <c r="R150" s="205">
        <v>4</v>
      </c>
      <c r="S150" s="26">
        <f t="shared" si="13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7</v>
      </c>
      <c r="I151" s="37">
        <v>3</v>
      </c>
      <c r="J151" s="37">
        <v>3</v>
      </c>
      <c r="K151" s="68">
        <v>3710.1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7</v>
      </c>
      <c r="Q151" s="68">
        <v>7062.2</v>
      </c>
      <c r="R151" s="285">
        <v>3</v>
      </c>
      <c r="S151" s="39">
        <f t="shared" si="13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12</v>
      </c>
      <c r="J152" s="203">
        <v>17</v>
      </c>
      <c r="K152" s="65">
        <v>33710.11</v>
      </c>
      <c r="L152" s="224">
        <v>15</v>
      </c>
      <c r="M152" s="50">
        <f t="shared" si="11"/>
        <v>31623.83</v>
      </c>
      <c r="N152" s="65">
        <v>31623.83</v>
      </c>
      <c r="O152" s="225"/>
      <c r="P152" s="108">
        <v>8</v>
      </c>
      <c r="Q152" s="65">
        <v>29582.03</v>
      </c>
      <c r="R152" s="224">
        <v>8</v>
      </c>
      <c r="S152" s="50">
        <f t="shared" si="13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5</v>
      </c>
      <c r="J153" s="37">
        <v>5</v>
      </c>
      <c r="K153" s="68">
        <v>5776.7</v>
      </c>
      <c r="L153" s="285">
        <v>5</v>
      </c>
      <c r="M153" s="39">
        <f t="shared" si="11"/>
        <v>5822.7</v>
      </c>
      <c r="N153" s="39">
        <f>1578.8+1152.6+1152.6+1336.6+602.1</f>
        <v>5822.7</v>
      </c>
      <c r="O153" s="41"/>
      <c r="P153" s="115">
        <v>3</v>
      </c>
      <c r="Q153" s="68">
        <v>17095</v>
      </c>
      <c r="R153" s="285">
        <v>3</v>
      </c>
      <c r="S153" s="39">
        <f t="shared" si="13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3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3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3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9</v>
      </c>
      <c r="I157" s="130">
        <v>6</v>
      </c>
      <c r="J157" s="130">
        <v>6</v>
      </c>
      <c r="K157" s="114">
        <v>10810.58</v>
      </c>
      <c r="L157" s="270">
        <v>6</v>
      </c>
      <c r="M157" s="114">
        <v>10810.58</v>
      </c>
      <c r="N157" s="114">
        <v>10810.58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14</v>
      </c>
      <c r="I158" s="62">
        <v>12</v>
      </c>
      <c r="J158" s="62">
        <v>16</v>
      </c>
      <c r="K158" s="30">
        <v>27639.01</v>
      </c>
      <c r="L158" s="205">
        <v>13</v>
      </c>
      <c r="M158" s="26">
        <f t="shared" ref="M158:M229" si="14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5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16</v>
      </c>
      <c r="I159" s="271">
        <v>11</v>
      </c>
      <c r="J159" s="271">
        <v>11</v>
      </c>
      <c r="K159" s="239">
        <v>21254.2</v>
      </c>
      <c r="L159" s="316">
        <v>10</v>
      </c>
      <c r="M159" s="129">
        <f t="shared" si="14"/>
        <v>17440.899999999998</v>
      </c>
      <c r="N159" s="129">
        <f>1728.9+2305.2+576.3+4802.5+1404.9+1404.9+1404.9+1103.85+2408.4+301.05</f>
        <v>17440.899999999998</v>
      </c>
      <c r="O159" s="45"/>
      <c r="P159" s="238">
        <v>9</v>
      </c>
      <c r="Q159" s="239">
        <v>31223.56</v>
      </c>
      <c r="R159" s="316">
        <v>10</v>
      </c>
      <c r="S159" s="129">
        <f t="shared" si="15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4"/>
        <v>0</v>
      </c>
      <c r="N160" s="43"/>
      <c r="O160" s="41"/>
      <c r="P160" s="103"/>
      <c r="Q160" s="43"/>
      <c r="R160" s="44"/>
      <c r="S160" s="43">
        <f t="shared" si="15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12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4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5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4"/>
        <v>0</v>
      </c>
      <c r="N162" s="39"/>
      <c r="O162" s="41"/>
      <c r="P162" s="59"/>
      <c r="Q162" s="39"/>
      <c r="R162" s="40"/>
      <c r="S162" s="39">
        <f t="shared" si="15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13</v>
      </c>
      <c r="I163" s="203">
        <v>11</v>
      </c>
      <c r="J163" s="203">
        <v>12</v>
      </c>
      <c r="K163" s="65">
        <v>16411.849999999999</v>
      </c>
      <c r="L163" s="224">
        <v>12</v>
      </c>
      <c r="M163" s="50">
        <f t="shared" si="14"/>
        <v>16411.849999999999</v>
      </c>
      <c r="N163" s="65">
        <v>16411.849999999999</v>
      </c>
      <c r="O163" s="225"/>
      <c r="P163" s="108">
        <v>7</v>
      </c>
      <c r="Q163" s="65">
        <v>50795.35</v>
      </c>
      <c r="R163" s="224">
        <v>7</v>
      </c>
      <c r="S163" s="50">
        <f t="shared" si="15"/>
        <v>50795.35</v>
      </c>
      <c r="T163" s="65">
        <v>50795.35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10</v>
      </c>
      <c r="I164" s="246">
        <v>5</v>
      </c>
      <c r="J164" s="246">
        <v>5</v>
      </c>
      <c r="K164" s="158">
        <v>10648.6</v>
      </c>
      <c r="L164" s="317">
        <v>5</v>
      </c>
      <c r="M164" s="142">
        <f t="shared" si="14"/>
        <v>10648.599999999999</v>
      </c>
      <c r="N164" s="142">
        <f>1921+2305.2+1404.9+3211.2+1806.3</f>
        <v>10648.599999999999</v>
      </c>
      <c r="O164" s="45"/>
      <c r="P164" s="157">
        <v>4</v>
      </c>
      <c r="Q164" s="158">
        <v>8625.2900000000009</v>
      </c>
      <c r="R164" s="224">
        <v>5</v>
      </c>
      <c r="S164" s="50">
        <f t="shared" si="15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4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16</v>
      </c>
      <c r="I166" s="62">
        <v>11</v>
      </c>
      <c r="J166" s="62">
        <v>14</v>
      </c>
      <c r="K166" s="30">
        <v>23878.68</v>
      </c>
      <c r="L166" s="205">
        <v>10</v>
      </c>
      <c r="M166" s="26">
        <f t="shared" si="14"/>
        <v>18691.57</v>
      </c>
      <c r="N166" s="30">
        <v>18691.57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6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6</v>
      </c>
      <c r="J167" s="37">
        <v>6</v>
      </c>
      <c r="K167" s="68">
        <v>7049.7</v>
      </c>
      <c r="L167" s="285">
        <v>7</v>
      </c>
      <c r="M167" s="39">
        <f t="shared" si="14"/>
        <v>7049.7000000000007</v>
      </c>
      <c r="N167" s="39">
        <f>576.3+1716.8+1344.7+1404.9+602.1+1404.9</f>
        <v>7049.7000000000007</v>
      </c>
      <c r="O167" s="41"/>
      <c r="P167" s="115">
        <v>3</v>
      </c>
      <c r="Q167" s="68">
        <v>5674.1</v>
      </c>
      <c r="R167" s="285">
        <v>3</v>
      </c>
      <c r="S167" s="39">
        <f t="shared" si="16"/>
        <v>9366.36</v>
      </c>
      <c r="T167" s="39">
        <f>1921+1344.7+3692.26+2408.4</f>
        <v>9366.36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10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4"/>
        <v>19508.22</v>
      </c>
      <c r="N168" s="65">
        <v>19508.22</v>
      </c>
      <c r="O168" s="31"/>
      <c r="P168" s="108">
        <v>10</v>
      </c>
      <c r="Q168" s="65">
        <v>22636.89</v>
      </c>
      <c r="R168" s="224">
        <v>9</v>
      </c>
      <c r="S168" s="50">
        <f t="shared" si="16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7</v>
      </c>
      <c r="I169" s="130">
        <v>7</v>
      </c>
      <c r="J169" s="130">
        <v>7</v>
      </c>
      <c r="K169" s="114">
        <v>26745.9</v>
      </c>
      <c r="L169" s="270">
        <v>7</v>
      </c>
      <c r="M169" s="43">
        <f t="shared" si="14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6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7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4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6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7</v>
      </c>
      <c r="I171" s="130">
        <v>4</v>
      </c>
      <c r="J171" s="130">
        <v>4</v>
      </c>
      <c r="K171" s="114">
        <v>9138.1</v>
      </c>
      <c r="L171" s="270">
        <v>4</v>
      </c>
      <c r="M171" s="43">
        <f t="shared" si="14"/>
        <v>8335.2999999999993</v>
      </c>
      <c r="N171" s="43">
        <f>1728.9+602.1+2504.4+3499.9</f>
        <v>8335.2999999999993</v>
      </c>
      <c r="O171" s="45"/>
      <c r="P171" s="113">
        <v>8</v>
      </c>
      <c r="Q171" s="114">
        <v>20405.599999999999</v>
      </c>
      <c r="R171" s="270">
        <v>8</v>
      </c>
      <c r="S171" s="43">
        <f t="shared" si="16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19</v>
      </c>
      <c r="I172" s="62">
        <v>13</v>
      </c>
      <c r="J172" s="62">
        <v>16</v>
      </c>
      <c r="K172" s="30">
        <v>45364.480000000003</v>
      </c>
      <c r="L172" s="205">
        <v>14</v>
      </c>
      <c r="M172" s="26">
        <f t="shared" si="14"/>
        <v>30399.81</v>
      </c>
      <c r="N172" s="30">
        <v>30399.81</v>
      </c>
      <c r="O172" s="159"/>
      <c r="P172" s="53">
        <v>4</v>
      </c>
      <c r="Q172" s="30">
        <v>31835.37</v>
      </c>
      <c r="R172" s="205">
        <v>4</v>
      </c>
      <c r="S172" s="26">
        <f t="shared" si="16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4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6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8</v>
      </c>
      <c r="I174" s="62">
        <v>5</v>
      </c>
      <c r="J174" s="62">
        <v>8</v>
      </c>
      <c r="K174" s="30">
        <v>20996.880000000001</v>
      </c>
      <c r="L174" s="205">
        <v>6</v>
      </c>
      <c r="M174" s="26">
        <f t="shared" si="14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6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4"/>
        <v>0</v>
      </c>
      <c r="N175" s="39"/>
      <c r="O175" s="41"/>
      <c r="P175" s="217"/>
      <c r="Q175" s="68"/>
      <c r="R175" s="285"/>
      <c r="S175" s="39">
        <f t="shared" si="16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9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4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6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4"/>
        <v>0</v>
      </c>
      <c r="N177" s="43"/>
      <c r="O177" s="45"/>
      <c r="P177" s="103"/>
      <c r="Q177" s="43"/>
      <c r="R177" s="44"/>
      <c r="S177" s="43">
        <f t="shared" si="16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4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4"/>
        <v>524.91</v>
      </c>
      <c r="N178" s="30">
        <v>524.91</v>
      </c>
      <c r="O178" s="241"/>
      <c r="P178" s="53">
        <v>2</v>
      </c>
      <c r="Q178" s="30">
        <v>14444.79</v>
      </c>
      <c r="R178" s="205">
        <v>2</v>
      </c>
      <c r="S178" s="26">
        <f t="shared" si="16"/>
        <v>14444.79</v>
      </c>
      <c r="T178" s="30">
        <v>14444.79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4"/>
        <v>0</v>
      </c>
      <c r="N179" s="211"/>
      <c r="O179" s="212"/>
      <c r="P179" s="273"/>
      <c r="Q179" s="211"/>
      <c r="R179" s="210"/>
      <c r="S179" s="211">
        <f t="shared" si="16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5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4"/>
        <v>9442.35</v>
      </c>
      <c r="N180" s="30">
        <v>9442.35</v>
      </c>
      <c r="O180" s="28"/>
      <c r="P180" s="214"/>
      <c r="Q180" s="30"/>
      <c r="R180" s="205"/>
      <c r="S180" s="26">
        <f t="shared" si="16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4"/>
        <v>0</v>
      </c>
      <c r="N181" s="39"/>
      <c r="O181" s="41"/>
      <c r="P181" s="217"/>
      <c r="Q181" s="68"/>
      <c r="R181" s="285"/>
      <c r="S181" s="39">
        <f t="shared" si="16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9</v>
      </c>
      <c r="I182" s="266">
        <v>7</v>
      </c>
      <c r="J182" s="266">
        <v>9</v>
      </c>
      <c r="K182" s="79">
        <v>15151.29</v>
      </c>
      <c r="L182" s="268">
        <v>6</v>
      </c>
      <c r="M182" s="81">
        <f t="shared" si="14"/>
        <v>13766.46</v>
      </c>
      <c r="N182" s="79">
        <v>13766.46</v>
      </c>
      <c r="O182" s="219"/>
      <c r="P182" s="267">
        <v>18</v>
      </c>
      <c r="Q182" s="79">
        <v>50132.05</v>
      </c>
      <c r="R182" s="268">
        <v>18</v>
      </c>
      <c r="S182" s="81">
        <f t="shared" si="16"/>
        <v>50132.05</v>
      </c>
      <c r="T182" s="79">
        <v>50132.05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4"/>
        <v>21489.82</v>
      </c>
      <c r="N183" s="43">
        <f>2497.3+1152.6+5920.02+4595.4+602.1+6722.4</f>
        <v>21489.82</v>
      </c>
      <c r="O183" s="41"/>
      <c r="P183" s="113">
        <v>3</v>
      </c>
      <c r="Q183" s="114">
        <v>17758.3</v>
      </c>
      <c r="R183" s="270">
        <v>3</v>
      </c>
      <c r="S183" s="43">
        <f t="shared" si="16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14</v>
      </c>
      <c r="I184" s="62">
        <v>12</v>
      </c>
      <c r="J184" s="62">
        <v>13</v>
      </c>
      <c r="K184" s="30">
        <v>34160.230000000003</v>
      </c>
      <c r="L184" s="205">
        <v>9</v>
      </c>
      <c r="M184" s="26">
        <f t="shared" si="14"/>
        <v>29875.67</v>
      </c>
      <c r="N184" s="30">
        <v>29875.67</v>
      </c>
      <c r="O184" s="225"/>
      <c r="P184" s="53">
        <v>13</v>
      </c>
      <c r="Q184" s="30">
        <v>38649.24</v>
      </c>
      <c r="R184" s="205">
        <v>12</v>
      </c>
      <c r="S184" s="26">
        <f t="shared" si="16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4</v>
      </c>
      <c r="I185" s="130">
        <v>2</v>
      </c>
      <c r="J185" s="130">
        <v>2</v>
      </c>
      <c r="K185" s="114">
        <v>7867.44</v>
      </c>
      <c r="L185" s="270">
        <v>2</v>
      </c>
      <c r="M185" s="43">
        <f t="shared" si="14"/>
        <v>7867.44</v>
      </c>
      <c r="N185" s="43">
        <f>2649.24+5218.2</f>
        <v>7867.44</v>
      </c>
      <c r="O185" s="41"/>
      <c r="P185" s="115">
        <v>8</v>
      </c>
      <c r="Q185" s="68">
        <v>30985.07</v>
      </c>
      <c r="R185" s="285">
        <v>8</v>
      </c>
      <c r="S185" s="39">
        <f t="shared" si="16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24</v>
      </c>
      <c r="I186" s="62">
        <v>22</v>
      </c>
      <c r="J186" s="204">
        <v>30</v>
      </c>
      <c r="K186" s="30">
        <v>49643.35</v>
      </c>
      <c r="L186" s="205">
        <v>29</v>
      </c>
      <c r="M186" s="26">
        <f t="shared" si="14"/>
        <v>49041.25</v>
      </c>
      <c r="N186" s="30">
        <v>49041.25</v>
      </c>
      <c r="O186" s="225"/>
      <c r="P186" s="108">
        <v>23</v>
      </c>
      <c r="Q186" s="65">
        <v>84634.18</v>
      </c>
      <c r="R186" s="224">
        <v>23</v>
      </c>
      <c r="S186" s="50">
        <f t="shared" si="16"/>
        <v>84634.18</v>
      </c>
      <c r="T186" s="65">
        <v>84634.18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3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4"/>
        <v>3010.5</v>
      </c>
      <c r="N187" s="211">
        <f>3010.5</f>
        <v>3010.5</v>
      </c>
      <c r="O187" s="212"/>
      <c r="P187" s="262">
        <v>1</v>
      </c>
      <c r="Q187" s="209">
        <v>576.29999999999995</v>
      </c>
      <c r="R187" s="290">
        <v>3</v>
      </c>
      <c r="S187" s="211">
        <f t="shared" si="16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2</v>
      </c>
      <c r="J188" s="62">
        <v>3</v>
      </c>
      <c r="K188" s="326">
        <v>2669.31</v>
      </c>
      <c r="L188" s="327">
        <v>1</v>
      </c>
      <c r="M188" s="162">
        <f t="shared" si="14"/>
        <v>662.31</v>
      </c>
      <c r="N188" s="326">
        <v>662.31</v>
      </c>
      <c r="O188" s="28"/>
      <c r="P188" s="275"/>
      <c r="Q188" s="26"/>
      <c r="R188" s="27"/>
      <c r="S188" s="26">
        <f t="shared" si="16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6</v>
      </c>
      <c r="I189" s="37">
        <v>2</v>
      </c>
      <c r="J189" s="37">
        <v>2</v>
      </c>
      <c r="K189" s="318">
        <v>1658.32</v>
      </c>
      <c r="L189" s="343">
        <v>2</v>
      </c>
      <c r="M189" s="164">
        <f t="shared" si="14"/>
        <v>1658.65</v>
      </c>
      <c r="N189" s="164">
        <f>1056.55+602.1</f>
        <v>1658.65</v>
      </c>
      <c r="O189" s="41"/>
      <c r="P189" s="276"/>
      <c r="Q189" s="39"/>
      <c r="R189" s="40"/>
      <c r="S189" s="39">
        <f t="shared" si="16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4"/>
        <v>0</v>
      </c>
      <c r="N190" s="293"/>
      <c r="O190" s="82"/>
      <c r="P190" s="295"/>
      <c r="Q190" s="81"/>
      <c r="R190" s="80"/>
      <c r="S190" s="81">
        <f t="shared" si="16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17">
        <v>3</v>
      </c>
      <c r="I191" s="38"/>
      <c r="J191" s="38"/>
      <c r="K191" s="164"/>
      <c r="L191" s="165"/>
      <c r="M191" s="164">
        <f t="shared" si="14"/>
        <v>0</v>
      </c>
      <c r="N191" s="164"/>
      <c r="O191" s="41"/>
      <c r="P191" s="67">
        <v>5</v>
      </c>
      <c r="Q191" s="68">
        <v>32446.01</v>
      </c>
      <c r="R191" s="285">
        <v>5</v>
      </c>
      <c r="S191" s="68">
        <v>32446.01</v>
      </c>
      <c r="T191" s="68">
        <v>32446.01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23</v>
      </c>
      <c r="J192" s="203">
        <v>38</v>
      </c>
      <c r="K192" s="242">
        <v>85454.88</v>
      </c>
      <c r="L192" s="320">
        <v>36</v>
      </c>
      <c r="M192" s="166">
        <f t="shared" si="14"/>
        <v>79721.08</v>
      </c>
      <c r="N192" s="242">
        <v>79721.08</v>
      </c>
      <c r="O192" s="225"/>
      <c r="P192" s="108">
        <v>8</v>
      </c>
      <c r="Q192" s="65">
        <v>44672.93</v>
      </c>
      <c r="R192" s="224">
        <v>8</v>
      </c>
      <c r="S192" s="50">
        <f t="shared" ref="S192:S211" si="17">T192+U192</f>
        <v>44672.93</v>
      </c>
      <c r="T192" s="65">
        <v>44672.93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2</v>
      </c>
      <c r="I193" s="130">
        <v>1</v>
      </c>
      <c r="J193" s="130">
        <v>1</v>
      </c>
      <c r="K193" s="114">
        <v>1152.5999999999999</v>
      </c>
      <c r="L193" s="270">
        <v>1</v>
      </c>
      <c r="M193" s="43">
        <f t="shared" si="14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7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6</v>
      </c>
      <c r="I194" s="62">
        <v>5</v>
      </c>
      <c r="J194" s="62">
        <v>6</v>
      </c>
      <c r="K194" s="30">
        <v>8463.7199999999993</v>
      </c>
      <c r="L194" s="205">
        <v>4</v>
      </c>
      <c r="M194" s="26">
        <f t="shared" si="14"/>
        <v>5891.75</v>
      </c>
      <c r="N194" s="30">
        <v>5891.75</v>
      </c>
      <c r="O194" s="31"/>
      <c r="P194" s="53">
        <v>9</v>
      </c>
      <c r="Q194" s="30">
        <v>23074.77</v>
      </c>
      <c r="R194" s="205">
        <v>9</v>
      </c>
      <c r="S194" s="26">
        <f t="shared" si="17"/>
        <v>23074.77</v>
      </c>
      <c r="T194" s="30">
        <v>23074.77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4"/>
        <v>0</v>
      </c>
      <c r="N195" s="39"/>
      <c r="O195" s="41"/>
      <c r="P195" s="59"/>
      <c r="Q195" s="39"/>
      <c r="R195" s="40"/>
      <c r="S195" s="39">
        <f t="shared" si="17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4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7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3</v>
      </c>
      <c r="I197" s="57"/>
      <c r="J197" s="57"/>
      <c r="K197" s="43"/>
      <c r="L197" s="44"/>
      <c r="M197" s="43">
        <f t="shared" si="14"/>
        <v>0</v>
      </c>
      <c r="N197" s="43"/>
      <c r="O197" s="41"/>
      <c r="P197" s="113">
        <v>1</v>
      </c>
      <c r="Q197" s="114">
        <v>0</v>
      </c>
      <c r="R197" s="44"/>
      <c r="S197" s="43">
        <f t="shared" si="17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4"/>
        <v>0</v>
      </c>
      <c r="N198" s="26"/>
      <c r="O198" s="31"/>
      <c r="P198" s="120"/>
      <c r="Q198" s="26"/>
      <c r="R198" s="27"/>
      <c r="S198" s="26">
        <f t="shared" si="17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4"/>
        <v>0</v>
      </c>
      <c r="N199" s="39"/>
      <c r="O199" s="41"/>
      <c r="P199" s="69"/>
      <c r="Q199" s="39"/>
      <c r="R199" s="40"/>
      <c r="S199" s="39">
        <f t="shared" si="17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12</v>
      </c>
      <c r="M200" s="50">
        <f t="shared" si="14"/>
        <v>28819.85</v>
      </c>
      <c r="N200" s="65">
        <v>28819.85</v>
      </c>
      <c r="O200" s="225"/>
      <c r="P200" s="108">
        <v>11</v>
      </c>
      <c r="Q200" s="65">
        <v>24722.32</v>
      </c>
      <c r="R200" s="224">
        <v>10</v>
      </c>
      <c r="S200" s="50">
        <f t="shared" si="17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4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7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30</v>
      </c>
      <c r="I202" s="203">
        <v>24</v>
      </c>
      <c r="J202" s="203">
        <v>38</v>
      </c>
      <c r="K202" s="65">
        <v>68146.100000000006</v>
      </c>
      <c r="L202" s="224">
        <v>36</v>
      </c>
      <c r="M202" s="50">
        <f t="shared" si="14"/>
        <v>64491.66</v>
      </c>
      <c r="N202" s="65">
        <v>64491.66</v>
      </c>
      <c r="O202" s="225"/>
      <c r="P202" s="108">
        <v>26</v>
      </c>
      <c r="Q202" s="65">
        <v>42356.26</v>
      </c>
      <c r="R202" s="224">
        <v>26</v>
      </c>
      <c r="S202" s="50">
        <f t="shared" si="17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7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4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7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16</v>
      </c>
      <c r="I204" s="62">
        <v>4</v>
      </c>
      <c r="J204" s="62">
        <v>7</v>
      </c>
      <c r="K204" s="30">
        <v>10074.370000000001</v>
      </c>
      <c r="L204" s="205">
        <v>7</v>
      </c>
      <c r="M204" s="26">
        <f t="shared" si="14"/>
        <v>10074.370000000001</v>
      </c>
      <c r="N204" s="30">
        <v>10074.370000000001</v>
      </c>
      <c r="O204" s="31"/>
      <c r="P204" s="53">
        <v>12</v>
      </c>
      <c r="Q204" s="30">
        <v>42909.61</v>
      </c>
      <c r="R204" s="205">
        <v>12</v>
      </c>
      <c r="S204" s="26">
        <f t="shared" si="17"/>
        <v>42909.61</v>
      </c>
      <c r="T204" s="30">
        <v>42909.61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8</v>
      </c>
      <c r="I205" s="38"/>
      <c r="J205" s="38"/>
      <c r="K205" s="39"/>
      <c r="L205" s="40"/>
      <c r="M205" s="39">
        <f t="shared" si="14"/>
        <v>0</v>
      </c>
      <c r="N205" s="39"/>
      <c r="O205" s="41"/>
      <c r="P205" s="59"/>
      <c r="Q205" s="39"/>
      <c r="R205" s="40"/>
      <c r="S205" s="39">
        <f t="shared" si="17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4"/>
        <v>0</v>
      </c>
      <c r="N206" s="50"/>
      <c r="O206" s="31"/>
      <c r="P206" s="123"/>
      <c r="Q206" s="50"/>
      <c r="R206" s="51"/>
      <c r="S206" s="50">
        <f t="shared" si="17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4"/>
        <v>0</v>
      </c>
      <c r="N207" s="50"/>
      <c r="O207" s="45"/>
      <c r="P207" s="123"/>
      <c r="Q207" s="50"/>
      <c r="R207" s="51"/>
      <c r="S207" s="50">
        <f t="shared" si="17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4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7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4"/>
        <v>0</v>
      </c>
      <c r="N209" s="26"/>
      <c r="O209" s="31"/>
      <c r="P209" s="99"/>
      <c r="Q209" s="26"/>
      <c r="R209" s="27"/>
      <c r="S209" s="26">
        <f t="shared" si="17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130">
        <v>2</v>
      </c>
      <c r="J210" s="130">
        <v>2</v>
      </c>
      <c r="K210" s="114">
        <v>3813.3</v>
      </c>
      <c r="L210" s="270">
        <v>2</v>
      </c>
      <c r="M210" s="43">
        <f t="shared" si="14"/>
        <v>3813.3</v>
      </c>
      <c r="N210" s="43">
        <f>2007+1806.3</f>
        <v>3813.3</v>
      </c>
      <c r="O210" s="41"/>
      <c r="P210" s="113">
        <v>4</v>
      </c>
      <c r="Q210" s="114">
        <v>7395.85</v>
      </c>
      <c r="R210" s="270">
        <v>5</v>
      </c>
      <c r="S210" s="43">
        <f t="shared" si="17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4"/>
        <v>0</v>
      </c>
      <c r="N211" s="26"/>
      <c r="O211" s="31"/>
      <c r="P211" s="99"/>
      <c r="Q211" s="26"/>
      <c r="R211" s="27"/>
      <c r="S211" s="26">
        <f t="shared" si="17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4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3</v>
      </c>
      <c r="J213" s="231">
        <v>3</v>
      </c>
      <c r="K213" s="91">
        <v>5211.17</v>
      </c>
      <c r="L213" s="330">
        <v>1</v>
      </c>
      <c r="M213" s="26">
        <f t="shared" si="14"/>
        <v>301.05</v>
      </c>
      <c r="N213" s="91">
        <v>301.05</v>
      </c>
      <c r="O213" s="94"/>
      <c r="P213" s="329"/>
      <c r="Q213" s="91"/>
      <c r="R213" s="330"/>
      <c r="S213" s="26">
        <f t="shared" ref="S213:S229" si="18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9</v>
      </c>
      <c r="I214" s="37">
        <v>5</v>
      </c>
      <c r="J214" s="37">
        <v>5</v>
      </c>
      <c r="K214" s="68">
        <v>11540.25</v>
      </c>
      <c r="L214" s="285">
        <v>5</v>
      </c>
      <c r="M214" s="87">
        <f t="shared" si="14"/>
        <v>11540.25</v>
      </c>
      <c r="N214" s="39">
        <f>3211.2+2609.1+2609.1+2007+1103.85</f>
        <v>11540.25</v>
      </c>
      <c r="O214" s="41"/>
      <c r="P214" s="217"/>
      <c r="Q214" s="68"/>
      <c r="R214" s="285"/>
      <c r="S214" s="87">
        <f t="shared" si="18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4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8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4"/>
        <v>0</v>
      </c>
      <c r="N216" s="43"/>
      <c r="O216" s="45"/>
      <c r="P216" s="273"/>
      <c r="Q216" s="211"/>
      <c r="R216" s="210"/>
      <c r="S216" s="211">
        <f t="shared" si="18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4"/>
        <v>6502.43</v>
      </c>
      <c r="N217" s="30">
        <v>6502.43</v>
      </c>
      <c r="O217" s="308"/>
      <c r="P217" s="99"/>
      <c r="Q217" s="26"/>
      <c r="R217" s="27"/>
      <c r="S217" s="26">
        <f t="shared" si="18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5</v>
      </c>
      <c r="J218" s="37">
        <v>5</v>
      </c>
      <c r="K218" s="68">
        <v>10794.85</v>
      </c>
      <c r="L218" s="285">
        <v>5</v>
      </c>
      <c r="M218" s="39">
        <f t="shared" si="14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7</v>
      </c>
      <c r="S218" s="39">
        <f t="shared" si="18"/>
        <v>24543.769999999997</v>
      </c>
      <c r="T218" s="68">
        <f>4034.1+1152.6+2881.5+2497.3+1921+6638.37+5418.9</f>
        <v>24543.769999999997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4"/>
        <v>0</v>
      </c>
      <c r="N219" s="50"/>
      <c r="O219" s="31"/>
      <c r="P219" s="277"/>
      <c r="Q219" s="81"/>
      <c r="R219" s="80"/>
      <c r="S219" s="81">
        <f t="shared" si="18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130">
        <v>1</v>
      </c>
      <c r="J220" s="130">
        <v>1</v>
      </c>
      <c r="K220" s="114">
        <v>1404.9</v>
      </c>
      <c r="L220" s="270">
        <v>1</v>
      </c>
      <c r="M220" s="43">
        <f t="shared" si="14"/>
        <v>1404.9</v>
      </c>
      <c r="N220" s="43">
        <f>1404.9</f>
        <v>1404.9</v>
      </c>
      <c r="O220" s="41"/>
      <c r="P220" s="113">
        <v>1</v>
      </c>
      <c r="Q220" s="114">
        <v>3842</v>
      </c>
      <c r="R220" s="316">
        <v>1</v>
      </c>
      <c r="S220" s="50">
        <f t="shared" si="18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31</v>
      </c>
      <c r="I221" s="62">
        <v>28</v>
      </c>
      <c r="J221" s="62">
        <v>37</v>
      </c>
      <c r="K221" s="30">
        <v>77711.62</v>
      </c>
      <c r="L221" s="205">
        <v>31</v>
      </c>
      <c r="M221" s="26">
        <f t="shared" si="14"/>
        <v>69903.67</v>
      </c>
      <c r="N221" s="30">
        <v>69903.67</v>
      </c>
      <c r="O221" s="225"/>
      <c r="P221" s="53">
        <v>24</v>
      </c>
      <c r="Q221" s="30">
        <v>70420.100000000006</v>
      </c>
      <c r="R221" s="205">
        <v>24</v>
      </c>
      <c r="S221" s="26">
        <f t="shared" si="18"/>
        <v>70420.100000000006</v>
      </c>
      <c r="T221" s="30">
        <v>70420.100000000006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4"/>
        <v>0</v>
      </c>
      <c r="N222" s="39"/>
      <c r="O222" s="41"/>
      <c r="P222" s="59"/>
      <c r="Q222" s="39"/>
      <c r="R222" s="40"/>
      <c r="S222" s="39">
        <f t="shared" si="18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2</v>
      </c>
      <c r="J223" s="203">
        <v>2</v>
      </c>
      <c r="K223" s="65">
        <v>3169.65</v>
      </c>
      <c r="L223" s="224">
        <v>2</v>
      </c>
      <c r="M223" s="50">
        <f t="shared" si="14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8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5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4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3</v>
      </c>
      <c r="S224" s="39">
        <f t="shared" si="18"/>
        <v>12518</v>
      </c>
      <c r="T224" s="39">
        <f>3073.6+4226.2+5218.2</f>
        <v>12518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4"/>
        <v>0</v>
      </c>
      <c r="N225" s="91"/>
      <c r="O225" s="331"/>
      <c r="P225" s="329"/>
      <c r="Q225" s="91"/>
      <c r="R225" s="330"/>
      <c r="S225" s="142">
        <f t="shared" si="18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4"/>
        <v>0</v>
      </c>
      <c r="N226" s="209"/>
      <c r="O226" s="234"/>
      <c r="P226" s="262"/>
      <c r="Q226" s="209"/>
      <c r="R226" s="290"/>
      <c r="S226" s="87">
        <f t="shared" si="18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38</v>
      </c>
      <c r="I227" s="62">
        <v>25</v>
      </c>
      <c r="J227" s="62">
        <v>26</v>
      </c>
      <c r="K227" s="30">
        <v>22727.919999999998</v>
      </c>
      <c r="L227" s="205">
        <v>14</v>
      </c>
      <c r="M227" s="26">
        <f t="shared" si="14"/>
        <v>12481.62</v>
      </c>
      <c r="N227" s="30">
        <v>12481.62</v>
      </c>
      <c r="O227" s="269"/>
      <c r="P227" s="53">
        <v>30</v>
      </c>
      <c r="Q227" s="30">
        <v>80165.17</v>
      </c>
      <c r="R227" s="205">
        <v>28</v>
      </c>
      <c r="S227" s="26">
        <f t="shared" si="18"/>
        <v>78523.929999999993</v>
      </c>
      <c r="T227" s="30">
        <v>78523.929999999993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4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8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53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4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8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16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27</v>
      </c>
      <c r="I231" s="203">
        <v>20</v>
      </c>
      <c r="J231" s="203">
        <v>24</v>
      </c>
      <c r="K231" s="65">
        <v>48047.14</v>
      </c>
      <c r="L231" s="224">
        <v>20</v>
      </c>
      <c r="M231" s="50">
        <f>N231+O231</f>
        <v>35378.800000000003</v>
      </c>
      <c r="N231" s="65">
        <v>35378.800000000003</v>
      </c>
      <c r="O231" s="225"/>
      <c r="P231" s="108">
        <v>22</v>
      </c>
      <c r="Q231" s="65">
        <v>80070.350000000006</v>
      </c>
      <c r="R231" s="224">
        <v>20</v>
      </c>
      <c r="S231" s="50">
        <f>T231+U231</f>
        <v>72364.149999999994</v>
      </c>
      <c r="T231" s="65">
        <v>72364.149999999994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10</v>
      </c>
      <c r="I233" s="62">
        <v>5</v>
      </c>
      <c r="J233" s="62">
        <v>5</v>
      </c>
      <c r="K233" s="30">
        <v>8372.27</v>
      </c>
      <c r="L233" s="205">
        <v>5</v>
      </c>
      <c r="M233" s="26">
        <f t="shared" ref="M233:M259" si="19">N233+O233</f>
        <v>8372.27</v>
      </c>
      <c r="N233" s="30">
        <v>8372.27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20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9"/>
        <v>0</v>
      </c>
      <c r="N234" s="43"/>
      <c r="O234" s="41"/>
      <c r="P234" s="103"/>
      <c r="Q234" s="43"/>
      <c r="R234" s="44"/>
      <c r="S234" s="43">
        <f t="shared" si="20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8</v>
      </c>
      <c r="J235" s="62">
        <v>10</v>
      </c>
      <c r="K235" s="30">
        <v>14011.64</v>
      </c>
      <c r="L235" s="205">
        <v>10</v>
      </c>
      <c r="M235" s="26">
        <f t="shared" si="19"/>
        <v>14011.64</v>
      </c>
      <c r="N235" s="30">
        <v>14011.64</v>
      </c>
      <c r="O235" s="31"/>
      <c r="P235" s="29">
        <v>1</v>
      </c>
      <c r="Q235" s="30">
        <v>2466.56</v>
      </c>
      <c r="R235" s="205">
        <v>1</v>
      </c>
      <c r="S235" s="26">
        <f t="shared" si="20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9"/>
        <v>0</v>
      </c>
      <c r="N236" s="39"/>
      <c r="O236" s="41"/>
      <c r="P236" s="69"/>
      <c r="Q236" s="39"/>
      <c r="R236" s="40"/>
      <c r="S236" s="39">
        <f t="shared" si="20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9"/>
        <v>0</v>
      </c>
      <c r="N237" s="81"/>
      <c r="O237" s="82"/>
      <c r="P237" s="295"/>
      <c r="Q237" s="81"/>
      <c r="R237" s="80"/>
      <c r="S237" s="142">
        <f t="shared" si="20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9"/>
        <v>0</v>
      </c>
      <c r="N238" s="211"/>
      <c r="O238" s="212"/>
      <c r="P238" s="284"/>
      <c r="Q238" s="211"/>
      <c r="R238" s="210"/>
      <c r="S238" s="39">
        <f t="shared" si="20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9"/>
        <v>0</v>
      </c>
      <c r="N239" s="26"/>
      <c r="O239" s="28"/>
      <c r="P239" s="29">
        <v>4</v>
      </c>
      <c r="Q239" s="30">
        <v>0</v>
      </c>
      <c r="R239" s="27"/>
      <c r="S239" s="26">
        <f t="shared" si="20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9"/>
        <v>0</v>
      </c>
      <c r="N240" s="211"/>
      <c r="O240" s="212"/>
      <c r="P240" s="284"/>
      <c r="Q240" s="211"/>
      <c r="R240" s="210"/>
      <c r="S240" s="211">
        <f t="shared" si="20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24</v>
      </c>
      <c r="I241" s="62">
        <v>17</v>
      </c>
      <c r="J241" s="62">
        <v>20</v>
      </c>
      <c r="K241" s="30">
        <v>39143.040000000001</v>
      </c>
      <c r="L241" s="205">
        <v>17</v>
      </c>
      <c r="M241" s="26">
        <f t="shared" si="19"/>
        <v>31536.51</v>
      </c>
      <c r="N241" s="30">
        <v>31536.51</v>
      </c>
      <c r="O241" s="28"/>
      <c r="P241" s="214"/>
      <c r="Q241" s="30"/>
      <c r="R241" s="205"/>
      <c r="S241" s="26">
        <f t="shared" si="20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6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9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20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20</v>
      </c>
      <c r="I243" s="266">
        <v>11</v>
      </c>
      <c r="J243" s="266">
        <v>12</v>
      </c>
      <c r="K243" s="79">
        <v>21720.67</v>
      </c>
      <c r="L243" s="268">
        <v>11</v>
      </c>
      <c r="M243" s="81">
        <f t="shared" si="19"/>
        <v>18573.689999999999</v>
      </c>
      <c r="N243" s="79">
        <v>18573.689999999999</v>
      </c>
      <c r="O243" s="219"/>
      <c r="P243" s="267">
        <v>17</v>
      </c>
      <c r="Q243" s="79">
        <v>74693.53</v>
      </c>
      <c r="R243" s="268">
        <v>16</v>
      </c>
      <c r="S243" s="26">
        <f t="shared" si="20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9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20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19</v>
      </c>
      <c r="I245" s="62">
        <v>19</v>
      </c>
      <c r="J245" s="62">
        <v>21</v>
      </c>
      <c r="K245" s="30">
        <v>30857.77</v>
      </c>
      <c r="L245" s="205">
        <v>20</v>
      </c>
      <c r="M245" s="26">
        <f t="shared" si="19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13</v>
      </c>
      <c r="S245" s="26">
        <f t="shared" si="20"/>
        <v>80512.5</v>
      </c>
      <c r="T245" s="30">
        <v>80512.5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9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20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9"/>
        <v>0</v>
      </c>
      <c r="N247" s="79"/>
      <c r="O247" s="82"/>
      <c r="P247" s="267"/>
      <c r="Q247" s="79"/>
      <c r="R247" s="268"/>
      <c r="S247" s="142">
        <f t="shared" si="20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7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9"/>
        <v>1324.62</v>
      </c>
      <c r="N248" s="339">
        <v>1324.62</v>
      </c>
      <c r="O248" s="89"/>
      <c r="P248" s="357"/>
      <c r="Q248" s="339"/>
      <c r="R248" s="340"/>
      <c r="S248" s="39">
        <f t="shared" si="20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18</v>
      </c>
      <c r="I249" s="266">
        <v>12</v>
      </c>
      <c r="J249" s="266">
        <v>15</v>
      </c>
      <c r="K249" s="79">
        <v>18099.43</v>
      </c>
      <c r="L249" s="268">
        <v>12</v>
      </c>
      <c r="M249" s="81">
        <f t="shared" si="19"/>
        <v>13757.78</v>
      </c>
      <c r="N249" s="79">
        <v>13757.78</v>
      </c>
      <c r="O249" s="219"/>
      <c r="P249" s="267">
        <v>14</v>
      </c>
      <c r="Q249" s="79">
        <v>53584.26</v>
      </c>
      <c r="R249" s="268">
        <v>13</v>
      </c>
      <c r="S249" s="81">
        <f t="shared" si="20"/>
        <v>43600.12</v>
      </c>
      <c r="T249" s="79">
        <v>43600.12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10</v>
      </c>
      <c r="I250" s="208">
        <v>6</v>
      </c>
      <c r="J250" s="208">
        <v>6</v>
      </c>
      <c r="K250" s="209">
        <v>13108.6</v>
      </c>
      <c r="L250" s="290">
        <v>5</v>
      </c>
      <c r="M250" s="211">
        <f t="shared" si="19"/>
        <v>11101.599999999999</v>
      </c>
      <c r="N250" s="211">
        <f>1806.3+3073.6+2408.4+2408.4+1404.9</f>
        <v>11101.599999999999</v>
      </c>
      <c r="O250" s="212"/>
      <c r="P250" s="262">
        <v>3</v>
      </c>
      <c r="Q250" s="209">
        <v>7185.1</v>
      </c>
      <c r="R250" s="290">
        <v>2</v>
      </c>
      <c r="S250" s="211">
        <f t="shared" si="20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13</v>
      </c>
      <c r="I251" s="62">
        <v>9</v>
      </c>
      <c r="J251" s="62">
        <v>14</v>
      </c>
      <c r="K251" s="30">
        <v>17695.5</v>
      </c>
      <c r="L251" s="205">
        <v>13</v>
      </c>
      <c r="M251" s="26">
        <f t="shared" si="19"/>
        <v>16702.03</v>
      </c>
      <c r="N251" s="30">
        <v>16702.03</v>
      </c>
      <c r="O251" s="28"/>
      <c r="P251" s="275"/>
      <c r="Q251" s="26"/>
      <c r="R251" s="27"/>
      <c r="S251" s="26">
        <f t="shared" si="20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9"/>
        <v>0</v>
      </c>
      <c r="N252" s="39"/>
      <c r="O252" s="41"/>
      <c r="P252" s="276"/>
      <c r="Q252" s="39"/>
      <c r="R252" s="40"/>
      <c r="S252" s="39">
        <f t="shared" si="20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4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9"/>
        <v>3158.6</v>
      </c>
      <c r="N253" s="79">
        <v>3158.6</v>
      </c>
      <c r="O253" s="219"/>
      <c r="P253" s="277"/>
      <c r="Q253" s="81"/>
      <c r="R253" s="80"/>
      <c r="S253" s="81">
        <f t="shared" si="20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7</v>
      </c>
      <c r="I254" s="130">
        <v>4</v>
      </c>
      <c r="J254" s="130">
        <v>4</v>
      </c>
      <c r="K254" s="114">
        <v>10482.120000000001</v>
      </c>
      <c r="L254" s="270">
        <v>3</v>
      </c>
      <c r="M254" s="43">
        <f t="shared" si="19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20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9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20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7</v>
      </c>
      <c r="I256" s="130">
        <v>1</v>
      </c>
      <c r="J256" s="130">
        <v>1</v>
      </c>
      <c r="K256" s="114">
        <v>2007</v>
      </c>
      <c r="L256" s="44"/>
      <c r="M256" s="43">
        <f t="shared" si="19"/>
        <v>0</v>
      </c>
      <c r="N256" s="43"/>
      <c r="O256" s="41"/>
      <c r="P256" s="113">
        <v>5</v>
      </c>
      <c r="Q256" s="114">
        <v>25755.33</v>
      </c>
      <c r="R256" s="270">
        <v>3</v>
      </c>
      <c r="S256" s="43">
        <f t="shared" si="20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15</v>
      </c>
      <c r="I257" s="62">
        <v>11</v>
      </c>
      <c r="J257" s="62">
        <v>16</v>
      </c>
      <c r="K257" s="30">
        <v>30927.33</v>
      </c>
      <c r="L257" s="205">
        <v>14</v>
      </c>
      <c r="M257" s="26">
        <f t="shared" si="19"/>
        <v>26534.59</v>
      </c>
      <c r="N257" s="30">
        <v>26534.59</v>
      </c>
      <c r="O257" s="31"/>
      <c r="P257" s="53">
        <v>15</v>
      </c>
      <c r="Q257" s="30">
        <v>46212.56</v>
      </c>
      <c r="R257" s="205">
        <v>14</v>
      </c>
      <c r="S257" s="26">
        <f t="shared" si="20"/>
        <v>43510.34</v>
      </c>
      <c r="T257" s="30">
        <v>43510.34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14</v>
      </c>
      <c r="I258" s="37">
        <v>3</v>
      </c>
      <c r="J258" s="37">
        <v>3</v>
      </c>
      <c r="K258" s="68">
        <v>6020.5</v>
      </c>
      <c r="L258" s="285">
        <v>1</v>
      </c>
      <c r="M258" s="39">
        <f t="shared" si="19"/>
        <v>3010.5</v>
      </c>
      <c r="N258" s="39">
        <f>3010.5</f>
        <v>3010.5</v>
      </c>
      <c r="O258" s="41"/>
      <c r="P258" s="59"/>
      <c r="Q258" s="39"/>
      <c r="R258" s="40"/>
      <c r="S258" s="39">
        <f t="shared" si="20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18</v>
      </c>
      <c r="I259" s="203">
        <v>16</v>
      </c>
      <c r="J259" s="203">
        <v>22</v>
      </c>
      <c r="K259" s="65">
        <v>40401.5</v>
      </c>
      <c r="L259" s="224">
        <v>20</v>
      </c>
      <c r="M259" s="50">
        <f t="shared" si="19"/>
        <v>35824.5</v>
      </c>
      <c r="N259" s="65">
        <v>35824.5</v>
      </c>
      <c r="O259" s="225"/>
      <c r="P259" s="108">
        <v>20</v>
      </c>
      <c r="Q259" s="65">
        <v>57368.51</v>
      </c>
      <c r="R259" s="224">
        <v>20</v>
      </c>
      <c r="S259" s="50">
        <f t="shared" si="20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5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1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2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1"/>
        <v>0</v>
      </c>
      <c r="N262" s="43"/>
      <c r="O262" s="41"/>
      <c r="P262" s="113"/>
      <c r="Q262" s="114"/>
      <c r="R262" s="44"/>
      <c r="S262" s="43">
        <f t="shared" si="22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4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1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2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1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2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14</v>
      </c>
      <c r="J265" s="62">
        <v>18</v>
      </c>
      <c r="K265" s="30">
        <v>38219.47</v>
      </c>
      <c r="L265" s="205">
        <v>17</v>
      </c>
      <c r="M265" s="26">
        <f t="shared" si="21"/>
        <v>32041.62</v>
      </c>
      <c r="N265" s="30">
        <v>32041.62</v>
      </c>
      <c r="O265" s="241"/>
      <c r="P265" s="29">
        <v>3</v>
      </c>
      <c r="Q265" s="30">
        <v>23366.85</v>
      </c>
      <c r="R265" s="205">
        <v>3</v>
      </c>
      <c r="S265" s="26">
        <f t="shared" si="22"/>
        <v>23366.85</v>
      </c>
      <c r="T265" s="30">
        <v>23366.85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2</v>
      </c>
      <c r="J266" s="37">
        <v>2</v>
      </c>
      <c r="K266" s="68">
        <v>5456.32</v>
      </c>
      <c r="L266" s="285">
        <v>2</v>
      </c>
      <c r="M266" s="39">
        <f t="shared" si="21"/>
        <v>5453.32</v>
      </c>
      <c r="N266" s="39">
        <f>1921+3532.32</f>
        <v>5453.32</v>
      </c>
      <c r="O266" s="41"/>
      <c r="P266" s="69"/>
      <c r="Q266" s="39"/>
      <c r="R266" s="40"/>
      <c r="S266" s="39">
        <f t="shared" si="22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1"/>
        <v>0</v>
      </c>
      <c r="N267" s="50"/>
      <c r="O267" s="31"/>
      <c r="P267" s="123"/>
      <c r="Q267" s="50"/>
      <c r="R267" s="51"/>
      <c r="S267" s="50">
        <f t="shared" si="22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1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2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24</v>
      </c>
      <c r="I269" s="62">
        <v>22</v>
      </c>
      <c r="J269" s="62">
        <v>27</v>
      </c>
      <c r="K269" s="30">
        <v>41883.660000000003</v>
      </c>
      <c r="L269" s="205">
        <v>23</v>
      </c>
      <c r="M269" s="26">
        <f t="shared" si="21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2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1"/>
        <v>1728.9</v>
      </c>
      <c r="N270" s="39">
        <f>1728.9</f>
        <v>1728.9</v>
      </c>
      <c r="O270" s="41"/>
      <c r="P270" s="42"/>
      <c r="Q270" s="43"/>
      <c r="R270" s="44"/>
      <c r="S270" s="43">
        <f t="shared" si="22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1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2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>
        <v>1</v>
      </c>
      <c r="J272" s="37">
        <v>1</v>
      </c>
      <c r="K272" s="68">
        <v>602.1</v>
      </c>
      <c r="L272" s="44"/>
      <c r="M272" s="43">
        <f t="shared" si="21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2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>
        <v>1</v>
      </c>
      <c r="M273" s="26">
        <f t="shared" si="21"/>
        <v>2185.62</v>
      </c>
      <c r="N273" s="30">
        <v>2185.62</v>
      </c>
      <c r="O273" s="31"/>
      <c r="P273" s="64">
        <v>7</v>
      </c>
      <c r="Q273" s="65">
        <v>46859.35</v>
      </c>
      <c r="R273" s="224">
        <v>7</v>
      </c>
      <c r="S273" s="50">
        <f t="shared" si="22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10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1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2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1"/>
        <v>0</v>
      </c>
      <c r="N275" s="26"/>
      <c r="O275" s="28"/>
      <c r="P275" s="120"/>
      <c r="Q275" s="26"/>
      <c r="R275" s="27"/>
      <c r="S275" s="26">
        <f t="shared" si="22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10</v>
      </c>
      <c r="I276" s="37">
        <v>4</v>
      </c>
      <c r="J276" s="37">
        <v>4</v>
      </c>
      <c r="K276" s="68">
        <v>9834.2999999999993</v>
      </c>
      <c r="L276" s="285">
        <v>5</v>
      </c>
      <c r="M276" s="39">
        <f t="shared" si="21"/>
        <v>12042</v>
      </c>
      <c r="N276" s="39">
        <f>1806.3+3211.2+2007+1806.3+3211.2</f>
        <v>12042</v>
      </c>
      <c r="O276" s="41"/>
      <c r="P276" s="67">
        <v>4</v>
      </c>
      <c r="Q276" s="68">
        <v>11282.42</v>
      </c>
      <c r="R276" s="285">
        <v>4</v>
      </c>
      <c r="S276" s="39">
        <f t="shared" si="22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1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2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1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2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12</v>
      </c>
      <c r="I279" s="62">
        <v>10</v>
      </c>
      <c r="J279" s="62">
        <v>12</v>
      </c>
      <c r="K279" s="30">
        <v>16263.95</v>
      </c>
      <c r="L279" s="205">
        <v>10</v>
      </c>
      <c r="M279" s="26">
        <f t="shared" si="21"/>
        <v>9655.73</v>
      </c>
      <c r="N279" s="30">
        <v>9655.73</v>
      </c>
      <c r="O279" s="31"/>
      <c r="P279" s="53">
        <v>13</v>
      </c>
      <c r="Q279" s="30">
        <v>48930.55</v>
      </c>
      <c r="R279" s="205">
        <v>13</v>
      </c>
      <c r="S279" s="26">
        <f t="shared" si="22"/>
        <v>48930.55</v>
      </c>
      <c r="T279" s="30">
        <v>48930.55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1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2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1"/>
        <v>0</v>
      </c>
      <c r="N281" s="50"/>
      <c r="O281" s="31"/>
      <c r="P281" s="123"/>
      <c r="Q281" s="50"/>
      <c r="R281" s="51"/>
      <c r="S281" s="50">
        <f t="shared" si="22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1"/>
        <v>0</v>
      </c>
      <c r="N282" s="43"/>
      <c r="O282" s="41"/>
      <c r="P282" s="103"/>
      <c r="Q282" s="43"/>
      <c r="R282" s="44"/>
      <c r="S282" s="43">
        <f t="shared" si="22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1"/>
        <v>9017.57</v>
      </c>
      <c r="N283" s="30">
        <v>9017.57</v>
      </c>
      <c r="O283" s="31"/>
      <c r="P283" s="29">
        <v>6</v>
      </c>
      <c r="Q283" s="30">
        <v>21652.240000000002</v>
      </c>
      <c r="R283" s="205">
        <v>6</v>
      </c>
      <c r="S283" s="26">
        <f t="shared" si="22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1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2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1"/>
        <v>0</v>
      </c>
      <c r="N285" s="26"/>
      <c r="O285" s="241"/>
      <c r="P285" s="214"/>
      <c r="Q285" s="30"/>
      <c r="R285" s="205"/>
      <c r="S285" s="26">
        <f t="shared" si="22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1"/>
        <v>0</v>
      </c>
      <c r="N286" s="39"/>
      <c r="O286" s="234"/>
      <c r="P286" s="217"/>
      <c r="Q286" s="68"/>
      <c r="R286" s="285"/>
      <c r="S286" s="39">
        <f t="shared" si="22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22</v>
      </c>
      <c r="I287" s="266">
        <v>20</v>
      </c>
      <c r="J287" s="266">
        <v>31</v>
      </c>
      <c r="K287" s="79">
        <v>46679.24</v>
      </c>
      <c r="L287" s="268">
        <v>23</v>
      </c>
      <c r="M287" s="81">
        <f t="shared" si="21"/>
        <v>32610.76</v>
      </c>
      <c r="N287" s="79">
        <v>32610.76</v>
      </c>
      <c r="O287" s="313"/>
      <c r="P287" s="267">
        <v>2</v>
      </c>
      <c r="Q287" s="79">
        <v>4356.83</v>
      </c>
      <c r="R287" s="268">
        <v>2</v>
      </c>
      <c r="S287" s="81">
        <f t="shared" si="22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5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3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4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3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4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3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3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4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3"/>
        <v>0</v>
      </c>
      <c r="N292" s="39"/>
      <c r="O292" s="41"/>
      <c r="P292" s="69"/>
      <c r="Q292" s="39"/>
      <c r="R292" s="40"/>
      <c r="S292" s="39">
        <f t="shared" si="24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8</v>
      </c>
      <c r="J293" s="203">
        <v>9</v>
      </c>
      <c r="K293" s="65">
        <v>11474.19</v>
      </c>
      <c r="L293" s="224">
        <v>8</v>
      </c>
      <c r="M293" s="50">
        <f t="shared" si="23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4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3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5">SUM(H9:H294)</f>
        <v>2082</v>
      </c>
      <c r="I295" s="183">
        <f t="shared" si="25"/>
        <v>1343</v>
      </c>
      <c r="J295" s="183">
        <f t="shared" si="25"/>
        <v>1688</v>
      </c>
      <c r="K295" s="184">
        <f t="shared" si="25"/>
        <v>3170694.350000002</v>
      </c>
      <c r="L295" s="185">
        <f t="shared" si="25"/>
        <v>1516</v>
      </c>
      <c r="M295" s="184">
        <f t="shared" si="25"/>
        <v>2825816.7999999984</v>
      </c>
      <c r="N295" s="184">
        <f t="shared" si="25"/>
        <v>2827020.9999999986</v>
      </c>
      <c r="O295" s="186">
        <f t="shared" si="25"/>
        <v>0</v>
      </c>
      <c r="P295" s="187">
        <f t="shared" si="25"/>
        <v>1423</v>
      </c>
      <c r="Q295" s="188">
        <f t="shared" si="25"/>
        <v>5033742.18</v>
      </c>
      <c r="R295" s="185">
        <f t="shared" si="25"/>
        <v>1359</v>
      </c>
      <c r="S295" s="188">
        <f t="shared" si="25"/>
        <v>4940937.1000000006</v>
      </c>
      <c r="T295" s="188">
        <f t="shared" si="25"/>
        <v>4940937.1000000006</v>
      </c>
      <c r="U295" s="189">
        <f t="shared" si="25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6">SUMIF($G$9:$G$294,$F$301,H9:H294)</f>
        <v>1521</v>
      </c>
      <c r="H301" s="193">
        <f t="shared" si="26"/>
        <v>1112</v>
      </c>
      <c r="I301" s="193">
        <f t="shared" si="26"/>
        <v>1456</v>
      </c>
      <c r="J301" s="194">
        <f t="shared" ref="J301:J303" si="27">SUMIF($G$9:$G$294,F301,$K$9:$K$294)</f>
        <v>2706034.3000000021</v>
      </c>
      <c r="K301" s="195">
        <f t="shared" ref="K301:K303" si="28">SUMIF($G$9:$G$294,F301,$L$9:$L$294)</f>
        <v>1293</v>
      </c>
      <c r="L301" s="194">
        <f t="shared" ref="L301:L303" si="29">SUMIF($G$9:$G$294,F301,$M$9:$M$294)</f>
        <v>2388473.7599999998</v>
      </c>
      <c r="M301" s="194">
        <f t="shared" ref="M301:O301" si="30">SUMIF($G$9:$G$294,$F$301,N9:N294)</f>
        <v>2388473.7599999998</v>
      </c>
      <c r="N301" s="194">
        <f t="shared" si="30"/>
        <v>0</v>
      </c>
      <c r="O301" s="193">
        <f t="shared" si="30"/>
        <v>1130</v>
      </c>
      <c r="P301" s="194">
        <f t="shared" ref="P301:P303" si="31">SUMIF($G$9:$G$294,F301,$Q$9:$Q$294)</f>
        <v>4051874.5099999993</v>
      </c>
      <c r="Q301" s="195">
        <f t="shared" ref="Q301:Q303" si="32">SUMIF($G$9:$G$294,F301,$R$9:$R$294)</f>
        <v>1059</v>
      </c>
      <c r="R301" s="194">
        <f t="shared" ref="R301:R303" si="33">SUMIF($G$9:$G$294,F301,$S$9:$S$294)</f>
        <v>3939484.13</v>
      </c>
      <c r="S301" s="194">
        <f t="shared" ref="S301:T301" si="34">SUMIF($G$9:$G$294,$F$301,T9:T294)</f>
        <v>3939484.13</v>
      </c>
      <c r="T301" s="194">
        <f t="shared" si="34"/>
        <v>0</v>
      </c>
      <c r="U301" s="194">
        <f t="shared" ref="U301:U303" si="35">S301+M301</f>
        <v>6327957.8899999997</v>
      </c>
      <c r="V301" s="196">
        <f t="shared" ref="V301:V303" si="36">J301-M301+P301-S301</f>
        <v>429950.92000000179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7">SUMIF($G$9:$G$294,$F$302,H9:H294)</f>
        <v>465</v>
      </c>
      <c r="H302" s="193">
        <f t="shared" si="37"/>
        <v>186</v>
      </c>
      <c r="I302" s="193">
        <f t="shared" si="37"/>
        <v>187</v>
      </c>
      <c r="J302" s="194">
        <f t="shared" si="27"/>
        <v>388769.85999999981</v>
      </c>
      <c r="K302" s="195">
        <f t="shared" si="28"/>
        <v>178</v>
      </c>
      <c r="L302" s="194">
        <f t="shared" si="29"/>
        <v>361452.85000000003</v>
      </c>
      <c r="M302" s="194">
        <f t="shared" ref="M302:O302" si="38">SUMIF($G$9:$G$294,$F$302,N9:N294)</f>
        <v>362657.05000000005</v>
      </c>
      <c r="N302" s="194">
        <f t="shared" si="38"/>
        <v>0</v>
      </c>
      <c r="O302" s="193">
        <f t="shared" si="38"/>
        <v>227</v>
      </c>
      <c r="P302" s="194">
        <f t="shared" si="31"/>
        <v>727283.12</v>
      </c>
      <c r="Q302" s="195">
        <f t="shared" si="32"/>
        <v>236</v>
      </c>
      <c r="R302" s="194">
        <f t="shared" si="33"/>
        <v>746868.42000000039</v>
      </c>
      <c r="S302" s="194">
        <f t="shared" ref="S302:T302" si="39">SUMIF($G$9:$G$294,$F$302,T9:T294)</f>
        <v>746868.42000000039</v>
      </c>
      <c r="T302" s="194">
        <f t="shared" si="39"/>
        <v>0</v>
      </c>
      <c r="U302" s="194">
        <f t="shared" si="35"/>
        <v>1109525.4700000004</v>
      </c>
      <c r="V302" s="196">
        <f t="shared" si="36"/>
        <v>6527.5099999993108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40">SUMIF($G$9:$G$294,$F$303,H9:H294)</f>
        <v>96</v>
      </c>
      <c r="H303" s="193">
        <f t="shared" si="40"/>
        <v>45</v>
      </c>
      <c r="I303" s="193">
        <f t="shared" si="40"/>
        <v>45</v>
      </c>
      <c r="J303" s="194">
        <f t="shared" si="27"/>
        <v>75890.189999999988</v>
      </c>
      <c r="K303" s="195">
        <f t="shared" si="28"/>
        <v>45</v>
      </c>
      <c r="L303" s="194">
        <f t="shared" si="29"/>
        <v>75890.189999999988</v>
      </c>
      <c r="M303" s="194">
        <f t="shared" ref="M303:O303" si="41">SUMIF($G$9:$G$294,$F$303,N9:N294)</f>
        <v>75890.189999999988</v>
      </c>
      <c r="N303" s="194">
        <f t="shared" si="41"/>
        <v>0</v>
      </c>
      <c r="O303" s="193">
        <f t="shared" si="41"/>
        <v>66</v>
      </c>
      <c r="P303" s="194">
        <f t="shared" si="31"/>
        <v>254584.55</v>
      </c>
      <c r="Q303" s="195">
        <f t="shared" si="32"/>
        <v>64</v>
      </c>
      <c r="R303" s="194">
        <f t="shared" si="33"/>
        <v>254584.55</v>
      </c>
      <c r="S303" s="194">
        <f t="shared" ref="S303:T303" si="42">SUMIF($G$9:$G$294,$F$303,T9:T294)</f>
        <v>254584.55</v>
      </c>
      <c r="T303" s="194">
        <f t="shared" si="42"/>
        <v>0</v>
      </c>
      <c r="U303" s="194">
        <f t="shared" si="35"/>
        <v>330474.74</v>
      </c>
      <c r="V303" s="196">
        <f t="shared" si="36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3">G303+G302+G301</f>
        <v>2082</v>
      </c>
      <c r="H304" s="197">
        <f t="shared" si="43"/>
        <v>1343</v>
      </c>
      <c r="I304" s="197">
        <f t="shared" si="43"/>
        <v>1688</v>
      </c>
      <c r="J304" s="198">
        <f t="shared" si="43"/>
        <v>3170694.350000002</v>
      </c>
      <c r="K304" s="199">
        <f t="shared" si="43"/>
        <v>1516</v>
      </c>
      <c r="L304" s="198">
        <f t="shared" si="43"/>
        <v>2825816.8</v>
      </c>
      <c r="M304" s="198">
        <f t="shared" si="43"/>
        <v>2827021</v>
      </c>
      <c r="N304" s="198">
        <f t="shared" si="43"/>
        <v>0</v>
      </c>
      <c r="O304" s="197">
        <f t="shared" si="43"/>
        <v>1423</v>
      </c>
      <c r="P304" s="198">
        <f t="shared" si="43"/>
        <v>5033742.18</v>
      </c>
      <c r="Q304" s="200">
        <f t="shared" si="43"/>
        <v>1359</v>
      </c>
      <c r="R304" s="198">
        <f t="shared" si="43"/>
        <v>4940937.1000000006</v>
      </c>
      <c r="S304" s="198">
        <f t="shared" si="43"/>
        <v>4940937.1000000006</v>
      </c>
      <c r="T304" s="198">
        <f t="shared" si="43"/>
        <v>0</v>
      </c>
      <c r="U304" s="198">
        <f t="shared" si="43"/>
        <v>7767958.0999999996</v>
      </c>
      <c r="V304" s="198">
        <f t="shared" si="43"/>
        <v>436478.4300000011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16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23</v>
      </c>
      <c r="K13" s="79">
        <v>67249.789999999994</v>
      </c>
      <c r="L13" s="268">
        <v>21</v>
      </c>
      <c r="M13" s="81">
        <f t="shared" si="0"/>
        <v>59450.59</v>
      </c>
      <c r="N13" s="79">
        <v>59450.59</v>
      </c>
      <c r="O13" s="97"/>
      <c r="P13" s="267">
        <v>15</v>
      </c>
      <c r="Q13" s="79">
        <v>116855.85</v>
      </c>
      <c r="R13" s="268">
        <v>14</v>
      </c>
      <c r="S13" s="81">
        <f t="shared" si="1"/>
        <v>87821.82</v>
      </c>
      <c r="T13" s="79">
        <v>87821.82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6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28</v>
      </c>
      <c r="J15" s="62">
        <v>49</v>
      </c>
      <c r="K15" s="30">
        <v>124035.82</v>
      </c>
      <c r="L15" s="205">
        <v>42</v>
      </c>
      <c r="M15" s="26">
        <f t="shared" si="0"/>
        <v>101976.28</v>
      </c>
      <c r="N15" s="30">
        <v>101976.28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6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9</v>
      </c>
      <c r="Q18" s="209">
        <v>42612.91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16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12</v>
      </c>
      <c r="I21" s="266">
        <v>11</v>
      </c>
      <c r="J21" s="266">
        <v>17</v>
      </c>
      <c r="K21" s="79">
        <v>32485.85</v>
      </c>
      <c r="L21" s="268">
        <v>14</v>
      </c>
      <c r="M21" s="81">
        <f t="shared" si="0"/>
        <v>22307.65</v>
      </c>
      <c r="N21" s="79">
        <v>22307.65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22</v>
      </c>
      <c r="I23" s="203">
        <v>18</v>
      </c>
      <c r="J23" s="203">
        <v>30</v>
      </c>
      <c r="K23" s="65">
        <v>44901.9</v>
      </c>
      <c r="L23" s="224">
        <v>30</v>
      </c>
      <c r="M23" s="50">
        <f t="shared" si="0"/>
        <v>44901.9</v>
      </c>
      <c r="N23" s="65">
        <v>44901.9</v>
      </c>
      <c r="O23" s="225"/>
      <c r="P23" s="53">
        <v>17</v>
      </c>
      <c r="Q23" s="30">
        <v>35092</v>
      </c>
      <c r="R23" s="205">
        <v>16</v>
      </c>
      <c r="S23" s="26">
        <f t="shared" si="1"/>
        <v>35092</v>
      </c>
      <c r="T23" s="30">
        <v>35092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1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18</v>
      </c>
      <c r="I25" s="62">
        <v>14</v>
      </c>
      <c r="J25" s="62">
        <v>14</v>
      </c>
      <c r="K25" s="62">
        <v>11538.89</v>
      </c>
      <c r="L25" s="205">
        <v>13</v>
      </c>
      <c r="M25" s="26">
        <f t="shared" si="0"/>
        <v>10081.81</v>
      </c>
      <c r="N25" s="30">
        <v>10081.81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5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15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5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11</v>
      </c>
      <c r="Q28" s="68">
        <v>47836.3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7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15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6</v>
      </c>
      <c r="J34" s="130">
        <v>6</v>
      </c>
      <c r="K34" s="114">
        <v>15654.7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6</v>
      </c>
      <c r="I43" s="62">
        <v>4</v>
      </c>
      <c r="J43" s="62">
        <v>6</v>
      </c>
      <c r="K43" s="30">
        <v>19565.71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19</v>
      </c>
      <c r="J45" s="266">
        <v>24</v>
      </c>
      <c r="K45" s="79">
        <v>39175.68</v>
      </c>
      <c r="L45" s="268">
        <v>20</v>
      </c>
      <c r="M45" s="81">
        <f t="shared" si="2"/>
        <v>33657.33</v>
      </c>
      <c r="N45" s="79">
        <v>33657.33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27</v>
      </c>
      <c r="I47" s="62">
        <v>12</v>
      </c>
      <c r="J47" s="62">
        <v>15</v>
      </c>
      <c r="K47" s="30">
        <v>26748.73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7</v>
      </c>
      <c r="J50" s="266">
        <v>9</v>
      </c>
      <c r="K50" s="79">
        <v>14889.74</v>
      </c>
      <c r="L50" s="268">
        <v>6</v>
      </c>
      <c r="M50" s="81">
        <f t="shared" si="2"/>
        <v>9733.15</v>
      </c>
      <c r="N50" s="79">
        <v>9733.15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1</v>
      </c>
      <c r="J53" s="338">
        <v>1</v>
      </c>
      <c r="K53" s="339">
        <v>1134.9000000000001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5</v>
      </c>
      <c r="I56" s="266">
        <v>3</v>
      </c>
      <c r="J56" s="266">
        <v>3</v>
      </c>
      <c r="K56" s="79">
        <v>4884</v>
      </c>
      <c r="L56" s="268">
        <v>1</v>
      </c>
      <c r="M56" s="81">
        <f t="shared" si="2"/>
        <v>2284.9299999999998</v>
      </c>
      <c r="N56" s="79">
        <v>2284.9299999999998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8</v>
      </c>
      <c r="I57" s="130">
        <v>6</v>
      </c>
      <c r="J57" s="130">
        <v>6</v>
      </c>
      <c r="K57" s="114">
        <v>14932.08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6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11</v>
      </c>
      <c r="Q59" s="68">
        <v>27095.83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6</v>
      </c>
      <c r="J60" s="203">
        <v>9</v>
      </c>
      <c r="K60" s="65">
        <v>17478.27</v>
      </c>
      <c r="L60" s="224">
        <v>9</v>
      </c>
      <c r="M60" s="50">
        <f t="shared" si="2"/>
        <v>17478.27</v>
      </c>
      <c r="N60" s="65">
        <v>17478.27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20</v>
      </c>
      <c r="I62" s="62">
        <v>18</v>
      </c>
      <c r="J62" s="62">
        <v>23</v>
      </c>
      <c r="K62" s="30">
        <v>41380.129999999997</v>
      </c>
      <c r="L62" s="205">
        <v>19</v>
      </c>
      <c r="M62" s="26">
        <f t="shared" si="2"/>
        <v>33859.9</v>
      </c>
      <c r="N62" s="30">
        <v>33859.9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7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40</v>
      </c>
      <c r="I64" s="203">
        <v>32</v>
      </c>
      <c r="J64" s="203">
        <v>46</v>
      </c>
      <c r="K64" s="65">
        <v>90397.36</v>
      </c>
      <c r="L64" s="224">
        <v>46</v>
      </c>
      <c r="M64" s="50">
        <f t="shared" si="2"/>
        <v>90397.36</v>
      </c>
      <c r="N64" s="65">
        <v>90397.36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15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8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6</v>
      </c>
      <c r="J68" s="62">
        <v>7</v>
      </c>
      <c r="K68" s="30">
        <v>13445.23</v>
      </c>
      <c r="L68" s="205">
        <v>7</v>
      </c>
      <c r="M68" s="26">
        <f t="shared" si="2"/>
        <v>13445.23</v>
      </c>
      <c r="N68" s="30">
        <v>13445.23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9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5</v>
      </c>
      <c r="J71" s="130">
        <v>5</v>
      </c>
      <c r="K71" s="114">
        <v>7705.03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3</v>
      </c>
      <c r="Q71" s="114">
        <v>30066.3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11</v>
      </c>
      <c r="I74" s="203">
        <v>3</v>
      </c>
      <c r="J74" s="203">
        <v>3</v>
      </c>
      <c r="K74" s="65">
        <v>5482.32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89371.69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16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6</v>
      </c>
      <c r="I77" s="37">
        <v>1</v>
      </c>
      <c r="J77" s="37">
        <v>1</v>
      </c>
      <c r="K77" s="68">
        <v>6181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9</v>
      </c>
      <c r="J80" s="62">
        <v>14</v>
      </c>
      <c r="K80" s="30">
        <v>25458.38</v>
      </c>
      <c r="L80" s="205">
        <v>14</v>
      </c>
      <c r="M80" s="26">
        <f t="shared" si="2"/>
        <v>25458.38</v>
      </c>
      <c r="N80" s="30">
        <v>25458.38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1</v>
      </c>
      <c r="S81" s="68">
        <v>6823.8</v>
      </c>
      <c r="T81" s="68">
        <v>6823.8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13</v>
      </c>
      <c r="I82" s="203">
        <v>9</v>
      </c>
      <c r="J82" s="203">
        <v>14</v>
      </c>
      <c r="K82" s="158">
        <v>36747.9</v>
      </c>
      <c r="L82" s="224">
        <v>14</v>
      </c>
      <c r="M82" s="50">
        <f t="shared" ref="M82:M98" si="4">N82+O82</f>
        <v>36747.9</v>
      </c>
      <c r="N82" s="65">
        <v>36747.9</v>
      </c>
      <c r="O82" s="225"/>
      <c r="P82" s="108">
        <v>13</v>
      </c>
      <c r="Q82" s="65">
        <v>52889.43</v>
      </c>
      <c r="R82" s="224">
        <v>13</v>
      </c>
      <c r="S82" s="50">
        <f t="shared" ref="S82:S98" si="5">T82+U82</f>
        <v>52889.43</v>
      </c>
      <c r="T82" s="65">
        <v>52889.43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49</v>
      </c>
      <c r="I84" s="62">
        <v>43</v>
      </c>
      <c r="J84" s="62">
        <v>64</v>
      </c>
      <c r="K84" s="30">
        <v>130892.7</v>
      </c>
      <c r="L84" s="205">
        <v>63</v>
      </c>
      <c r="M84" s="26">
        <f t="shared" si="4"/>
        <v>123601.32</v>
      </c>
      <c r="N84" s="30">
        <v>123601.32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10</v>
      </c>
      <c r="I86" s="62">
        <v>8</v>
      </c>
      <c r="J86" s="62">
        <v>8</v>
      </c>
      <c r="K86" s="30">
        <v>15619.08</v>
      </c>
      <c r="L86" s="205">
        <v>7</v>
      </c>
      <c r="M86" s="26">
        <f t="shared" si="4"/>
        <v>14776.14</v>
      </c>
      <c r="N86" s="30">
        <v>14776.14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1</v>
      </c>
      <c r="J87" s="208">
        <v>1</v>
      </c>
      <c r="K87" s="209">
        <v>2305.1999999999998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3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26</v>
      </c>
      <c r="I98" s="62">
        <v>17</v>
      </c>
      <c r="J98" s="62">
        <v>24</v>
      </c>
      <c r="K98" s="30">
        <v>42965.08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11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11</v>
      </c>
      <c r="Q100" s="65">
        <v>118841.12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2</v>
      </c>
      <c r="J101" s="130">
        <v>2</v>
      </c>
      <c r="K101" s="114">
        <v>2548.9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6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6" si="7">N102+O102</f>
        <v>8733.91</v>
      </c>
      <c r="N102" s="30">
        <v>8733.91</v>
      </c>
      <c r="O102" s="31"/>
      <c r="P102" s="53">
        <v>9</v>
      </c>
      <c r="Q102" s="30">
        <v>61187.9</v>
      </c>
      <c r="R102" s="205">
        <v>9</v>
      </c>
      <c r="S102" s="26">
        <f t="shared" si="6"/>
        <v>61187.9</v>
      </c>
      <c r="T102" s="30">
        <v>61187.9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6</v>
      </c>
      <c r="J106" s="62">
        <v>8</v>
      </c>
      <c r="K106" s="30">
        <v>20920.14</v>
      </c>
      <c r="L106" s="205">
        <v>8</v>
      </c>
      <c r="M106" s="26">
        <f t="shared" si="7"/>
        <v>20920.14</v>
      </c>
      <c r="N106" s="30">
        <v>20920.14</v>
      </c>
      <c r="O106" s="31"/>
      <c r="P106" s="53">
        <v>28</v>
      </c>
      <c r="Q106" s="30">
        <v>97450.12</v>
      </c>
      <c r="R106" s="205">
        <v>28</v>
      </c>
      <c r="S106" s="26">
        <f t="shared" si="6"/>
        <v>97450.12</v>
      </c>
      <c r="T106" s="30">
        <v>97450.12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10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15</v>
      </c>
      <c r="I110" s="62">
        <v>10</v>
      </c>
      <c r="J110" s="62">
        <v>16</v>
      </c>
      <c r="K110" s="30">
        <v>29995.7</v>
      </c>
      <c r="L110" s="205">
        <v>16</v>
      </c>
      <c r="M110" s="26">
        <f t="shared" si="8"/>
        <v>29995.7</v>
      </c>
      <c r="N110" s="30">
        <v>29995.7</v>
      </c>
      <c r="O110" s="241"/>
      <c r="P110" s="214">
        <v>14</v>
      </c>
      <c r="Q110" s="30">
        <v>75827.070000000007</v>
      </c>
      <c r="R110" s="205">
        <v>14</v>
      </c>
      <c r="S110" s="26">
        <f t="shared" si="9"/>
        <v>75827.070000000007</v>
      </c>
      <c r="T110" s="30">
        <v>75827.070000000007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10</v>
      </c>
      <c r="I111" s="286">
        <v>7</v>
      </c>
      <c r="J111" s="286">
        <v>7</v>
      </c>
      <c r="K111" s="287">
        <v>21767.4</v>
      </c>
      <c r="L111" s="315">
        <v>7</v>
      </c>
      <c r="M111" s="39">
        <f t="shared" si="8"/>
        <v>21767.4</v>
      </c>
      <c r="N111" s="39">
        <f>1921+3073.6+1921+3010.5+1404.9+2408.4+8028</f>
        <v>21767.4</v>
      </c>
      <c r="O111" s="41"/>
      <c r="P111" s="217">
        <v>4</v>
      </c>
      <c r="Q111" s="37">
        <v>19940.650000000001</v>
      </c>
      <c r="R111" s="285">
        <v>4</v>
      </c>
      <c r="S111" s="39">
        <f t="shared" si="9"/>
        <v>21093.25</v>
      </c>
      <c r="T111" s="68">
        <f>1056.55+3457.8+4226.2+12352.7</f>
        <v>21093.25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14</v>
      </c>
      <c r="I114" s="203">
        <v>7</v>
      </c>
      <c r="J114" s="203">
        <v>8</v>
      </c>
      <c r="K114" s="65">
        <v>12423.22</v>
      </c>
      <c r="L114" s="224">
        <v>8</v>
      </c>
      <c r="M114" s="50">
        <f t="shared" si="8"/>
        <v>12423.22</v>
      </c>
      <c r="N114" s="65">
        <v>12423.22</v>
      </c>
      <c r="O114" s="225"/>
      <c r="P114" s="108">
        <v>11</v>
      </c>
      <c r="Q114" s="65">
        <v>51994.9</v>
      </c>
      <c r="R114" s="224">
        <v>10</v>
      </c>
      <c r="S114" s="50">
        <f t="shared" si="9"/>
        <v>25470.59</v>
      </c>
      <c r="T114" s="65">
        <v>25470.59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10</v>
      </c>
      <c r="I115" s="130">
        <v>6</v>
      </c>
      <c r="J115" s="130">
        <v>6</v>
      </c>
      <c r="K115" s="114">
        <v>13482.3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8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7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19</v>
      </c>
      <c r="J118" s="203">
        <v>23</v>
      </c>
      <c r="K118" s="65">
        <v>56337.54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23</v>
      </c>
      <c r="Q118" s="65">
        <v>105066.33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13">
        <v>1</v>
      </c>
      <c r="Q119" s="114">
        <v>1545.39</v>
      </c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57"/>
      <c r="J121" s="57"/>
      <c r="K121" s="43"/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2</v>
      </c>
      <c r="Q121" s="114">
        <v>2881.5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17</v>
      </c>
      <c r="I122" s="62">
        <v>14</v>
      </c>
      <c r="J122" s="62">
        <v>14</v>
      </c>
      <c r="K122" s="30">
        <v>12003.49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4</v>
      </c>
      <c r="J123" s="246">
        <v>4</v>
      </c>
      <c r="K123" s="158">
        <v>3561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4</v>
      </c>
      <c r="I125" s="203">
        <v>4</v>
      </c>
      <c r="J125" s="203">
        <v>5</v>
      </c>
      <c r="K125" s="65">
        <v>6123.37</v>
      </c>
      <c r="L125" s="224">
        <v>5</v>
      </c>
      <c r="M125" s="50">
        <f t="shared" ref="M125:M139" si="10">N125+O125</f>
        <v>6123.37</v>
      </c>
      <c r="N125" s="65">
        <v>6123.37</v>
      </c>
      <c r="O125" s="31"/>
      <c r="P125" s="108">
        <v>8</v>
      </c>
      <c r="Q125" s="65">
        <v>37589.71</v>
      </c>
      <c r="R125" s="224">
        <v>8</v>
      </c>
      <c r="S125" s="50">
        <f t="shared" si="9"/>
        <v>37589.71</v>
      </c>
      <c r="T125" s="65">
        <v>37589.71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14</v>
      </c>
      <c r="I127" s="62">
        <v>11</v>
      </c>
      <c r="J127" s="62">
        <v>15</v>
      </c>
      <c r="K127" s="30">
        <v>39786.14</v>
      </c>
      <c r="L127" s="205">
        <v>15</v>
      </c>
      <c r="M127" s="26">
        <f t="shared" si="10"/>
        <v>39786.14</v>
      </c>
      <c r="N127" s="30">
        <v>39786.14</v>
      </c>
      <c r="O127" s="31"/>
      <c r="P127" s="53">
        <v>5</v>
      </c>
      <c r="Q127" s="30">
        <v>19946.89</v>
      </c>
      <c r="R127" s="205">
        <v>5</v>
      </c>
      <c r="S127" s="26">
        <f t="shared" si="9"/>
        <v>19946.89</v>
      </c>
      <c r="T127" s="30">
        <v>19946.89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21</v>
      </c>
      <c r="I129" s="62">
        <v>18</v>
      </c>
      <c r="J129" s="62">
        <v>26</v>
      </c>
      <c r="K129" s="30">
        <v>66481.97</v>
      </c>
      <c r="L129" s="205">
        <v>26</v>
      </c>
      <c r="M129" s="26">
        <f t="shared" si="10"/>
        <v>66481.97</v>
      </c>
      <c r="N129" s="30">
        <v>66481.97</v>
      </c>
      <c r="O129" s="225"/>
      <c r="P129" s="53">
        <v>11</v>
      </c>
      <c r="Q129" s="30">
        <v>31033.06</v>
      </c>
      <c r="R129" s="205">
        <v>11</v>
      </c>
      <c r="S129" s="26">
        <f t="shared" si="9"/>
        <v>31033.06</v>
      </c>
      <c r="T129" s="30">
        <v>31033.06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9</v>
      </c>
      <c r="I133" s="62">
        <v>7</v>
      </c>
      <c r="J133" s="62">
        <v>11</v>
      </c>
      <c r="K133" s="30">
        <v>19669.79</v>
      </c>
      <c r="L133" s="205">
        <v>11</v>
      </c>
      <c r="M133" s="26">
        <f t="shared" si="10"/>
        <v>19669.79</v>
      </c>
      <c r="N133" s="30">
        <v>19669.79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6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23</v>
      </c>
      <c r="I135" s="203">
        <v>18</v>
      </c>
      <c r="J135" s="203">
        <v>28</v>
      </c>
      <c r="K135" s="65">
        <v>74086.789999999994</v>
      </c>
      <c r="L135" s="224">
        <v>23</v>
      </c>
      <c r="M135" s="50">
        <f t="shared" si="10"/>
        <v>62624.1</v>
      </c>
      <c r="N135" s="65">
        <v>62624.1</v>
      </c>
      <c r="O135" s="225"/>
      <c r="P135" s="108">
        <v>32</v>
      </c>
      <c r="Q135" s="65">
        <v>119894.49</v>
      </c>
      <c r="R135" s="224">
        <v>32</v>
      </c>
      <c r="S135" s="50">
        <f t="shared" si="9"/>
        <v>119894.49</v>
      </c>
      <c r="T135" s="65">
        <v>119894.49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20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45</v>
      </c>
      <c r="I139" s="62">
        <v>34</v>
      </c>
      <c r="J139" s="62">
        <v>40</v>
      </c>
      <c r="K139" s="30">
        <v>65034.879999999997</v>
      </c>
      <c r="L139" s="205">
        <v>38</v>
      </c>
      <c r="M139" s="26">
        <f t="shared" si="10"/>
        <v>59902.38</v>
      </c>
      <c r="N139" s="30">
        <v>59902.38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8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47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30</v>
      </c>
      <c r="I145" s="266">
        <v>24</v>
      </c>
      <c r="J145" s="266">
        <v>35</v>
      </c>
      <c r="K145" s="79">
        <v>72552.33</v>
      </c>
      <c r="L145" s="268">
        <v>34</v>
      </c>
      <c r="M145" s="81">
        <f t="shared" si="11"/>
        <v>70420.62</v>
      </c>
      <c r="N145" s="79">
        <v>70420.62</v>
      </c>
      <c r="O145" s="269"/>
      <c r="P145" s="267">
        <v>22</v>
      </c>
      <c r="Q145" s="79">
        <v>89981.45</v>
      </c>
      <c r="R145" s="268">
        <v>21</v>
      </c>
      <c r="S145" s="81">
        <f t="shared" si="12"/>
        <v>89981.45</v>
      </c>
      <c r="T145" s="79">
        <v>89981.45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20</v>
      </c>
      <c r="I147" s="203">
        <v>15</v>
      </c>
      <c r="J147" s="203">
        <v>18</v>
      </c>
      <c r="K147" s="65">
        <v>47249.1</v>
      </c>
      <c r="L147" s="224">
        <v>17</v>
      </c>
      <c r="M147" s="50">
        <f t="shared" si="11"/>
        <v>47249.1</v>
      </c>
      <c r="N147" s="65">
        <v>47249.1</v>
      </c>
      <c r="O147" s="225"/>
      <c r="P147" s="108">
        <v>57</v>
      </c>
      <c r="Q147" s="65">
        <v>337965.75</v>
      </c>
      <c r="R147" s="224">
        <v>57</v>
      </c>
      <c r="S147" s="50">
        <f t="shared" si="12"/>
        <v>337965.75</v>
      </c>
      <c r="T147" s="65">
        <v>337965.75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237" t="s">
        <v>500</v>
      </c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238">
        <v>1</v>
      </c>
      <c r="Q148" s="239">
        <v>2408.4</v>
      </c>
      <c r="R148" s="316">
        <v>1</v>
      </c>
      <c r="S148" s="239">
        <v>2408.4</v>
      </c>
      <c r="T148" s="239">
        <v>2408.4</v>
      </c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4</v>
      </c>
      <c r="Q149" s="114">
        <v>9722.4</v>
      </c>
      <c r="R149" s="270">
        <v>4</v>
      </c>
      <c r="S149" s="43">
        <f t="shared" ref="S149:S156" si="13">T149+U149</f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7</v>
      </c>
      <c r="I150" s="62">
        <v>2</v>
      </c>
      <c r="J150" s="62">
        <v>2</v>
      </c>
      <c r="K150" s="30">
        <v>1267.28</v>
      </c>
      <c r="L150" s="205">
        <v>2</v>
      </c>
      <c r="M150" s="26">
        <f t="shared" si="11"/>
        <v>1267.28</v>
      </c>
      <c r="N150" s="30">
        <v>1267.28</v>
      </c>
      <c r="O150" s="225"/>
      <c r="P150" s="53">
        <v>15</v>
      </c>
      <c r="Q150" s="30">
        <v>10414.84</v>
      </c>
      <c r="R150" s="205">
        <v>4</v>
      </c>
      <c r="S150" s="26">
        <f t="shared" si="13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7</v>
      </c>
      <c r="I151" s="37">
        <v>4</v>
      </c>
      <c r="J151" s="37">
        <v>4</v>
      </c>
      <c r="K151" s="68">
        <v>7242.42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8</v>
      </c>
      <c r="Q151" s="68">
        <v>13484.6</v>
      </c>
      <c r="R151" s="285">
        <v>3</v>
      </c>
      <c r="S151" s="39">
        <f t="shared" si="13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12</v>
      </c>
      <c r="J152" s="203">
        <v>17</v>
      </c>
      <c r="K152" s="65">
        <v>33710.11</v>
      </c>
      <c r="L152" s="224">
        <v>17</v>
      </c>
      <c r="M152" s="50">
        <f t="shared" si="11"/>
        <v>33710.11</v>
      </c>
      <c r="N152" s="65">
        <v>33710.11</v>
      </c>
      <c r="O152" s="225"/>
      <c r="P152" s="108">
        <v>8</v>
      </c>
      <c r="Q152" s="65">
        <v>29582.03</v>
      </c>
      <c r="R152" s="224">
        <v>8</v>
      </c>
      <c r="S152" s="50">
        <f t="shared" si="13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5</v>
      </c>
      <c r="J153" s="37">
        <v>5</v>
      </c>
      <c r="K153" s="68">
        <v>5776.7</v>
      </c>
      <c r="L153" s="285">
        <v>5</v>
      </c>
      <c r="M153" s="39">
        <f t="shared" si="11"/>
        <v>5822.7</v>
      </c>
      <c r="N153" s="39">
        <f>1578.8+1152.6+1152.6+1336.6+602.1</f>
        <v>5822.7</v>
      </c>
      <c r="O153" s="41"/>
      <c r="P153" s="115">
        <v>3</v>
      </c>
      <c r="Q153" s="68">
        <v>17095</v>
      </c>
      <c r="R153" s="285">
        <v>3</v>
      </c>
      <c r="S153" s="39">
        <f t="shared" si="13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3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3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3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9</v>
      </c>
      <c r="I157" s="130">
        <v>6</v>
      </c>
      <c r="J157" s="130">
        <v>6</v>
      </c>
      <c r="K157" s="114">
        <v>10810.58</v>
      </c>
      <c r="L157" s="270">
        <v>6</v>
      </c>
      <c r="M157" s="114">
        <v>10810.58</v>
      </c>
      <c r="N157" s="114">
        <v>10810.58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15</v>
      </c>
      <c r="I158" s="62">
        <v>12</v>
      </c>
      <c r="J158" s="62">
        <v>16</v>
      </c>
      <c r="K158" s="30">
        <v>28480.94</v>
      </c>
      <c r="L158" s="205">
        <v>13</v>
      </c>
      <c r="M158" s="26">
        <f t="shared" ref="M158:M229" si="14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5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16</v>
      </c>
      <c r="I159" s="271">
        <v>11</v>
      </c>
      <c r="J159" s="271">
        <v>11</v>
      </c>
      <c r="K159" s="239">
        <v>21254.2</v>
      </c>
      <c r="L159" s="316">
        <v>10</v>
      </c>
      <c r="M159" s="129">
        <f t="shared" si="14"/>
        <v>17440.899999999998</v>
      </c>
      <c r="N159" s="129">
        <f>1728.9+2305.2+576.3+4802.5+1404.9+1404.9+1404.9+1103.85+2408.4+301.05</f>
        <v>17440.899999999998</v>
      </c>
      <c r="O159" s="45"/>
      <c r="P159" s="238">
        <v>9</v>
      </c>
      <c r="Q159" s="239">
        <v>31223.56</v>
      </c>
      <c r="R159" s="316">
        <v>10</v>
      </c>
      <c r="S159" s="129">
        <f t="shared" si="15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4"/>
        <v>0</v>
      </c>
      <c r="N160" s="43"/>
      <c r="O160" s="41"/>
      <c r="P160" s="103"/>
      <c r="Q160" s="43"/>
      <c r="R160" s="44"/>
      <c r="S160" s="43">
        <f t="shared" si="15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12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4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5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4"/>
        <v>0</v>
      </c>
      <c r="N162" s="39"/>
      <c r="O162" s="41"/>
      <c r="P162" s="59"/>
      <c r="Q162" s="39"/>
      <c r="R162" s="40"/>
      <c r="S162" s="39">
        <f t="shared" si="15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14</v>
      </c>
      <c r="I163" s="203">
        <v>11</v>
      </c>
      <c r="J163" s="203">
        <v>12</v>
      </c>
      <c r="K163" s="65">
        <v>16411.849999999999</v>
      </c>
      <c r="L163" s="224">
        <v>12</v>
      </c>
      <c r="M163" s="50">
        <f t="shared" si="14"/>
        <v>16411.849999999999</v>
      </c>
      <c r="N163" s="65">
        <v>16411.849999999999</v>
      </c>
      <c r="O163" s="225"/>
      <c r="P163" s="108">
        <v>7</v>
      </c>
      <c r="Q163" s="65">
        <v>50795.35</v>
      </c>
      <c r="R163" s="224">
        <v>7</v>
      </c>
      <c r="S163" s="50">
        <f t="shared" si="15"/>
        <v>50795.35</v>
      </c>
      <c r="T163" s="65">
        <v>50795.35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12</v>
      </c>
      <c r="I164" s="246">
        <v>5</v>
      </c>
      <c r="J164" s="246">
        <v>5</v>
      </c>
      <c r="K164" s="158">
        <v>10648.6</v>
      </c>
      <c r="L164" s="317">
        <v>5</v>
      </c>
      <c r="M164" s="142">
        <f t="shared" si="14"/>
        <v>10648.599999999999</v>
      </c>
      <c r="N164" s="142">
        <f>1921+2305.2+1404.9+3211.2+1806.3</f>
        <v>10648.599999999999</v>
      </c>
      <c r="O164" s="45"/>
      <c r="P164" s="157">
        <v>4</v>
      </c>
      <c r="Q164" s="158">
        <v>8625.2900000000009</v>
      </c>
      <c r="R164" s="224">
        <v>5</v>
      </c>
      <c r="S164" s="50">
        <f t="shared" si="15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4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16</v>
      </c>
      <c r="I166" s="62">
        <v>11</v>
      </c>
      <c r="J166" s="62">
        <v>14</v>
      </c>
      <c r="K166" s="30">
        <v>23878.68</v>
      </c>
      <c r="L166" s="205">
        <v>14</v>
      </c>
      <c r="M166" s="26">
        <f t="shared" si="14"/>
        <v>23878.68</v>
      </c>
      <c r="N166" s="30">
        <v>23878.68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6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6</v>
      </c>
      <c r="J167" s="37">
        <v>6</v>
      </c>
      <c r="K167" s="68">
        <v>7049.7</v>
      </c>
      <c r="L167" s="285">
        <v>7</v>
      </c>
      <c r="M167" s="39">
        <f t="shared" si="14"/>
        <v>7049.7000000000007</v>
      </c>
      <c r="N167" s="39">
        <f>576.3+1716.8+1344.7+1404.9+602.1+1404.9</f>
        <v>7049.7000000000007</v>
      </c>
      <c r="O167" s="41"/>
      <c r="P167" s="115">
        <v>3</v>
      </c>
      <c r="Q167" s="68">
        <v>5674.1</v>
      </c>
      <c r="R167" s="285">
        <v>3</v>
      </c>
      <c r="S167" s="39">
        <f t="shared" si="16"/>
        <v>9366.36</v>
      </c>
      <c r="T167" s="39">
        <f>1921+1344.7+3692.26+2408.4</f>
        <v>9366.36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13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4"/>
        <v>19508.22</v>
      </c>
      <c r="N168" s="65">
        <v>19508.22</v>
      </c>
      <c r="O168" s="31"/>
      <c r="P168" s="108">
        <v>10</v>
      </c>
      <c r="Q168" s="65">
        <v>22636.89</v>
      </c>
      <c r="R168" s="224">
        <v>9</v>
      </c>
      <c r="S168" s="50">
        <f t="shared" si="16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7</v>
      </c>
      <c r="I169" s="130">
        <v>7</v>
      </c>
      <c r="J169" s="130">
        <v>7</v>
      </c>
      <c r="K169" s="114">
        <v>26745.9</v>
      </c>
      <c r="L169" s="270">
        <v>7</v>
      </c>
      <c r="M169" s="43">
        <f t="shared" si="14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6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8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4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6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8</v>
      </c>
      <c r="I171" s="130">
        <v>4</v>
      </c>
      <c r="J171" s="130">
        <v>4</v>
      </c>
      <c r="K171" s="114">
        <v>9138.1</v>
      </c>
      <c r="L171" s="270">
        <v>4</v>
      </c>
      <c r="M171" s="43">
        <f t="shared" si="14"/>
        <v>8335.2999999999993</v>
      </c>
      <c r="N171" s="43">
        <f>1728.9+602.1+2504.4+3499.9</f>
        <v>8335.2999999999993</v>
      </c>
      <c r="O171" s="45"/>
      <c r="P171" s="113">
        <v>9</v>
      </c>
      <c r="Q171" s="114">
        <v>35157.300000000003</v>
      </c>
      <c r="R171" s="270">
        <v>8</v>
      </c>
      <c r="S171" s="43">
        <f t="shared" si="16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19</v>
      </c>
      <c r="I172" s="62">
        <v>13</v>
      </c>
      <c r="J172" s="62">
        <v>16</v>
      </c>
      <c r="K172" s="30">
        <v>45364.480000000003</v>
      </c>
      <c r="L172" s="205">
        <v>14</v>
      </c>
      <c r="M172" s="26">
        <f t="shared" si="14"/>
        <v>30399.81</v>
      </c>
      <c r="N172" s="30">
        <v>30399.81</v>
      </c>
      <c r="O172" s="159"/>
      <c r="P172" s="53">
        <v>4</v>
      </c>
      <c r="Q172" s="30">
        <v>31835.37</v>
      </c>
      <c r="R172" s="205">
        <v>4</v>
      </c>
      <c r="S172" s="26">
        <f t="shared" si="16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1</v>
      </c>
      <c r="J173" s="208">
        <v>1</v>
      </c>
      <c r="K173" s="209">
        <v>1728</v>
      </c>
      <c r="L173" s="210"/>
      <c r="M173" s="211">
        <f t="shared" si="14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6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8</v>
      </c>
      <c r="I174" s="62">
        <v>5</v>
      </c>
      <c r="J174" s="62">
        <v>8</v>
      </c>
      <c r="K174" s="30">
        <v>20996.880000000001</v>
      </c>
      <c r="L174" s="205">
        <v>6</v>
      </c>
      <c r="M174" s="26">
        <f t="shared" si="14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6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4"/>
        <v>0</v>
      </c>
      <c r="N175" s="39"/>
      <c r="O175" s="41"/>
      <c r="P175" s="217"/>
      <c r="Q175" s="68"/>
      <c r="R175" s="285"/>
      <c r="S175" s="39">
        <f t="shared" si="16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9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4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6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4"/>
        <v>0</v>
      </c>
      <c r="N177" s="43"/>
      <c r="O177" s="45"/>
      <c r="P177" s="103"/>
      <c r="Q177" s="43"/>
      <c r="R177" s="44"/>
      <c r="S177" s="43">
        <f t="shared" si="16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5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4"/>
        <v>524.91</v>
      </c>
      <c r="N178" s="30">
        <v>524.91</v>
      </c>
      <c r="O178" s="241"/>
      <c r="P178" s="53">
        <v>2</v>
      </c>
      <c r="Q178" s="30">
        <v>14444.79</v>
      </c>
      <c r="R178" s="205">
        <v>2</v>
      </c>
      <c r="S178" s="26">
        <f t="shared" si="16"/>
        <v>14444.79</v>
      </c>
      <c r="T178" s="30">
        <v>14444.79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4"/>
        <v>0</v>
      </c>
      <c r="N179" s="211"/>
      <c r="O179" s="212"/>
      <c r="P179" s="273"/>
      <c r="Q179" s="211"/>
      <c r="R179" s="210"/>
      <c r="S179" s="211">
        <f t="shared" si="16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6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4"/>
        <v>9442.35</v>
      </c>
      <c r="N180" s="30">
        <v>9442.35</v>
      </c>
      <c r="O180" s="28"/>
      <c r="P180" s="214"/>
      <c r="Q180" s="30"/>
      <c r="R180" s="205"/>
      <c r="S180" s="26">
        <f t="shared" si="16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4"/>
        <v>0</v>
      </c>
      <c r="N181" s="39"/>
      <c r="O181" s="41"/>
      <c r="P181" s="217"/>
      <c r="Q181" s="68"/>
      <c r="R181" s="285"/>
      <c r="S181" s="39">
        <f t="shared" si="16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10</v>
      </c>
      <c r="I182" s="266">
        <v>7</v>
      </c>
      <c r="J182" s="266">
        <v>9</v>
      </c>
      <c r="K182" s="79">
        <v>15151.29</v>
      </c>
      <c r="L182" s="268">
        <v>9</v>
      </c>
      <c r="M182" s="81">
        <f t="shared" si="14"/>
        <v>15151.29</v>
      </c>
      <c r="N182" s="79">
        <v>15151.29</v>
      </c>
      <c r="O182" s="219"/>
      <c r="P182" s="267">
        <v>18</v>
      </c>
      <c r="Q182" s="79">
        <v>50132.05</v>
      </c>
      <c r="R182" s="268">
        <v>18</v>
      </c>
      <c r="S182" s="81">
        <f t="shared" si="16"/>
        <v>50132.05</v>
      </c>
      <c r="T182" s="79">
        <v>50132.05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4"/>
        <v>21489.82</v>
      </c>
      <c r="N183" s="43">
        <f>2497.3+1152.6+5920.02+4595.4+602.1+6722.4</f>
        <v>21489.82</v>
      </c>
      <c r="O183" s="41"/>
      <c r="P183" s="113">
        <v>3</v>
      </c>
      <c r="Q183" s="114">
        <v>17758.3</v>
      </c>
      <c r="R183" s="270">
        <v>3</v>
      </c>
      <c r="S183" s="43">
        <f t="shared" si="16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14</v>
      </c>
      <c r="I184" s="62">
        <v>12</v>
      </c>
      <c r="J184" s="62">
        <v>13</v>
      </c>
      <c r="K184" s="30">
        <v>34160.230000000003</v>
      </c>
      <c r="L184" s="205">
        <v>9</v>
      </c>
      <c r="M184" s="26">
        <f t="shared" si="14"/>
        <v>29875.67</v>
      </c>
      <c r="N184" s="30">
        <v>29875.67</v>
      </c>
      <c r="O184" s="225"/>
      <c r="P184" s="53">
        <v>13</v>
      </c>
      <c r="Q184" s="30">
        <v>38649.24</v>
      </c>
      <c r="R184" s="205">
        <v>12</v>
      </c>
      <c r="S184" s="26">
        <f t="shared" si="16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5</v>
      </c>
      <c r="I185" s="130">
        <v>2</v>
      </c>
      <c r="J185" s="130">
        <v>2</v>
      </c>
      <c r="K185" s="114">
        <v>7867.44</v>
      </c>
      <c r="L185" s="270">
        <v>2</v>
      </c>
      <c r="M185" s="43">
        <f t="shared" si="14"/>
        <v>7867.44</v>
      </c>
      <c r="N185" s="43">
        <f>2649.24+5218.2</f>
        <v>7867.44</v>
      </c>
      <c r="O185" s="41"/>
      <c r="P185" s="115">
        <v>8</v>
      </c>
      <c r="Q185" s="68">
        <v>30985.07</v>
      </c>
      <c r="R185" s="285">
        <v>8</v>
      </c>
      <c r="S185" s="39">
        <f t="shared" si="16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25</v>
      </c>
      <c r="I186" s="62">
        <v>22</v>
      </c>
      <c r="J186" s="204">
        <v>30</v>
      </c>
      <c r="K186" s="30">
        <v>49643.35</v>
      </c>
      <c r="L186" s="205">
        <v>29</v>
      </c>
      <c r="M186" s="26">
        <f t="shared" si="14"/>
        <v>49041.25</v>
      </c>
      <c r="N186" s="30">
        <v>49041.25</v>
      </c>
      <c r="O186" s="225"/>
      <c r="P186" s="108">
        <v>23</v>
      </c>
      <c r="Q186" s="65">
        <v>84634.18</v>
      </c>
      <c r="R186" s="224">
        <v>23</v>
      </c>
      <c r="S186" s="50">
        <f t="shared" si="16"/>
        <v>84634.18</v>
      </c>
      <c r="T186" s="65">
        <v>84634.18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3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4"/>
        <v>3010.5</v>
      </c>
      <c r="N187" s="211">
        <f>3010.5</f>
        <v>3010.5</v>
      </c>
      <c r="O187" s="212"/>
      <c r="P187" s="262">
        <v>2</v>
      </c>
      <c r="Q187" s="209">
        <v>10069.41</v>
      </c>
      <c r="R187" s="290">
        <v>3</v>
      </c>
      <c r="S187" s="211">
        <f t="shared" si="16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2</v>
      </c>
      <c r="J188" s="62">
        <v>3</v>
      </c>
      <c r="K188" s="326">
        <v>2669.31</v>
      </c>
      <c r="L188" s="327">
        <v>3</v>
      </c>
      <c r="M188" s="162">
        <f t="shared" si="14"/>
        <v>2669.31</v>
      </c>
      <c r="N188" s="326">
        <v>2669.31</v>
      </c>
      <c r="O188" s="28"/>
      <c r="P188" s="275"/>
      <c r="Q188" s="26"/>
      <c r="R188" s="27"/>
      <c r="S188" s="26">
        <f t="shared" si="16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6</v>
      </c>
      <c r="I189" s="37">
        <v>2</v>
      </c>
      <c r="J189" s="37">
        <v>2</v>
      </c>
      <c r="K189" s="318">
        <v>1658.32</v>
      </c>
      <c r="L189" s="343">
        <v>2</v>
      </c>
      <c r="M189" s="164">
        <f t="shared" si="14"/>
        <v>1658.65</v>
      </c>
      <c r="N189" s="164">
        <f>1056.55+602.1</f>
        <v>1658.65</v>
      </c>
      <c r="O189" s="41"/>
      <c r="P189" s="276"/>
      <c r="Q189" s="39"/>
      <c r="R189" s="40"/>
      <c r="S189" s="39">
        <f t="shared" si="16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4"/>
        <v>0</v>
      </c>
      <c r="N190" s="293"/>
      <c r="O190" s="82"/>
      <c r="P190" s="295"/>
      <c r="Q190" s="81"/>
      <c r="R190" s="80"/>
      <c r="S190" s="81">
        <f t="shared" si="16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17">
        <v>3</v>
      </c>
      <c r="I191" s="38"/>
      <c r="J191" s="38"/>
      <c r="K191" s="164"/>
      <c r="L191" s="165"/>
      <c r="M191" s="164">
        <f t="shared" si="14"/>
        <v>0</v>
      </c>
      <c r="N191" s="164"/>
      <c r="O191" s="41"/>
      <c r="P191" s="67">
        <v>5</v>
      </c>
      <c r="Q191" s="68">
        <v>32446.01</v>
      </c>
      <c r="R191" s="285">
        <v>5</v>
      </c>
      <c r="S191" s="68">
        <v>32446.01</v>
      </c>
      <c r="T191" s="68">
        <v>32446.01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23</v>
      </c>
      <c r="J192" s="203">
        <v>38</v>
      </c>
      <c r="K192" s="242">
        <v>84037.54</v>
      </c>
      <c r="L192" s="320">
        <v>36</v>
      </c>
      <c r="M192" s="166">
        <f t="shared" si="14"/>
        <v>79721.08</v>
      </c>
      <c r="N192" s="242">
        <v>79721.08</v>
      </c>
      <c r="O192" s="225"/>
      <c r="P192" s="108">
        <v>8</v>
      </c>
      <c r="Q192" s="65">
        <v>44672.93</v>
      </c>
      <c r="R192" s="224">
        <v>8</v>
      </c>
      <c r="S192" s="50">
        <f t="shared" ref="S192:S211" si="17">T192+U192</f>
        <v>44672.93</v>
      </c>
      <c r="T192" s="65">
        <v>44672.93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3</v>
      </c>
      <c r="I193" s="130">
        <v>2</v>
      </c>
      <c r="J193" s="130">
        <v>2</v>
      </c>
      <c r="K193" s="114">
        <v>3159.6</v>
      </c>
      <c r="L193" s="270">
        <v>1</v>
      </c>
      <c r="M193" s="43">
        <f t="shared" si="14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7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6</v>
      </c>
      <c r="I194" s="62">
        <v>5</v>
      </c>
      <c r="J194" s="62">
        <v>6</v>
      </c>
      <c r="K194" s="30">
        <v>8463.7199999999993</v>
      </c>
      <c r="L194" s="205">
        <v>4</v>
      </c>
      <c r="M194" s="26">
        <f t="shared" si="14"/>
        <v>5891.75</v>
      </c>
      <c r="N194" s="30">
        <v>5891.75</v>
      </c>
      <c r="O194" s="31"/>
      <c r="P194" s="53">
        <v>9</v>
      </c>
      <c r="Q194" s="30">
        <v>23074.77</v>
      </c>
      <c r="R194" s="205">
        <v>9</v>
      </c>
      <c r="S194" s="26">
        <f t="shared" si="17"/>
        <v>23074.77</v>
      </c>
      <c r="T194" s="30">
        <v>23074.77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4"/>
        <v>0</v>
      </c>
      <c r="N195" s="39"/>
      <c r="O195" s="41"/>
      <c r="P195" s="59"/>
      <c r="Q195" s="39"/>
      <c r="R195" s="40"/>
      <c r="S195" s="39">
        <f t="shared" si="17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4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7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3</v>
      </c>
      <c r="I197" s="57"/>
      <c r="J197" s="57"/>
      <c r="K197" s="43"/>
      <c r="L197" s="44"/>
      <c r="M197" s="43">
        <f t="shared" si="14"/>
        <v>0</v>
      </c>
      <c r="N197" s="43"/>
      <c r="O197" s="41"/>
      <c r="P197" s="113">
        <v>1</v>
      </c>
      <c r="Q197" s="114">
        <v>0</v>
      </c>
      <c r="R197" s="44"/>
      <c r="S197" s="43">
        <f t="shared" si="17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4"/>
        <v>0</v>
      </c>
      <c r="N198" s="26"/>
      <c r="O198" s="31"/>
      <c r="P198" s="120"/>
      <c r="Q198" s="26"/>
      <c r="R198" s="27"/>
      <c r="S198" s="26">
        <f t="shared" si="17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4"/>
        <v>0</v>
      </c>
      <c r="N199" s="39"/>
      <c r="O199" s="41"/>
      <c r="P199" s="69"/>
      <c r="Q199" s="39"/>
      <c r="R199" s="40"/>
      <c r="S199" s="39">
        <f t="shared" si="17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12</v>
      </c>
      <c r="M200" s="50">
        <f t="shared" si="14"/>
        <v>28819.85</v>
      </c>
      <c r="N200" s="65">
        <v>28819.85</v>
      </c>
      <c r="O200" s="225"/>
      <c r="P200" s="108">
        <v>11</v>
      </c>
      <c r="Q200" s="65">
        <v>24722.32</v>
      </c>
      <c r="R200" s="224">
        <v>10</v>
      </c>
      <c r="S200" s="50">
        <f t="shared" si="17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4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7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30</v>
      </c>
      <c r="I202" s="203">
        <v>26</v>
      </c>
      <c r="J202" s="203">
        <v>40</v>
      </c>
      <c r="K202" s="65">
        <v>70905.73</v>
      </c>
      <c r="L202" s="224">
        <v>36</v>
      </c>
      <c r="M202" s="50">
        <f t="shared" si="14"/>
        <v>64491.66</v>
      </c>
      <c r="N202" s="65">
        <v>64491.66</v>
      </c>
      <c r="O202" s="225"/>
      <c r="P202" s="108">
        <v>26</v>
      </c>
      <c r="Q202" s="65">
        <v>42356.26</v>
      </c>
      <c r="R202" s="224">
        <v>26</v>
      </c>
      <c r="S202" s="50">
        <f t="shared" si="17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7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4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7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16</v>
      </c>
      <c r="I204" s="62">
        <v>4</v>
      </c>
      <c r="J204" s="62">
        <v>7</v>
      </c>
      <c r="K204" s="30">
        <v>10074.370000000001</v>
      </c>
      <c r="L204" s="205">
        <v>7</v>
      </c>
      <c r="M204" s="26">
        <f t="shared" si="14"/>
        <v>10074.370000000001</v>
      </c>
      <c r="N204" s="30">
        <v>10074.370000000001</v>
      </c>
      <c r="O204" s="31"/>
      <c r="P204" s="53">
        <v>12</v>
      </c>
      <c r="Q204" s="30">
        <v>42909.61</v>
      </c>
      <c r="R204" s="205">
        <v>12</v>
      </c>
      <c r="S204" s="26">
        <f t="shared" si="17"/>
        <v>42909.61</v>
      </c>
      <c r="T204" s="30">
        <v>42909.61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8</v>
      </c>
      <c r="I205" s="37">
        <v>2</v>
      </c>
      <c r="J205" s="37">
        <v>2</v>
      </c>
      <c r="K205" s="68">
        <v>1103.8499999999999</v>
      </c>
      <c r="L205" s="40"/>
      <c r="M205" s="39">
        <f t="shared" si="14"/>
        <v>0</v>
      </c>
      <c r="N205" s="39"/>
      <c r="O205" s="41"/>
      <c r="P205" s="115">
        <v>1</v>
      </c>
      <c r="Q205" s="68">
        <v>0</v>
      </c>
      <c r="R205" s="40"/>
      <c r="S205" s="39">
        <f t="shared" si="17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4"/>
        <v>0</v>
      </c>
      <c r="N206" s="50"/>
      <c r="O206" s="31"/>
      <c r="P206" s="123"/>
      <c r="Q206" s="50"/>
      <c r="R206" s="51"/>
      <c r="S206" s="50">
        <f t="shared" si="17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4"/>
        <v>0</v>
      </c>
      <c r="N207" s="50"/>
      <c r="O207" s="45"/>
      <c r="P207" s="123"/>
      <c r="Q207" s="50"/>
      <c r="R207" s="51"/>
      <c r="S207" s="50">
        <f t="shared" si="17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4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7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4"/>
        <v>0</v>
      </c>
      <c r="N209" s="26"/>
      <c r="O209" s="31"/>
      <c r="P209" s="99"/>
      <c r="Q209" s="26"/>
      <c r="R209" s="27"/>
      <c r="S209" s="26">
        <f t="shared" si="17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130">
        <v>2</v>
      </c>
      <c r="J210" s="130">
        <v>2</v>
      </c>
      <c r="K210" s="114">
        <v>3813.3</v>
      </c>
      <c r="L210" s="270">
        <v>2</v>
      </c>
      <c r="M210" s="43">
        <f t="shared" si="14"/>
        <v>3813.3</v>
      </c>
      <c r="N210" s="43">
        <f>2007+1806.3</f>
        <v>3813.3</v>
      </c>
      <c r="O210" s="41"/>
      <c r="P210" s="113">
        <v>4</v>
      </c>
      <c r="Q210" s="114">
        <v>7395.85</v>
      </c>
      <c r="R210" s="270">
        <v>5</v>
      </c>
      <c r="S210" s="43">
        <f t="shared" si="17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4"/>
        <v>0</v>
      </c>
      <c r="N211" s="26"/>
      <c r="O211" s="31"/>
      <c r="P211" s="99"/>
      <c r="Q211" s="26"/>
      <c r="R211" s="27"/>
      <c r="S211" s="26">
        <f t="shared" si="17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4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4</v>
      </c>
      <c r="J213" s="231">
        <v>4</v>
      </c>
      <c r="K213" s="91">
        <v>5884.68</v>
      </c>
      <c r="L213" s="330">
        <v>1</v>
      </c>
      <c r="M213" s="26">
        <f t="shared" si="14"/>
        <v>301.05</v>
      </c>
      <c r="N213" s="91">
        <v>301.05</v>
      </c>
      <c r="O213" s="94"/>
      <c r="P213" s="329"/>
      <c r="Q213" s="91"/>
      <c r="R213" s="330"/>
      <c r="S213" s="26">
        <f t="shared" ref="S213:S229" si="18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9</v>
      </c>
      <c r="I214" s="37">
        <v>7</v>
      </c>
      <c r="J214" s="37">
        <v>7</v>
      </c>
      <c r="K214" s="68">
        <v>15554.25</v>
      </c>
      <c r="L214" s="285">
        <v>5</v>
      </c>
      <c r="M214" s="87">
        <f t="shared" si="14"/>
        <v>11540.25</v>
      </c>
      <c r="N214" s="39">
        <f>3211.2+2609.1+2609.1+2007+1103.85</f>
        <v>11540.25</v>
      </c>
      <c r="O214" s="41"/>
      <c r="P214" s="217"/>
      <c r="Q214" s="68"/>
      <c r="R214" s="285"/>
      <c r="S214" s="87">
        <f t="shared" si="18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4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8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4"/>
        <v>0</v>
      </c>
      <c r="N216" s="43"/>
      <c r="O216" s="45"/>
      <c r="P216" s="273"/>
      <c r="Q216" s="211"/>
      <c r="R216" s="210"/>
      <c r="S216" s="211">
        <f t="shared" si="18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4"/>
        <v>6502.43</v>
      </c>
      <c r="N217" s="30">
        <v>6502.43</v>
      </c>
      <c r="O217" s="308"/>
      <c r="P217" s="99"/>
      <c r="Q217" s="26"/>
      <c r="R217" s="27"/>
      <c r="S217" s="26">
        <f t="shared" si="18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6</v>
      </c>
      <c r="J218" s="37">
        <v>6</v>
      </c>
      <c r="K218" s="68">
        <v>14608.15</v>
      </c>
      <c r="L218" s="285">
        <v>5</v>
      </c>
      <c r="M218" s="39">
        <f t="shared" si="14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7</v>
      </c>
      <c r="S218" s="39">
        <f t="shared" si="18"/>
        <v>24543.769999999997</v>
      </c>
      <c r="T218" s="68">
        <f>4034.1+1152.6+2881.5+2497.3+1921+6638.37+5418.9</f>
        <v>24543.769999999997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4"/>
        <v>0</v>
      </c>
      <c r="N219" s="50"/>
      <c r="O219" s="31"/>
      <c r="P219" s="277"/>
      <c r="Q219" s="81"/>
      <c r="R219" s="80"/>
      <c r="S219" s="81">
        <f t="shared" si="18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3</v>
      </c>
      <c r="I220" s="130">
        <v>1</v>
      </c>
      <c r="J220" s="130">
        <v>1</v>
      </c>
      <c r="K220" s="114">
        <v>1404.9</v>
      </c>
      <c r="L220" s="270">
        <v>1</v>
      </c>
      <c r="M220" s="43">
        <f t="shared" si="14"/>
        <v>1404.9</v>
      </c>
      <c r="N220" s="43">
        <f>1404.9</f>
        <v>1404.9</v>
      </c>
      <c r="O220" s="41"/>
      <c r="P220" s="113">
        <v>1</v>
      </c>
      <c r="Q220" s="114">
        <v>3842</v>
      </c>
      <c r="R220" s="316">
        <v>1</v>
      </c>
      <c r="S220" s="50">
        <f t="shared" si="18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31</v>
      </c>
      <c r="I221" s="62">
        <v>28</v>
      </c>
      <c r="J221" s="62">
        <v>37</v>
      </c>
      <c r="K221" s="30">
        <v>77711.62</v>
      </c>
      <c r="L221" s="205">
        <v>37</v>
      </c>
      <c r="M221" s="26">
        <f t="shared" si="14"/>
        <v>77711.62</v>
      </c>
      <c r="N221" s="30">
        <v>77711.62</v>
      </c>
      <c r="O221" s="225"/>
      <c r="P221" s="53">
        <v>24</v>
      </c>
      <c r="Q221" s="30">
        <v>70420.100000000006</v>
      </c>
      <c r="R221" s="205">
        <v>24</v>
      </c>
      <c r="S221" s="26">
        <f t="shared" si="18"/>
        <v>70420.100000000006</v>
      </c>
      <c r="T221" s="30">
        <v>70420.100000000006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4"/>
        <v>0</v>
      </c>
      <c r="N222" s="39"/>
      <c r="O222" s="41"/>
      <c r="P222" s="59"/>
      <c r="Q222" s="39"/>
      <c r="R222" s="40"/>
      <c r="S222" s="39">
        <f t="shared" si="18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3</v>
      </c>
      <c r="J223" s="203">
        <v>3</v>
      </c>
      <c r="K223" s="65">
        <v>6059.73</v>
      </c>
      <c r="L223" s="224">
        <v>2</v>
      </c>
      <c r="M223" s="50">
        <f t="shared" si="14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8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5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4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3</v>
      </c>
      <c r="S224" s="39">
        <f t="shared" si="18"/>
        <v>12518</v>
      </c>
      <c r="T224" s="39">
        <f>3073.6+4226.2+5218.2</f>
        <v>12518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4"/>
        <v>0</v>
      </c>
      <c r="N225" s="91"/>
      <c r="O225" s="331"/>
      <c r="P225" s="329"/>
      <c r="Q225" s="91"/>
      <c r="R225" s="330"/>
      <c r="S225" s="142">
        <f t="shared" si="18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4"/>
        <v>0</v>
      </c>
      <c r="N226" s="209"/>
      <c r="O226" s="234"/>
      <c r="P226" s="262"/>
      <c r="Q226" s="209"/>
      <c r="R226" s="290"/>
      <c r="S226" s="87">
        <f t="shared" si="18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39</v>
      </c>
      <c r="I227" s="62">
        <v>25</v>
      </c>
      <c r="J227" s="62">
        <v>26</v>
      </c>
      <c r="K227" s="30">
        <v>22727.919999999998</v>
      </c>
      <c r="L227" s="205">
        <v>26</v>
      </c>
      <c r="M227" s="26">
        <f t="shared" si="14"/>
        <v>22727.919999999998</v>
      </c>
      <c r="N227" s="30">
        <v>22727.919999999998</v>
      </c>
      <c r="O227" s="269"/>
      <c r="P227" s="53">
        <v>30</v>
      </c>
      <c r="Q227" s="30">
        <v>80165.17</v>
      </c>
      <c r="R227" s="205">
        <v>29</v>
      </c>
      <c r="S227" s="26">
        <f t="shared" si="18"/>
        <v>80165.17</v>
      </c>
      <c r="T227" s="30">
        <v>80165.17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4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8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53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4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8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16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3</v>
      </c>
      <c r="Q230" s="68">
        <v>5845.65</v>
      </c>
      <c r="R230" s="285">
        <v>3</v>
      </c>
      <c r="S230" s="68">
        <v>5845.65</v>
      </c>
      <c r="T230" s="68">
        <v>5845.65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27</v>
      </c>
      <c r="I231" s="203">
        <v>20</v>
      </c>
      <c r="J231" s="203">
        <v>24</v>
      </c>
      <c r="K231" s="65">
        <v>48047.14</v>
      </c>
      <c r="L231" s="224">
        <v>20</v>
      </c>
      <c r="M231" s="50">
        <f>N231+O231</f>
        <v>35378.800000000003</v>
      </c>
      <c r="N231" s="65">
        <v>35378.800000000003</v>
      </c>
      <c r="O231" s="225"/>
      <c r="P231" s="108">
        <v>22</v>
      </c>
      <c r="Q231" s="65">
        <v>80070.350000000006</v>
      </c>
      <c r="R231" s="224">
        <v>20</v>
      </c>
      <c r="S231" s="50">
        <f>T231+U231</f>
        <v>72364.149999999994</v>
      </c>
      <c r="T231" s="65">
        <v>72364.149999999994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11</v>
      </c>
      <c r="I233" s="62">
        <v>5</v>
      </c>
      <c r="J233" s="62">
        <v>5</v>
      </c>
      <c r="K233" s="30">
        <v>8372.27</v>
      </c>
      <c r="L233" s="205">
        <v>5</v>
      </c>
      <c r="M233" s="26">
        <f t="shared" ref="M233:M259" si="19">N233+O233</f>
        <v>8372.27</v>
      </c>
      <c r="N233" s="30">
        <v>8372.27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20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9"/>
        <v>0</v>
      </c>
      <c r="N234" s="43"/>
      <c r="O234" s="41"/>
      <c r="P234" s="103"/>
      <c r="Q234" s="43"/>
      <c r="R234" s="44"/>
      <c r="S234" s="43">
        <f t="shared" si="20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8</v>
      </c>
      <c r="J235" s="62">
        <v>10</v>
      </c>
      <c r="K235" s="30">
        <v>14011.64</v>
      </c>
      <c r="L235" s="205">
        <v>10</v>
      </c>
      <c r="M235" s="26">
        <f t="shared" si="19"/>
        <v>14011.64</v>
      </c>
      <c r="N235" s="30">
        <v>14011.64</v>
      </c>
      <c r="O235" s="31"/>
      <c r="P235" s="29">
        <v>1</v>
      </c>
      <c r="Q235" s="30">
        <v>2466.56</v>
      </c>
      <c r="R235" s="205">
        <v>1</v>
      </c>
      <c r="S235" s="26">
        <f t="shared" si="20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9"/>
        <v>0</v>
      </c>
      <c r="N236" s="39"/>
      <c r="O236" s="41"/>
      <c r="P236" s="69"/>
      <c r="Q236" s="39"/>
      <c r="R236" s="40"/>
      <c r="S236" s="39">
        <f t="shared" si="20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9"/>
        <v>0</v>
      </c>
      <c r="N237" s="81"/>
      <c r="O237" s="82"/>
      <c r="P237" s="295"/>
      <c r="Q237" s="81"/>
      <c r="R237" s="80"/>
      <c r="S237" s="142">
        <f t="shared" si="20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9"/>
        <v>0</v>
      </c>
      <c r="N238" s="211"/>
      <c r="O238" s="212"/>
      <c r="P238" s="284"/>
      <c r="Q238" s="211"/>
      <c r="R238" s="210"/>
      <c r="S238" s="39">
        <f t="shared" si="20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9"/>
        <v>0</v>
      </c>
      <c r="N239" s="26"/>
      <c r="O239" s="28"/>
      <c r="P239" s="29">
        <v>4</v>
      </c>
      <c r="Q239" s="30">
        <v>0</v>
      </c>
      <c r="R239" s="27"/>
      <c r="S239" s="26">
        <f t="shared" si="20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9"/>
        <v>0</v>
      </c>
      <c r="N240" s="211"/>
      <c r="O240" s="212"/>
      <c r="P240" s="284"/>
      <c r="Q240" s="211"/>
      <c r="R240" s="210"/>
      <c r="S240" s="211">
        <f t="shared" si="20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25</v>
      </c>
      <c r="I241" s="62">
        <v>17</v>
      </c>
      <c r="J241" s="62">
        <v>20</v>
      </c>
      <c r="K241" s="30">
        <v>39143.040000000001</v>
      </c>
      <c r="L241" s="205">
        <v>17</v>
      </c>
      <c r="M241" s="26">
        <f t="shared" si="19"/>
        <v>31536.51</v>
      </c>
      <c r="N241" s="30">
        <v>31536.51</v>
      </c>
      <c r="O241" s="28"/>
      <c r="P241" s="214"/>
      <c r="Q241" s="30"/>
      <c r="R241" s="205"/>
      <c r="S241" s="26">
        <f t="shared" si="20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6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9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20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20</v>
      </c>
      <c r="I243" s="266">
        <v>11</v>
      </c>
      <c r="J243" s="266">
        <v>12</v>
      </c>
      <c r="K243" s="79">
        <v>21720.67</v>
      </c>
      <c r="L243" s="268">
        <v>11</v>
      </c>
      <c r="M243" s="81">
        <f t="shared" si="19"/>
        <v>18573.689999999999</v>
      </c>
      <c r="N243" s="79">
        <v>18573.689999999999</v>
      </c>
      <c r="O243" s="219"/>
      <c r="P243" s="267">
        <v>17</v>
      </c>
      <c r="Q243" s="79">
        <v>74693.53</v>
      </c>
      <c r="R243" s="268">
        <v>16</v>
      </c>
      <c r="S243" s="26">
        <f t="shared" si="20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9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20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19</v>
      </c>
      <c r="I245" s="62">
        <v>19</v>
      </c>
      <c r="J245" s="62">
        <v>21</v>
      </c>
      <c r="K245" s="30">
        <v>30857.77</v>
      </c>
      <c r="L245" s="205">
        <v>20</v>
      </c>
      <c r="M245" s="26">
        <f t="shared" si="19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13</v>
      </c>
      <c r="S245" s="26">
        <f t="shared" si="20"/>
        <v>80512.5</v>
      </c>
      <c r="T245" s="30">
        <v>80512.5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9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20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9"/>
        <v>0</v>
      </c>
      <c r="N247" s="79"/>
      <c r="O247" s="82"/>
      <c r="P247" s="267"/>
      <c r="Q247" s="79"/>
      <c r="R247" s="268"/>
      <c r="S247" s="142">
        <f t="shared" si="20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7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9"/>
        <v>1324.62</v>
      </c>
      <c r="N248" s="339">
        <v>1324.62</v>
      </c>
      <c r="O248" s="89"/>
      <c r="P248" s="357"/>
      <c r="Q248" s="339"/>
      <c r="R248" s="340"/>
      <c r="S248" s="39">
        <f t="shared" si="20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19</v>
      </c>
      <c r="I249" s="266">
        <v>12</v>
      </c>
      <c r="J249" s="266">
        <v>15</v>
      </c>
      <c r="K249" s="79">
        <v>18099.43</v>
      </c>
      <c r="L249" s="268">
        <v>15</v>
      </c>
      <c r="M249" s="81">
        <f t="shared" si="19"/>
        <v>18099.43</v>
      </c>
      <c r="N249" s="79">
        <v>18099.43</v>
      </c>
      <c r="O249" s="219"/>
      <c r="P249" s="267">
        <v>14</v>
      </c>
      <c r="Q249" s="79">
        <v>53584.26</v>
      </c>
      <c r="R249" s="268">
        <v>14</v>
      </c>
      <c r="S249" s="81">
        <f t="shared" si="20"/>
        <v>53584.26</v>
      </c>
      <c r="T249" s="79">
        <v>53584.26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10</v>
      </c>
      <c r="I250" s="208">
        <v>6</v>
      </c>
      <c r="J250" s="208">
        <v>6</v>
      </c>
      <c r="K250" s="209">
        <v>13108.6</v>
      </c>
      <c r="L250" s="290">
        <v>5</v>
      </c>
      <c r="M250" s="211">
        <f t="shared" si="19"/>
        <v>11101.599999999999</v>
      </c>
      <c r="N250" s="211">
        <f>1806.3+3073.6+2408.4+2408.4+1404.9</f>
        <v>11101.599999999999</v>
      </c>
      <c r="O250" s="212"/>
      <c r="P250" s="262">
        <v>3</v>
      </c>
      <c r="Q250" s="209">
        <v>7185.1</v>
      </c>
      <c r="R250" s="290">
        <v>2</v>
      </c>
      <c r="S250" s="211">
        <f t="shared" si="20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17</v>
      </c>
      <c r="I251" s="62">
        <v>9</v>
      </c>
      <c r="J251" s="62">
        <v>14</v>
      </c>
      <c r="K251" s="30">
        <v>17695.5</v>
      </c>
      <c r="L251" s="205">
        <v>13</v>
      </c>
      <c r="M251" s="26">
        <f t="shared" si="19"/>
        <v>16702.03</v>
      </c>
      <c r="N251" s="30">
        <v>16702.03</v>
      </c>
      <c r="O251" s="28"/>
      <c r="P251" s="275"/>
      <c r="Q251" s="26"/>
      <c r="R251" s="27"/>
      <c r="S251" s="26">
        <f t="shared" si="20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9"/>
        <v>0</v>
      </c>
      <c r="N252" s="39"/>
      <c r="O252" s="41"/>
      <c r="P252" s="276"/>
      <c r="Q252" s="39"/>
      <c r="R252" s="40"/>
      <c r="S252" s="39">
        <f t="shared" si="20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4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9"/>
        <v>3158.6</v>
      </c>
      <c r="N253" s="79">
        <v>3158.6</v>
      </c>
      <c r="O253" s="219"/>
      <c r="P253" s="277"/>
      <c r="Q253" s="81"/>
      <c r="R253" s="80"/>
      <c r="S253" s="81">
        <f t="shared" si="20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7</v>
      </c>
      <c r="I254" s="130">
        <v>4</v>
      </c>
      <c r="J254" s="130">
        <v>4</v>
      </c>
      <c r="K254" s="114">
        <v>10482.120000000001</v>
      </c>
      <c r="L254" s="270">
        <v>3</v>
      </c>
      <c r="M254" s="43">
        <f t="shared" si="19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20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9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20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7</v>
      </c>
      <c r="I256" s="130">
        <v>1</v>
      </c>
      <c r="J256" s="130">
        <v>1</v>
      </c>
      <c r="K256" s="114">
        <v>2007</v>
      </c>
      <c r="L256" s="44"/>
      <c r="M256" s="43">
        <f t="shared" si="19"/>
        <v>0</v>
      </c>
      <c r="N256" s="43"/>
      <c r="O256" s="41"/>
      <c r="P256" s="113">
        <v>5</v>
      </c>
      <c r="Q256" s="114">
        <v>25755.33</v>
      </c>
      <c r="R256" s="270">
        <v>3</v>
      </c>
      <c r="S256" s="43">
        <f t="shared" si="20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18</v>
      </c>
      <c r="I257" s="62">
        <v>11</v>
      </c>
      <c r="J257" s="62">
        <v>16</v>
      </c>
      <c r="K257" s="30">
        <v>30927.33</v>
      </c>
      <c r="L257" s="205">
        <v>16</v>
      </c>
      <c r="M257" s="26">
        <f t="shared" si="19"/>
        <v>30927.33</v>
      </c>
      <c r="N257" s="30">
        <v>30927.33</v>
      </c>
      <c r="O257" s="31"/>
      <c r="P257" s="53">
        <v>15</v>
      </c>
      <c r="Q257" s="30">
        <v>46212.56</v>
      </c>
      <c r="R257" s="205">
        <v>15</v>
      </c>
      <c r="S257" s="26">
        <f t="shared" si="20"/>
        <v>46212.56</v>
      </c>
      <c r="T257" s="30">
        <v>46212.56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14</v>
      </c>
      <c r="I258" s="37">
        <v>4</v>
      </c>
      <c r="J258" s="37">
        <v>4</v>
      </c>
      <c r="K258" s="68">
        <v>6622.6</v>
      </c>
      <c r="L258" s="285">
        <v>1</v>
      </c>
      <c r="M258" s="39">
        <f t="shared" si="19"/>
        <v>3010.5</v>
      </c>
      <c r="N258" s="39">
        <f>3010.5</f>
        <v>3010.5</v>
      </c>
      <c r="O258" s="41"/>
      <c r="P258" s="59"/>
      <c r="Q258" s="39"/>
      <c r="R258" s="40"/>
      <c r="S258" s="39">
        <f t="shared" si="20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18</v>
      </c>
      <c r="I259" s="203">
        <v>16</v>
      </c>
      <c r="J259" s="203">
        <v>22</v>
      </c>
      <c r="K259" s="65">
        <v>40401.5</v>
      </c>
      <c r="L259" s="224">
        <v>22</v>
      </c>
      <c r="M259" s="50">
        <f t="shared" si="19"/>
        <v>40401.5</v>
      </c>
      <c r="N259" s="65">
        <v>40401.5</v>
      </c>
      <c r="O259" s="225"/>
      <c r="P259" s="108">
        <v>20</v>
      </c>
      <c r="Q259" s="65">
        <v>57368.51</v>
      </c>
      <c r="R259" s="224">
        <v>20</v>
      </c>
      <c r="S259" s="50">
        <f t="shared" si="20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5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1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2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1"/>
        <v>0</v>
      </c>
      <c r="N262" s="43"/>
      <c r="O262" s="41"/>
      <c r="P262" s="113"/>
      <c r="Q262" s="114"/>
      <c r="R262" s="44"/>
      <c r="S262" s="43">
        <f t="shared" si="22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4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1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2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1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2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14</v>
      </c>
      <c r="J265" s="62">
        <v>18</v>
      </c>
      <c r="K265" s="30">
        <v>38219.47</v>
      </c>
      <c r="L265" s="205">
        <v>18</v>
      </c>
      <c r="M265" s="26">
        <f t="shared" si="21"/>
        <v>38219.47</v>
      </c>
      <c r="N265" s="30">
        <v>38219.47</v>
      </c>
      <c r="O265" s="241"/>
      <c r="P265" s="29">
        <v>3</v>
      </c>
      <c r="Q265" s="30">
        <v>23366.85</v>
      </c>
      <c r="R265" s="205">
        <v>3</v>
      </c>
      <c r="S265" s="26">
        <f t="shared" si="22"/>
        <v>23366.85</v>
      </c>
      <c r="T265" s="30">
        <v>23366.85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5</v>
      </c>
      <c r="I266" s="37">
        <v>2</v>
      </c>
      <c r="J266" s="37">
        <v>2</v>
      </c>
      <c r="K266" s="68">
        <v>5456.32</v>
      </c>
      <c r="L266" s="285">
        <v>2</v>
      </c>
      <c r="M266" s="39">
        <f t="shared" si="21"/>
        <v>5453.32</v>
      </c>
      <c r="N266" s="39">
        <f>1921+3532.32</f>
        <v>5453.32</v>
      </c>
      <c r="O266" s="41"/>
      <c r="P266" s="69"/>
      <c r="Q266" s="39"/>
      <c r="R266" s="40"/>
      <c r="S266" s="39">
        <f t="shared" si="22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1"/>
        <v>0</v>
      </c>
      <c r="N267" s="50"/>
      <c r="O267" s="31"/>
      <c r="P267" s="123"/>
      <c r="Q267" s="50"/>
      <c r="R267" s="51"/>
      <c r="S267" s="50">
        <f t="shared" si="22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1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2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24</v>
      </c>
      <c r="I269" s="62">
        <v>22</v>
      </c>
      <c r="J269" s="62">
        <v>27</v>
      </c>
      <c r="K269" s="30">
        <v>41646.25</v>
      </c>
      <c r="L269" s="205">
        <v>23</v>
      </c>
      <c r="M269" s="26">
        <f t="shared" si="21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2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1"/>
        <v>1728.9</v>
      </c>
      <c r="N270" s="39">
        <f>1728.9</f>
        <v>1728.9</v>
      </c>
      <c r="O270" s="41"/>
      <c r="P270" s="42"/>
      <c r="Q270" s="43"/>
      <c r="R270" s="44"/>
      <c r="S270" s="43">
        <f t="shared" si="22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1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2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>
        <v>1</v>
      </c>
      <c r="J272" s="37">
        <v>1</v>
      </c>
      <c r="K272" s="68">
        <v>602.1</v>
      </c>
      <c r="L272" s="44"/>
      <c r="M272" s="43">
        <f t="shared" si="21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2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>
        <v>1</v>
      </c>
      <c r="M273" s="26">
        <f t="shared" si="21"/>
        <v>2185.62</v>
      </c>
      <c r="N273" s="30">
        <v>2185.62</v>
      </c>
      <c r="O273" s="31"/>
      <c r="P273" s="64">
        <v>7</v>
      </c>
      <c r="Q273" s="65">
        <v>46859.35</v>
      </c>
      <c r="R273" s="224">
        <v>7</v>
      </c>
      <c r="S273" s="50">
        <f t="shared" si="22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10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1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2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1"/>
        <v>0</v>
      </c>
      <c r="N275" s="26"/>
      <c r="O275" s="28"/>
      <c r="P275" s="120"/>
      <c r="Q275" s="26"/>
      <c r="R275" s="27"/>
      <c r="S275" s="26">
        <f t="shared" si="22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10</v>
      </c>
      <c r="I276" s="37">
        <v>4</v>
      </c>
      <c r="J276" s="37">
        <v>4</v>
      </c>
      <c r="K276" s="68">
        <v>9834.2999999999993</v>
      </c>
      <c r="L276" s="285">
        <v>5</v>
      </c>
      <c r="M276" s="39">
        <f t="shared" si="21"/>
        <v>12042</v>
      </c>
      <c r="N276" s="39">
        <f>1806.3+3211.2+2007+1806.3+3211.2</f>
        <v>12042</v>
      </c>
      <c r="O276" s="41"/>
      <c r="P276" s="67">
        <v>4</v>
      </c>
      <c r="Q276" s="68">
        <v>11282.42</v>
      </c>
      <c r="R276" s="285">
        <v>4</v>
      </c>
      <c r="S276" s="39">
        <f t="shared" si="22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1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2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1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2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13</v>
      </c>
      <c r="I279" s="62">
        <v>10</v>
      </c>
      <c r="J279" s="62">
        <v>12</v>
      </c>
      <c r="K279" s="30">
        <v>14515.85</v>
      </c>
      <c r="L279" s="205">
        <v>11</v>
      </c>
      <c r="M279" s="26">
        <f t="shared" si="21"/>
        <v>11134.89</v>
      </c>
      <c r="N279" s="30">
        <v>11134.89</v>
      </c>
      <c r="O279" s="31"/>
      <c r="P279" s="53">
        <v>15</v>
      </c>
      <c r="Q279" s="30">
        <v>53553.03</v>
      </c>
      <c r="R279" s="205">
        <v>15</v>
      </c>
      <c r="S279" s="26">
        <f t="shared" si="22"/>
        <v>53553.03</v>
      </c>
      <c r="T279" s="30">
        <v>53553.03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1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2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1"/>
        <v>0</v>
      </c>
      <c r="N281" s="50"/>
      <c r="O281" s="31"/>
      <c r="P281" s="123"/>
      <c r="Q281" s="50"/>
      <c r="R281" s="51"/>
      <c r="S281" s="50">
        <f t="shared" si="22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1"/>
        <v>0</v>
      </c>
      <c r="N282" s="43"/>
      <c r="O282" s="41"/>
      <c r="P282" s="103"/>
      <c r="Q282" s="43"/>
      <c r="R282" s="44"/>
      <c r="S282" s="43">
        <f t="shared" si="22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1"/>
        <v>9017.57</v>
      </c>
      <c r="N283" s="30">
        <v>9017.57</v>
      </c>
      <c r="O283" s="31"/>
      <c r="P283" s="29">
        <v>7</v>
      </c>
      <c r="Q283" s="30">
        <v>28873.11</v>
      </c>
      <c r="R283" s="205">
        <v>6</v>
      </c>
      <c r="S283" s="26">
        <f t="shared" si="22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1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2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1"/>
        <v>0</v>
      </c>
      <c r="N285" s="26"/>
      <c r="O285" s="241"/>
      <c r="P285" s="214"/>
      <c r="Q285" s="30"/>
      <c r="R285" s="205"/>
      <c r="S285" s="26">
        <f t="shared" si="22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1"/>
        <v>0</v>
      </c>
      <c r="N286" s="39"/>
      <c r="O286" s="234"/>
      <c r="P286" s="217"/>
      <c r="Q286" s="68"/>
      <c r="R286" s="285"/>
      <c r="S286" s="39">
        <f t="shared" si="22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22</v>
      </c>
      <c r="I287" s="266">
        <v>20</v>
      </c>
      <c r="J287" s="266">
        <v>31</v>
      </c>
      <c r="K287" s="79">
        <v>46679.24</v>
      </c>
      <c r="L287" s="268">
        <v>31</v>
      </c>
      <c r="M287" s="81">
        <f t="shared" si="21"/>
        <v>46679.24</v>
      </c>
      <c r="N287" s="79">
        <v>46679.24</v>
      </c>
      <c r="O287" s="313"/>
      <c r="P287" s="267">
        <v>2</v>
      </c>
      <c r="Q287" s="79">
        <v>4356.83</v>
      </c>
      <c r="R287" s="268">
        <v>2</v>
      </c>
      <c r="S287" s="81">
        <f t="shared" si="22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5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3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4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5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3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4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3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3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4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3"/>
        <v>0</v>
      </c>
      <c r="N292" s="39"/>
      <c r="O292" s="41"/>
      <c r="P292" s="69"/>
      <c r="Q292" s="39"/>
      <c r="R292" s="40"/>
      <c r="S292" s="39">
        <f t="shared" si="24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8</v>
      </c>
      <c r="J293" s="203">
        <v>9</v>
      </c>
      <c r="K293" s="65">
        <v>11474.19</v>
      </c>
      <c r="L293" s="224">
        <v>8</v>
      </c>
      <c r="M293" s="50">
        <f t="shared" si="23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4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3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5">SUM(H9:H294)</f>
        <v>2132</v>
      </c>
      <c r="I295" s="183">
        <f t="shared" si="25"/>
        <v>1368</v>
      </c>
      <c r="J295" s="183">
        <f t="shared" si="25"/>
        <v>1720</v>
      </c>
      <c r="K295" s="184">
        <f t="shared" si="25"/>
        <v>3238904.8500000015</v>
      </c>
      <c r="L295" s="185">
        <f t="shared" si="25"/>
        <v>1602</v>
      </c>
      <c r="M295" s="184">
        <f t="shared" si="25"/>
        <v>2963182.5599999996</v>
      </c>
      <c r="N295" s="184">
        <f t="shared" si="25"/>
        <v>2964386.76</v>
      </c>
      <c r="O295" s="186">
        <f t="shared" si="25"/>
        <v>0</v>
      </c>
      <c r="P295" s="187">
        <f t="shared" si="25"/>
        <v>1435</v>
      </c>
      <c r="Q295" s="188">
        <f t="shared" si="25"/>
        <v>5154064.0699999994</v>
      </c>
      <c r="R295" s="185">
        <f t="shared" si="25"/>
        <v>1371</v>
      </c>
      <c r="S295" s="188">
        <f t="shared" si="25"/>
        <v>5001019.5999999996</v>
      </c>
      <c r="T295" s="188">
        <f t="shared" si="25"/>
        <v>5001019.5999999996</v>
      </c>
      <c r="U295" s="189">
        <f t="shared" si="25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6">SUMIF($G$9:$G$294,$F$301,H9:H294)</f>
        <v>1565</v>
      </c>
      <c r="H301" s="193">
        <f t="shared" si="26"/>
        <v>1127</v>
      </c>
      <c r="I301" s="193">
        <f t="shared" si="26"/>
        <v>1478</v>
      </c>
      <c r="J301" s="194">
        <f t="shared" ref="J301:J303" si="27">SUMIF($G$9:$G$294,F301,$K$9:$K$294)</f>
        <v>2756563.1300000018</v>
      </c>
      <c r="K301" s="195">
        <f t="shared" ref="K301:K303" si="28">SUMIF($G$9:$G$294,F301,$L$9:$L$294)</f>
        <v>1379</v>
      </c>
      <c r="L301" s="194">
        <f t="shared" ref="L301:L303" si="29">SUMIF($G$9:$G$294,F301,$M$9:$M$294)</f>
        <v>2525839.5200000005</v>
      </c>
      <c r="M301" s="194">
        <f t="shared" ref="M301:O301" si="30">SUMIF($G$9:$G$294,$F$301,N9:N294)</f>
        <v>2525839.5200000005</v>
      </c>
      <c r="N301" s="194">
        <f t="shared" si="30"/>
        <v>0</v>
      </c>
      <c r="O301" s="193">
        <f t="shared" si="30"/>
        <v>1136</v>
      </c>
      <c r="P301" s="194">
        <f t="shared" ref="P301:P303" si="31">SUMIF($G$9:$G$294,F301,$Q$9:$Q$294)</f>
        <v>4128684.3899999987</v>
      </c>
      <c r="Q301" s="195">
        <f t="shared" ref="Q301:Q303" si="32">SUMIF($G$9:$G$294,F301,$R$9:$R$294)</f>
        <v>1071</v>
      </c>
      <c r="R301" s="194">
        <f t="shared" ref="R301:R303" si="33">SUMIF($G$9:$G$294,F301,$S$9:$S$294)</f>
        <v>3999566.6299999994</v>
      </c>
      <c r="S301" s="194">
        <f t="shared" ref="S301:T301" si="34">SUMIF($G$9:$G$294,$F$301,T9:T294)</f>
        <v>3999566.6299999994</v>
      </c>
      <c r="T301" s="194">
        <f t="shared" si="34"/>
        <v>0</v>
      </c>
      <c r="U301" s="194">
        <f t="shared" ref="U301:U303" si="35">S301+M301</f>
        <v>6525406.1500000004</v>
      </c>
      <c r="V301" s="196">
        <f t="shared" ref="V301:V303" si="36">J301-M301+P301-S301</f>
        <v>359841.37000000058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7">SUMIF($G$9:$G$294,$F$302,H9:H294)</f>
        <v>470</v>
      </c>
      <c r="H302" s="193">
        <f t="shared" si="37"/>
        <v>196</v>
      </c>
      <c r="I302" s="193">
        <f t="shared" si="37"/>
        <v>197</v>
      </c>
      <c r="J302" s="194">
        <f t="shared" si="27"/>
        <v>406451.52999999985</v>
      </c>
      <c r="K302" s="195">
        <f t="shared" si="28"/>
        <v>178</v>
      </c>
      <c r="L302" s="194">
        <f t="shared" si="29"/>
        <v>361452.85000000003</v>
      </c>
      <c r="M302" s="194">
        <f t="shared" ref="M302:O302" si="38">SUMIF($G$9:$G$294,$F$302,N9:N294)</f>
        <v>362657.05000000005</v>
      </c>
      <c r="N302" s="194">
        <f t="shared" si="38"/>
        <v>0</v>
      </c>
      <c r="O302" s="193">
        <f t="shared" si="38"/>
        <v>232</v>
      </c>
      <c r="P302" s="194">
        <f t="shared" si="31"/>
        <v>769189.5299999998</v>
      </c>
      <c r="Q302" s="195">
        <f t="shared" si="32"/>
        <v>236</v>
      </c>
      <c r="R302" s="194">
        <f t="shared" si="33"/>
        <v>746868.42000000039</v>
      </c>
      <c r="S302" s="194">
        <f t="shared" ref="S302:T302" si="39">SUMIF($G$9:$G$294,$F$302,T9:T294)</f>
        <v>746868.42000000039</v>
      </c>
      <c r="T302" s="194">
        <f t="shared" si="39"/>
        <v>0</v>
      </c>
      <c r="U302" s="194">
        <f t="shared" si="35"/>
        <v>1109525.4700000004</v>
      </c>
      <c r="V302" s="196">
        <f t="shared" si="36"/>
        <v>66115.589999999152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40">SUMIF($G$9:$G$294,$F$303,H9:H294)</f>
        <v>97</v>
      </c>
      <c r="H303" s="193">
        <f t="shared" si="40"/>
        <v>45</v>
      </c>
      <c r="I303" s="193">
        <f t="shared" si="40"/>
        <v>45</v>
      </c>
      <c r="J303" s="194">
        <f t="shared" si="27"/>
        <v>75890.189999999988</v>
      </c>
      <c r="K303" s="195">
        <f t="shared" si="28"/>
        <v>45</v>
      </c>
      <c r="L303" s="194">
        <f t="shared" si="29"/>
        <v>75890.189999999988</v>
      </c>
      <c r="M303" s="194">
        <f t="shared" ref="M303:O303" si="41">SUMIF($G$9:$G$294,$F$303,N9:N294)</f>
        <v>75890.189999999988</v>
      </c>
      <c r="N303" s="194">
        <f t="shared" si="41"/>
        <v>0</v>
      </c>
      <c r="O303" s="193">
        <f t="shared" si="41"/>
        <v>67</v>
      </c>
      <c r="P303" s="194">
        <f t="shared" si="31"/>
        <v>256190.15</v>
      </c>
      <c r="Q303" s="195">
        <f t="shared" si="32"/>
        <v>64</v>
      </c>
      <c r="R303" s="194">
        <f t="shared" si="33"/>
        <v>254584.55</v>
      </c>
      <c r="S303" s="194">
        <f t="shared" ref="S303:T303" si="42">SUMIF($G$9:$G$294,$F$303,T9:T294)</f>
        <v>254584.55</v>
      </c>
      <c r="T303" s="194">
        <f t="shared" si="42"/>
        <v>0</v>
      </c>
      <c r="U303" s="194">
        <f t="shared" si="35"/>
        <v>330474.74</v>
      </c>
      <c r="V303" s="196">
        <f t="shared" si="36"/>
        <v>1605.6000000000058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3">G303+G302+G301</f>
        <v>2132</v>
      </c>
      <c r="H304" s="197">
        <f t="shared" si="43"/>
        <v>1368</v>
      </c>
      <c r="I304" s="197">
        <f t="shared" si="43"/>
        <v>1720</v>
      </c>
      <c r="J304" s="198">
        <f t="shared" si="43"/>
        <v>3238904.8500000015</v>
      </c>
      <c r="K304" s="199">
        <f t="shared" si="43"/>
        <v>1602</v>
      </c>
      <c r="L304" s="198">
        <f t="shared" si="43"/>
        <v>2963182.5600000005</v>
      </c>
      <c r="M304" s="198">
        <f t="shared" si="43"/>
        <v>2964386.7600000007</v>
      </c>
      <c r="N304" s="198">
        <f t="shared" si="43"/>
        <v>0</v>
      </c>
      <c r="O304" s="197">
        <f t="shared" si="43"/>
        <v>1435</v>
      </c>
      <c r="P304" s="198">
        <f t="shared" si="43"/>
        <v>5154064.0699999984</v>
      </c>
      <c r="Q304" s="200">
        <f t="shared" si="43"/>
        <v>1371</v>
      </c>
      <c r="R304" s="198">
        <f t="shared" si="43"/>
        <v>5001019.5999999996</v>
      </c>
      <c r="S304" s="198">
        <f t="shared" si="43"/>
        <v>5001019.5999999996</v>
      </c>
      <c r="T304" s="198">
        <f t="shared" si="43"/>
        <v>0</v>
      </c>
      <c r="U304" s="198">
        <f t="shared" si="43"/>
        <v>7965406.3600000013</v>
      </c>
      <c r="V304" s="198">
        <f t="shared" si="43"/>
        <v>427562.55999999971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3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16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23</v>
      </c>
      <c r="K13" s="79">
        <v>67249.789999999994</v>
      </c>
      <c r="L13" s="268">
        <v>21</v>
      </c>
      <c r="M13" s="81">
        <f t="shared" si="0"/>
        <v>59450.59</v>
      </c>
      <c r="N13" s="79">
        <v>59450.59</v>
      </c>
      <c r="O13" s="97"/>
      <c r="P13" s="267">
        <v>15</v>
      </c>
      <c r="Q13" s="79">
        <v>116855.85</v>
      </c>
      <c r="R13" s="268">
        <v>14</v>
      </c>
      <c r="S13" s="81">
        <f t="shared" si="1"/>
        <v>87821.82</v>
      </c>
      <c r="T13" s="79">
        <v>87821.82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6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28</v>
      </c>
      <c r="J15" s="62">
        <v>49</v>
      </c>
      <c r="K15" s="30">
        <v>124035.82</v>
      </c>
      <c r="L15" s="205">
        <v>42</v>
      </c>
      <c r="M15" s="26">
        <f t="shared" si="0"/>
        <v>101976.28</v>
      </c>
      <c r="N15" s="30">
        <v>101976.28</v>
      </c>
      <c r="O15" s="299"/>
      <c r="P15" s="64">
        <v>19</v>
      </c>
      <c r="Q15" s="65">
        <v>83414.600000000006</v>
      </c>
      <c r="R15" s="224">
        <v>19</v>
      </c>
      <c r="S15" s="50">
        <f t="shared" si="1"/>
        <v>83414.600000000006</v>
      </c>
      <c r="T15" s="65">
        <v>83414.600000000006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6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9</v>
      </c>
      <c r="Q18" s="209">
        <v>42612.91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16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12</v>
      </c>
      <c r="I21" s="266">
        <v>11</v>
      </c>
      <c r="J21" s="266">
        <v>17</v>
      </c>
      <c r="K21" s="79">
        <v>32485.85</v>
      </c>
      <c r="L21" s="268">
        <v>14</v>
      </c>
      <c r="M21" s="81">
        <f t="shared" si="0"/>
        <v>22307.65</v>
      </c>
      <c r="N21" s="79">
        <v>22307.65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22</v>
      </c>
      <c r="I23" s="203">
        <v>18</v>
      </c>
      <c r="J23" s="203">
        <v>30</v>
      </c>
      <c r="K23" s="65">
        <v>44901.9</v>
      </c>
      <c r="L23" s="224">
        <v>30</v>
      </c>
      <c r="M23" s="50">
        <f t="shared" si="0"/>
        <v>44901.9</v>
      </c>
      <c r="N23" s="65">
        <v>44901.9</v>
      </c>
      <c r="O23" s="225"/>
      <c r="P23" s="53">
        <v>17</v>
      </c>
      <c r="Q23" s="30">
        <v>35092</v>
      </c>
      <c r="R23" s="205">
        <v>16</v>
      </c>
      <c r="S23" s="26">
        <f t="shared" si="1"/>
        <v>35092</v>
      </c>
      <c r="T23" s="30">
        <v>35092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2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18</v>
      </c>
      <c r="I25" s="62">
        <v>14</v>
      </c>
      <c r="J25" s="62">
        <v>14</v>
      </c>
      <c r="K25" s="62">
        <v>11538.89</v>
      </c>
      <c r="L25" s="205">
        <v>13</v>
      </c>
      <c r="M25" s="26">
        <f t="shared" si="0"/>
        <v>10081.81</v>
      </c>
      <c r="N25" s="30">
        <v>10081.81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5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15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7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11</v>
      </c>
      <c r="Q28" s="68">
        <v>47836.3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4</v>
      </c>
      <c r="S29" s="26">
        <f t="shared" si="1"/>
        <v>14213.86</v>
      </c>
      <c r="T29" s="30">
        <v>14213.86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7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15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6</v>
      </c>
      <c r="J34" s="130">
        <v>6</v>
      </c>
      <c r="K34" s="114">
        <v>15654.7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9</v>
      </c>
      <c r="M37" s="50">
        <f t="shared" si="2"/>
        <v>8715.08</v>
      </c>
      <c r="N37" s="65">
        <v>8715.08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6</v>
      </c>
      <c r="I43" s="62">
        <v>4</v>
      </c>
      <c r="J43" s="62">
        <v>6</v>
      </c>
      <c r="K43" s="30">
        <v>19565.71</v>
      </c>
      <c r="L43" s="205">
        <v>4</v>
      </c>
      <c r="M43" s="26">
        <f t="shared" si="2"/>
        <v>9894.3700000000008</v>
      </c>
      <c r="N43" s="30">
        <v>9894.3700000000008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19</v>
      </c>
      <c r="J45" s="266">
        <v>24</v>
      </c>
      <c r="K45" s="79">
        <v>39175.68</v>
      </c>
      <c r="L45" s="268">
        <v>20</v>
      </c>
      <c r="M45" s="81">
        <f t="shared" si="2"/>
        <v>33657.33</v>
      </c>
      <c r="N45" s="79">
        <v>33657.33</v>
      </c>
      <c r="O45" s="314"/>
      <c r="P45" s="53">
        <v>20</v>
      </c>
      <c r="Q45" s="30">
        <v>79577.89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27</v>
      </c>
      <c r="I47" s="62">
        <v>12</v>
      </c>
      <c r="J47" s="62">
        <v>15</v>
      </c>
      <c r="K47" s="30">
        <v>26748.73</v>
      </c>
      <c r="L47" s="205">
        <v>14</v>
      </c>
      <c r="M47" s="26">
        <f t="shared" si="2"/>
        <v>22253.33</v>
      </c>
      <c r="N47" s="30">
        <v>22253.33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7</v>
      </c>
      <c r="J50" s="266">
        <v>9</v>
      </c>
      <c r="K50" s="79">
        <v>14889.74</v>
      </c>
      <c r="L50" s="268">
        <v>6</v>
      </c>
      <c r="M50" s="81">
        <f t="shared" si="2"/>
        <v>9733.15</v>
      </c>
      <c r="N50" s="79">
        <v>9733.15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2</v>
      </c>
      <c r="J53" s="338">
        <v>2</v>
      </c>
      <c r="K53" s="339">
        <v>2634.9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5</v>
      </c>
      <c r="I56" s="266">
        <v>3</v>
      </c>
      <c r="J56" s="266">
        <v>3</v>
      </c>
      <c r="K56" s="79">
        <v>4884</v>
      </c>
      <c r="L56" s="268">
        <v>1</v>
      </c>
      <c r="M56" s="81">
        <f t="shared" si="2"/>
        <v>2284.9299999999998</v>
      </c>
      <c r="N56" s="79">
        <v>2284.9299999999998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8</v>
      </c>
      <c r="I57" s="130">
        <v>6</v>
      </c>
      <c r="J57" s="130">
        <v>6</v>
      </c>
      <c r="K57" s="114">
        <v>14932.08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8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11</v>
      </c>
      <c r="Q59" s="68">
        <v>27095.83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6</v>
      </c>
      <c r="J60" s="203">
        <v>9</v>
      </c>
      <c r="K60" s="65">
        <v>17478.27</v>
      </c>
      <c r="L60" s="224">
        <v>9</v>
      </c>
      <c r="M60" s="50">
        <f t="shared" si="2"/>
        <v>17478.27</v>
      </c>
      <c r="N60" s="65">
        <v>17478.27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20</v>
      </c>
      <c r="I62" s="62">
        <v>18</v>
      </c>
      <c r="J62" s="62">
        <v>23</v>
      </c>
      <c r="K62" s="30">
        <v>41380.129999999997</v>
      </c>
      <c r="L62" s="205">
        <v>19</v>
      </c>
      <c r="M62" s="26">
        <f t="shared" si="2"/>
        <v>33859.9</v>
      </c>
      <c r="N62" s="30">
        <v>33859.9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7</v>
      </c>
      <c r="I63" s="37">
        <v>3</v>
      </c>
      <c r="J63" s="37">
        <v>3</v>
      </c>
      <c r="K63" s="68">
        <v>3099.46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40</v>
      </c>
      <c r="I64" s="203">
        <v>32</v>
      </c>
      <c r="J64" s="203">
        <v>46</v>
      </c>
      <c r="K64" s="65">
        <v>90397.36</v>
      </c>
      <c r="L64" s="224">
        <v>46</v>
      </c>
      <c r="M64" s="50">
        <f t="shared" si="2"/>
        <v>90397.36</v>
      </c>
      <c r="N64" s="65">
        <v>90397.36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15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8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6</v>
      </c>
      <c r="J68" s="62">
        <v>7</v>
      </c>
      <c r="K68" s="30">
        <v>13445.23</v>
      </c>
      <c r="L68" s="205">
        <v>7</v>
      </c>
      <c r="M68" s="26">
        <f t="shared" si="2"/>
        <v>13445.23</v>
      </c>
      <c r="N68" s="30">
        <v>13445.23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9</v>
      </c>
      <c r="I70" s="266">
        <v>4</v>
      </c>
      <c r="J70" s="266">
        <v>4</v>
      </c>
      <c r="K70" s="79">
        <v>11251.64</v>
      </c>
      <c r="L70" s="268">
        <v>4</v>
      </c>
      <c r="M70" s="81">
        <f t="shared" si="2"/>
        <v>11251.64</v>
      </c>
      <c r="N70" s="79">
        <v>11251.64</v>
      </c>
      <c r="O70" s="219"/>
      <c r="P70" s="267">
        <v>3</v>
      </c>
      <c r="Q70" s="79">
        <v>4835.93</v>
      </c>
      <c r="R70" s="268">
        <v>3</v>
      </c>
      <c r="S70" s="81">
        <f t="shared" si="3"/>
        <v>4835.93</v>
      </c>
      <c r="T70" s="79">
        <v>4835.93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6</v>
      </c>
      <c r="J71" s="130">
        <v>6</v>
      </c>
      <c r="K71" s="114">
        <v>9712.0300000000007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3</v>
      </c>
      <c r="Q71" s="114">
        <v>30066.3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11</v>
      </c>
      <c r="I74" s="203">
        <v>3</v>
      </c>
      <c r="J74" s="203">
        <v>3</v>
      </c>
      <c r="K74" s="65">
        <v>5482.32</v>
      </c>
      <c r="L74" s="224">
        <v>2</v>
      </c>
      <c r="M74" s="50">
        <f t="shared" si="2"/>
        <v>2391.54</v>
      </c>
      <c r="N74" s="65">
        <v>2391.54</v>
      </c>
      <c r="O74" s="31"/>
      <c r="P74" s="108">
        <v>19</v>
      </c>
      <c r="Q74" s="65">
        <v>89371.69</v>
      </c>
      <c r="R74" s="224">
        <v>18</v>
      </c>
      <c r="S74" s="50">
        <f t="shared" si="3"/>
        <v>86374.93</v>
      </c>
      <c r="T74" s="65">
        <v>86374.93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1</v>
      </c>
      <c r="J75" s="130">
        <v>1</v>
      </c>
      <c r="K75" s="114">
        <v>1056.5999999999999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16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7</v>
      </c>
      <c r="I77" s="37">
        <v>1</v>
      </c>
      <c r="J77" s="37">
        <v>1</v>
      </c>
      <c r="K77" s="68">
        <v>6181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11</v>
      </c>
      <c r="I80" s="62">
        <v>9</v>
      </c>
      <c r="J80" s="62">
        <v>14</v>
      </c>
      <c r="K80" s="30">
        <v>25458.38</v>
      </c>
      <c r="L80" s="205">
        <v>14</v>
      </c>
      <c r="M80" s="26">
        <f t="shared" si="2"/>
        <v>25458.38</v>
      </c>
      <c r="N80" s="30">
        <v>25458.38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2</v>
      </c>
      <c r="S81" s="68">
        <v>8429.4</v>
      </c>
      <c r="T81" s="68">
        <v>8429.4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13</v>
      </c>
      <c r="I82" s="203">
        <v>9</v>
      </c>
      <c r="J82" s="203">
        <v>14</v>
      </c>
      <c r="K82" s="158">
        <v>36747.9</v>
      </c>
      <c r="L82" s="224">
        <v>14</v>
      </c>
      <c r="M82" s="50">
        <f t="shared" ref="M82:M98" si="4">N82+O82</f>
        <v>36747.9</v>
      </c>
      <c r="N82" s="65">
        <v>36747.9</v>
      </c>
      <c r="O82" s="225"/>
      <c r="P82" s="108">
        <v>13</v>
      </c>
      <c r="Q82" s="65">
        <v>52889.43</v>
      </c>
      <c r="R82" s="224">
        <v>13</v>
      </c>
      <c r="S82" s="50">
        <f t="shared" ref="S82:S98" si="5">T82+U82</f>
        <v>52889.43</v>
      </c>
      <c r="T82" s="65">
        <v>52889.43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49</v>
      </c>
      <c r="I84" s="62">
        <v>43</v>
      </c>
      <c r="J84" s="62">
        <v>64</v>
      </c>
      <c r="K84" s="30">
        <v>130892.7</v>
      </c>
      <c r="L84" s="205">
        <v>63</v>
      </c>
      <c r="M84" s="26">
        <f t="shared" si="4"/>
        <v>123601.32</v>
      </c>
      <c r="N84" s="30">
        <v>123601.32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10</v>
      </c>
      <c r="I86" s="62">
        <v>8</v>
      </c>
      <c r="J86" s="62">
        <v>8</v>
      </c>
      <c r="K86" s="30">
        <v>15619.08</v>
      </c>
      <c r="L86" s="205">
        <v>7</v>
      </c>
      <c r="M86" s="26">
        <f t="shared" si="4"/>
        <v>14776.14</v>
      </c>
      <c r="N86" s="30">
        <v>14776.14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2</v>
      </c>
      <c r="J87" s="208">
        <v>2</v>
      </c>
      <c r="K87" s="209">
        <v>8727.6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4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26</v>
      </c>
      <c r="I98" s="62">
        <v>17</v>
      </c>
      <c r="J98" s="62">
        <v>24</v>
      </c>
      <c r="K98" s="30">
        <v>42965.08</v>
      </c>
      <c r="L98" s="205">
        <v>20</v>
      </c>
      <c r="M98" s="26">
        <f t="shared" si="4"/>
        <v>32863.699999999997</v>
      </c>
      <c r="N98" s="30">
        <v>32863.699999999997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11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2</v>
      </c>
      <c r="M100" s="50">
        <f>N100+O100</f>
        <v>2539.56</v>
      </c>
      <c r="N100" s="65">
        <v>2539.56</v>
      </c>
      <c r="O100" s="31"/>
      <c r="P100" s="108">
        <v>11</v>
      </c>
      <c r="Q100" s="65">
        <v>118841.12</v>
      </c>
      <c r="R100" s="224">
        <v>10</v>
      </c>
      <c r="S100" s="50">
        <f t="shared" ref="S100:S106" si="6">T100+U100</f>
        <v>111555.71</v>
      </c>
      <c r="T100" s="65">
        <v>111555.71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3</v>
      </c>
      <c r="J101" s="130">
        <v>3</v>
      </c>
      <c r="K101" s="114">
        <v>3151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6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6" si="7">N102+O102</f>
        <v>8733.91</v>
      </c>
      <c r="N102" s="30">
        <v>8733.91</v>
      </c>
      <c r="O102" s="31"/>
      <c r="P102" s="53">
        <v>9</v>
      </c>
      <c r="Q102" s="30">
        <v>61187.9</v>
      </c>
      <c r="R102" s="205">
        <v>9</v>
      </c>
      <c r="S102" s="26">
        <f t="shared" si="6"/>
        <v>61187.9</v>
      </c>
      <c r="T102" s="30">
        <v>61187.9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6</v>
      </c>
      <c r="J106" s="62">
        <v>8</v>
      </c>
      <c r="K106" s="30">
        <v>20920.14</v>
      </c>
      <c r="L106" s="205">
        <v>8</v>
      </c>
      <c r="M106" s="26">
        <f t="shared" si="7"/>
        <v>20920.14</v>
      </c>
      <c r="N106" s="30">
        <v>20920.14</v>
      </c>
      <c r="O106" s="31"/>
      <c r="P106" s="53">
        <v>28</v>
      </c>
      <c r="Q106" s="30">
        <v>97450.12</v>
      </c>
      <c r="R106" s="205">
        <v>28</v>
      </c>
      <c r="S106" s="26">
        <f t="shared" si="6"/>
        <v>97450.12</v>
      </c>
      <c r="T106" s="30">
        <v>97450.12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10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7</v>
      </c>
      <c r="I108" s="62">
        <v>7</v>
      </c>
      <c r="J108" s="62">
        <v>7</v>
      </c>
      <c r="K108" s="30">
        <v>6110.93</v>
      </c>
      <c r="L108" s="205">
        <v>6</v>
      </c>
      <c r="M108" s="26">
        <f t="shared" ref="M108:M123" si="8">N108+O108</f>
        <v>4786.25</v>
      </c>
      <c r="N108" s="30">
        <v>4786.25</v>
      </c>
      <c r="O108" s="225"/>
      <c r="P108" s="53">
        <v>7</v>
      </c>
      <c r="Q108" s="30">
        <v>12035.94</v>
      </c>
      <c r="R108" s="205">
        <v>7</v>
      </c>
      <c r="S108" s="26">
        <f t="shared" ref="S108:S139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15</v>
      </c>
      <c r="I110" s="62">
        <v>10</v>
      </c>
      <c r="J110" s="62">
        <v>16</v>
      </c>
      <c r="K110" s="30">
        <v>29995.7</v>
      </c>
      <c r="L110" s="205">
        <v>16</v>
      </c>
      <c r="M110" s="26">
        <f t="shared" si="8"/>
        <v>29995.7</v>
      </c>
      <c r="N110" s="30">
        <v>29995.7</v>
      </c>
      <c r="O110" s="241"/>
      <c r="P110" s="214">
        <v>14</v>
      </c>
      <c r="Q110" s="30">
        <v>75827.070000000007</v>
      </c>
      <c r="R110" s="205">
        <v>14</v>
      </c>
      <c r="S110" s="26">
        <f t="shared" si="9"/>
        <v>75827.070000000007</v>
      </c>
      <c r="T110" s="30">
        <v>75827.070000000007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10</v>
      </c>
      <c r="I111" s="286">
        <v>7</v>
      </c>
      <c r="J111" s="286">
        <v>7</v>
      </c>
      <c r="K111" s="287">
        <v>21767.4</v>
      </c>
      <c r="L111" s="315">
        <v>7</v>
      </c>
      <c r="M111" s="39">
        <f t="shared" si="8"/>
        <v>21767.4</v>
      </c>
      <c r="N111" s="39">
        <f>1921+3073.6+1921+3010.5+1404.9+2408.4+8028</f>
        <v>21767.4</v>
      </c>
      <c r="O111" s="41"/>
      <c r="P111" s="217">
        <v>4</v>
      </c>
      <c r="Q111" s="37">
        <v>19940.650000000001</v>
      </c>
      <c r="R111" s="285">
        <v>4</v>
      </c>
      <c r="S111" s="39">
        <f t="shared" si="9"/>
        <v>21093.25</v>
      </c>
      <c r="T111" s="68">
        <f>1056.55+3457.8+4226.2+12352.7</f>
        <v>21093.25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14</v>
      </c>
      <c r="I114" s="203">
        <v>7</v>
      </c>
      <c r="J114" s="203">
        <v>8</v>
      </c>
      <c r="K114" s="65">
        <v>12423.22</v>
      </c>
      <c r="L114" s="224">
        <v>8</v>
      </c>
      <c r="M114" s="50">
        <f t="shared" si="8"/>
        <v>12423.22</v>
      </c>
      <c r="N114" s="65">
        <v>12423.22</v>
      </c>
      <c r="O114" s="225"/>
      <c r="P114" s="108">
        <v>11</v>
      </c>
      <c r="Q114" s="65">
        <v>51994.9</v>
      </c>
      <c r="R114" s="224">
        <v>10</v>
      </c>
      <c r="S114" s="50">
        <f t="shared" si="9"/>
        <v>25470.59</v>
      </c>
      <c r="T114" s="65">
        <v>25470.59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10</v>
      </c>
      <c r="I115" s="130">
        <v>6</v>
      </c>
      <c r="J115" s="130">
        <v>6</v>
      </c>
      <c r="K115" s="114">
        <v>13482.3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8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7</v>
      </c>
      <c r="I117" s="37">
        <v>6</v>
      </c>
      <c r="J117" s="37">
        <v>7</v>
      </c>
      <c r="K117" s="68">
        <v>17745.900000000001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2</v>
      </c>
      <c r="Q117" s="68">
        <v>3490.8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19</v>
      </c>
      <c r="J118" s="203">
        <v>23</v>
      </c>
      <c r="K118" s="65">
        <v>56337.54</v>
      </c>
      <c r="L118" s="224">
        <v>21</v>
      </c>
      <c r="M118" s="50">
        <f t="shared" si="8"/>
        <v>47812.95</v>
      </c>
      <c r="N118" s="65">
        <v>47812.95</v>
      </c>
      <c r="O118" s="225"/>
      <c r="P118" s="108">
        <v>23</v>
      </c>
      <c r="Q118" s="65">
        <v>105066.33</v>
      </c>
      <c r="R118" s="224">
        <v>20</v>
      </c>
      <c r="S118" s="50">
        <f t="shared" si="9"/>
        <v>72422.570000000007</v>
      </c>
      <c r="T118" s="65">
        <v>72422.570000000007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13">
        <v>1</v>
      </c>
      <c r="Q119" s="114">
        <v>1545.39</v>
      </c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11</v>
      </c>
      <c r="Q120" s="30">
        <v>73773.25</v>
      </c>
      <c r="R120" s="205">
        <v>11</v>
      </c>
      <c r="S120" s="26">
        <f t="shared" si="9"/>
        <v>73773.25</v>
      </c>
      <c r="T120" s="30">
        <v>73773.25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130">
        <v>5</v>
      </c>
      <c r="J121" s="130">
        <v>5</v>
      </c>
      <c r="K121" s="114">
        <v>1535.36</v>
      </c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5</v>
      </c>
      <c r="Q121" s="114">
        <v>5892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17</v>
      </c>
      <c r="I122" s="62">
        <v>14</v>
      </c>
      <c r="J122" s="62">
        <v>14</v>
      </c>
      <c r="K122" s="30">
        <v>12003.49</v>
      </c>
      <c r="L122" s="205">
        <v>12</v>
      </c>
      <c r="M122" s="26">
        <f t="shared" si="8"/>
        <v>11401.39</v>
      </c>
      <c r="N122" s="30">
        <v>11401.39</v>
      </c>
      <c r="O122" s="31"/>
      <c r="P122" s="53">
        <v>9</v>
      </c>
      <c r="Q122" s="30">
        <v>34430.15</v>
      </c>
      <c r="R122" s="205">
        <v>8</v>
      </c>
      <c r="S122" s="26">
        <f t="shared" si="9"/>
        <v>32433.51</v>
      </c>
      <c r="T122" s="30">
        <v>32433.51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4</v>
      </c>
      <c r="J123" s="246">
        <v>4</v>
      </c>
      <c r="K123" s="158">
        <v>3561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4</v>
      </c>
      <c r="I125" s="203">
        <v>4</v>
      </c>
      <c r="J125" s="203">
        <v>5</v>
      </c>
      <c r="K125" s="65">
        <v>6123.37</v>
      </c>
      <c r="L125" s="224">
        <v>5</v>
      </c>
      <c r="M125" s="50">
        <f t="shared" ref="M125:M139" si="10">N125+O125</f>
        <v>6123.37</v>
      </c>
      <c r="N125" s="65">
        <v>6123.37</v>
      </c>
      <c r="O125" s="31"/>
      <c r="P125" s="108">
        <v>8</v>
      </c>
      <c r="Q125" s="65">
        <v>37589.71</v>
      </c>
      <c r="R125" s="224">
        <v>8</v>
      </c>
      <c r="S125" s="50">
        <f t="shared" si="9"/>
        <v>37589.71</v>
      </c>
      <c r="T125" s="65">
        <v>37589.71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14</v>
      </c>
      <c r="I127" s="62">
        <v>11</v>
      </c>
      <c r="J127" s="62">
        <v>15</v>
      </c>
      <c r="K127" s="30">
        <v>39786.14</v>
      </c>
      <c r="L127" s="205">
        <v>15</v>
      </c>
      <c r="M127" s="26">
        <f t="shared" si="10"/>
        <v>39786.14</v>
      </c>
      <c r="N127" s="30">
        <v>39786.14</v>
      </c>
      <c r="O127" s="31"/>
      <c r="P127" s="53">
        <v>5</v>
      </c>
      <c r="Q127" s="30">
        <v>19946.89</v>
      </c>
      <c r="R127" s="205">
        <v>5</v>
      </c>
      <c r="S127" s="26">
        <f t="shared" si="9"/>
        <v>19946.89</v>
      </c>
      <c r="T127" s="30">
        <v>19946.89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21</v>
      </c>
      <c r="I129" s="62">
        <v>18</v>
      </c>
      <c r="J129" s="62">
        <v>26</v>
      </c>
      <c r="K129" s="30">
        <v>66481.97</v>
      </c>
      <c r="L129" s="205">
        <v>26</v>
      </c>
      <c r="M129" s="26">
        <f t="shared" si="10"/>
        <v>66481.97</v>
      </c>
      <c r="N129" s="30">
        <v>66481.97</v>
      </c>
      <c r="O129" s="225"/>
      <c r="P129" s="53">
        <v>11</v>
      </c>
      <c r="Q129" s="30">
        <v>31033.06</v>
      </c>
      <c r="R129" s="205">
        <v>11</v>
      </c>
      <c r="S129" s="26">
        <f t="shared" si="9"/>
        <v>31033.06</v>
      </c>
      <c r="T129" s="30">
        <v>31033.06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9</v>
      </c>
      <c r="I133" s="62">
        <v>7</v>
      </c>
      <c r="J133" s="62">
        <v>11</v>
      </c>
      <c r="K133" s="30">
        <v>19669.79</v>
      </c>
      <c r="L133" s="205">
        <v>11</v>
      </c>
      <c r="M133" s="26">
        <f t="shared" si="10"/>
        <v>19669.79</v>
      </c>
      <c r="N133" s="30">
        <v>19669.79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6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23</v>
      </c>
      <c r="I135" s="203">
        <v>18</v>
      </c>
      <c r="J135" s="203">
        <v>28</v>
      </c>
      <c r="K135" s="65">
        <v>74086.789999999994</v>
      </c>
      <c r="L135" s="224">
        <v>23</v>
      </c>
      <c r="M135" s="50">
        <f t="shared" si="10"/>
        <v>62624.1</v>
      </c>
      <c r="N135" s="65">
        <v>62624.1</v>
      </c>
      <c r="O135" s="225"/>
      <c r="P135" s="108">
        <v>32</v>
      </c>
      <c r="Q135" s="65">
        <v>119894.49</v>
      </c>
      <c r="R135" s="224">
        <v>32</v>
      </c>
      <c r="S135" s="50">
        <f t="shared" si="9"/>
        <v>119894.49</v>
      </c>
      <c r="T135" s="65">
        <v>119894.49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20</v>
      </c>
      <c r="I137" s="62">
        <v>9</v>
      </c>
      <c r="J137" s="62">
        <v>12</v>
      </c>
      <c r="K137" s="30">
        <v>21795.34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119</v>
      </c>
      <c r="C139" s="374" t="s">
        <v>39</v>
      </c>
      <c r="D139" s="374" t="s">
        <v>311</v>
      </c>
      <c r="E139" s="374" t="s">
        <v>121</v>
      </c>
      <c r="F139" s="232" t="s">
        <v>312</v>
      </c>
      <c r="G139" s="23" t="s">
        <v>24</v>
      </c>
      <c r="H139" s="151">
        <v>45</v>
      </c>
      <c r="I139" s="62">
        <v>34</v>
      </c>
      <c r="J139" s="62">
        <v>40</v>
      </c>
      <c r="K139" s="30">
        <v>65034.879999999997</v>
      </c>
      <c r="L139" s="205">
        <v>38</v>
      </c>
      <c r="M139" s="26">
        <f t="shared" si="10"/>
        <v>59902.38</v>
      </c>
      <c r="N139" s="30">
        <v>59902.38</v>
      </c>
      <c r="O139" s="31"/>
      <c r="P139" s="53">
        <v>27</v>
      </c>
      <c r="Q139" s="30">
        <v>47822.16</v>
      </c>
      <c r="R139" s="205">
        <v>27</v>
      </c>
      <c r="S139" s="26">
        <f t="shared" si="9"/>
        <v>47822.16</v>
      </c>
      <c r="T139" s="30">
        <v>47822.16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0"/>
      <c r="C140" s="380"/>
      <c r="D140" s="380"/>
      <c r="E140" s="380"/>
      <c r="F140" s="325" t="s">
        <v>491</v>
      </c>
      <c r="G140" s="227" t="s">
        <v>25</v>
      </c>
      <c r="H140" s="260">
        <v>8</v>
      </c>
      <c r="I140" s="208">
        <v>3</v>
      </c>
      <c r="J140" s="208">
        <v>3</v>
      </c>
      <c r="K140" s="209">
        <v>3668.91</v>
      </c>
      <c r="L140" s="290">
        <v>3</v>
      </c>
      <c r="M140" s="209">
        <v>3668.91</v>
      </c>
      <c r="N140" s="209">
        <v>3668.91</v>
      </c>
      <c r="O140" s="263"/>
      <c r="P140" s="262">
        <v>4</v>
      </c>
      <c r="Q140" s="209">
        <v>16712.7</v>
      </c>
      <c r="R140" s="290">
        <v>4</v>
      </c>
      <c r="S140" s="209">
        <v>16712.7</v>
      </c>
      <c r="T140" s="209">
        <v>16712.7</v>
      </c>
      <c r="U140" s="21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464</v>
      </c>
      <c r="C141" s="374" t="s">
        <v>22</v>
      </c>
      <c r="D141" s="374"/>
      <c r="E141" s="374" t="s">
        <v>391</v>
      </c>
      <c r="F141" s="204" t="s">
        <v>465</v>
      </c>
      <c r="G141" s="176" t="s">
        <v>24</v>
      </c>
      <c r="H141" s="61"/>
      <c r="I141" s="62"/>
      <c r="J141" s="62"/>
      <c r="K141" s="30"/>
      <c r="L141" s="27"/>
      <c r="M141" s="26">
        <f t="shared" ref="M141:M156" si="11">N141+O141</f>
        <v>0</v>
      </c>
      <c r="N141" s="26"/>
      <c r="O141" s="28"/>
      <c r="P141" s="214"/>
      <c r="Q141" s="30"/>
      <c r="R141" s="205"/>
      <c r="S141" s="26">
        <f t="shared" ref="S141:S147" si="12">T141+U141</f>
        <v>0</v>
      </c>
      <c r="T141" s="30"/>
      <c r="U141" s="2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75"/>
      <c r="D142" s="386"/>
      <c r="E142" s="386"/>
      <c r="F142" s="152"/>
      <c r="G142" s="229" t="s">
        <v>28</v>
      </c>
      <c r="H142" s="344"/>
      <c r="I142" s="231"/>
      <c r="J142" s="231"/>
      <c r="K142" s="91"/>
      <c r="L142" s="92"/>
      <c r="M142" s="81">
        <f t="shared" si="11"/>
        <v>0</v>
      </c>
      <c r="N142" s="93"/>
      <c r="O142" s="94"/>
      <c r="P142" s="90"/>
      <c r="Q142" s="91"/>
      <c r="R142" s="330"/>
      <c r="S142" s="81">
        <f t="shared" si="12"/>
        <v>0</v>
      </c>
      <c r="T142" s="91"/>
      <c r="U142" s="3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367</v>
      </c>
      <c r="C143" s="374"/>
      <c r="D143" s="374"/>
      <c r="E143" s="374"/>
      <c r="F143" s="204"/>
      <c r="G143" s="213" t="s">
        <v>24</v>
      </c>
      <c r="H143" s="61"/>
      <c r="I143" s="62"/>
      <c r="J143" s="62"/>
      <c r="K143" s="30"/>
      <c r="L143" s="27"/>
      <c r="M143" s="26">
        <f t="shared" si="11"/>
        <v>0</v>
      </c>
      <c r="N143" s="26"/>
      <c r="O143" s="28"/>
      <c r="P143" s="214"/>
      <c r="Q143" s="30"/>
      <c r="R143" s="205"/>
      <c r="S143" s="26">
        <f t="shared" si="12"/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220"/>
      <c r="G144" s="215" t="s">
        <v>28</v>
      </c>
      <c r="H144" s="117">
        <v>6</v>
      </c>
      <c r="I144" s="37"/>
      <c r="J144" s="37"/>
      <c r="K144" s="68"/>
      <c r="L144" s="40"/>
      <c r="M144" s="39">
        <f t="shared" si="11"/>
        <v>0</v>
      </c>
      <c r="N144" s="39"/>
      <c r="O144" s="41"/>
      <c r="P144" s="217"/>
      <c r="Q144" s="68"/>
      <c r="R144" s="285"/>
      <c r="S144" s="39">
        <f t="shared" si="12"/>
        <v>0</v>
      </c>
      <c r="T144" s="68"/>
      <c r="U144" s="23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6"/>
      <c r="B145" s="377" t="s">
        <v>122</v>
      </c>
      <c r="C145" s="377" t="s">
        <v>39</v>
      </c>
      <c r="D145" s="377" t="s">
        <v>123</v>
      </c>
      <c r="E145" s="377" t="s">
        <v>55</v>
      </c>
      <c r="F145" s="232" t="s">
        <v>236</v>
      </c>
      <c r="G145" s="291" t="s">
        <v>24</v>
      </c>
      <c r="H145" s="265">
        <v>30</v>
      </c>
      <c r="I145" s="266">
        <v>24</v>
      </c>
      <c r="J145" s="266">
        <v>35</v>
      </c>
      <c r="K145" s="79">
        <v>72552.33</v>
      </c>
      <c r="L145" s="268">
        <v>34</v>
      </c>
      <c r="M145" s="81">
        <f t="shared" si="11"/>
        <v>70420.62</v>
      </c>
      <c r="N145" s="79">
        <v>70420.62</v>
      </c>
      <c r="O145" s="269"/>
      <c r="P145" s="267">
        <v>22</v>
      </c>
      <c r="Q145" s="79">
        <v>89981.45</v>
      </c>
      <c r="R145" s="268">
        <v>21</v>
      </c>
      <c r="S145" s="81">
        <f t="shared" si="12"/>
        <v>89981.45</v>
      </c>
      <c r="T145" s="79">
        <v>89981.45</v>
      </c>
      <c r="U145" s="269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34"/>
      <c r="G146" s="229" t="s">
        <v>25</v>
      </c>
      <c r="H146" s="116"/>
      <c r="I146" s="38"/>
      <c r="J146" s="38"/>
      <c r="K146" s="39"/>
      <c r="L146" s="40"/>
      <c r="M146" s="39">
        <f t="shared" si="11"/>
        <v>0</v>
      </c>
      <c r="N146" s="39"/>
      <c r="O146" s="41"/>
      <c r="P146" s="59"/>
      <c r="Q146" s="39"/>
      <c r="R146" s="40"/>
      <c r="S146" s="39">
        <f t="shared" si="12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124</v>
      </c>
      <c r="C147" s="377" t="s">
        <v>39</v>
      </c>
      <c r="D147" s="377" t="s">
        <v>314</v>
      </c>
      <c r="E147" s="377" t="s">
        <v>27</v>
      </c>
      <c r="F147" s="232" t="s">
        <v>237</v>
      </c>
      <c r="G147" s="23" t="s">
        <v>24</v>
      </c>
      <c r="H147" s="48">
        <v>20</v>
      </c>
      <c r="I147" s="203">
        <v>15</v>
      </c>
      <c r="J147" s="203">
        <v>18</v>
      </c>
      <c r="K147" s="65">
        <v>47249.1</v>
      </c>
      <c r="L147" s="224">
        <v>17</v>
      </c>
      <c r="M147" s="50">
        <f t="shared" si="11"/>
        <v>47249.1</v>
      </c>
      <c r="N147" s="65">
        <v>47249.1</v>
      </c>
      <c r="O147" s="225"/>
      <c r="P147" s="108">
        <v>57</v>
      </c>
      <c r="Q147" s="65">
        <v>337965.75</v>
      </c>
      <c r="R147" s="224">
        <v>57</v>
      </c>
      <c r="S147" s="50">
        <f t="shared" si="12"/>
        <v>337965.75</v>
      </c>
      <c r="T147" s="65">
        <v>337965.75</v>
      </c>
      <c r="U147" s="225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87"/>
      <c r="B148" s="386"/>
      <c r="C148" s="386"/>
      <c r="D148" s="386"/>
      <c r="E148" s="386"/>
      <c r="F148" s="237" t="s">
        <v>500</v>
      </c>
      <c r="G148" s="154" t="s">
        <v>25</v>
      </c>
      <c r="H148" s="98"/>
      <c r="I148" s="155"/>
      <c r="J148" s="155"/>
      <c r="K148" s="239" t="s">
        <v>43</v>
      </c>
      <c r="L148" s="128"/>
      <c r="M148" s="129">
        <f t="shared" si="11"/>
        <v>0</v>
      </c>
      <c r="N148" s="129"/>
      <c r="O148" s="45"/>
      <c r="P148" s="238">
        <v>1</v>
      </c>
      <c r="Q148" s="239">
        <v>2408.4</v>
      </c>
      <c r="R148" s="316">
        <v>1</v>
      </c>
      <c r="S148" s="239">
        <v>2408.4</v>
      </c>
      <c r="T148" s="239">
        <v>2408.4</v>
      </c>
      <c r="U148" s="45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9"/>
      <c r="B149" s="380"/>
      <c r="C149" s="380"/>
      <c r="D149" s="380"/>
      <c r="E149" s="380"/>
      <c r="F149" s="34"/>
      <c r="G149" s="55" t="s">
        <v>28</v>
      </c>
      <c r="H149" s="111"/>
      <c r="I149" s="57"/>
      <c r="J149" s="57"/>
      <c r="K149" s="43"/>
      <c r="L149" s="44"/>
      <c r="M149" s="43">
        <f t="shared" si="11"/>
        <v>0</v>
      </c>
      <c r="N149" s="43"/>
      <c r="O149" s="41"/>
      <c r="P149" s="113">
        <v>4</v>
      </c>
      <c r="Q149" s="114">
        <v>9722.4</v>
      </c>
      <c r="R149" s="270">
        <v>4</v>
      </c>
      <c r="S149" s="43">
        <f t="shared" ref="S149:S156" si="13">T149+U149</f>
        <v>10625.699999999999</v>
      </c>
      <c r="T149" s="114">
        <f>2305.2+4226.2+2689.4+1404.9</f>
        <v>10625.699999999999</v>
      </c>
      <c r="U149" s="4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2"/>
      <c r="B150" s="374" t="s">
        <v>126</v>
      </c>
      <c r="C150" s="374" t="s">
        <v>22</v>
      </c>
      <c r="D150" s="378"/>
      <c r="E150" s="374" t="s">
        <v>65</v>
      </c>
      <c r="F150" s="232" t="s">
        <v>443</v>
      </c>
      <c r="G150" s="23" t="s">
        <v>24</v>
      </c>
      <c r="H150" s="151">
        <v>7</v>
      </c>
      <c r="I150" s="62">
        <v>2</v>
      </c>
      <c r="J150" s="62">
        <v>2</v>
      </c>
      <c r="K150" s="30">
        <v>1267.28</v>
      </c>
      <c r="L150" s="205">
        <v>2</v>
      </c>
      <c r="M150" s="26">
        <f t="shared" si="11"/>
        <v>1267.28</v>
      </c>
      <c r="N150" s="30">
        <v>1267.28</v>
      </c>
      <c r="O150" s="225"/>
      <c r="P150" s="53">
        <v>15</v>
      </c>
      <c r="Q150" s="30">
        <v>10414.84</v>
      </c>
      <c r="R150" s="205">
        <v>4</v>
      </c>
      <c r="S150" s="26">
        <f t="shared" si="13"/>
        <v>10414.84</v>
      </c>
      <c r="T150" s="30">
        <v>10414.84</v>
      </c>
      <c r="U150" s="22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3"/>
      <c r="B151" s="375"/>
      <c r="C151" s="375"/>
      <c r="D151" s="375"/>
      <c r="E151" s="375"/>
      <c r="F151" s="254" t="s">
        <v>316</v>
      </c>
      <c r="G151" s="35" t="s">
        <v>28</v>
      </c>
      <c r="H151" s="153">
        <v>7</v>
      </c>
      <c r="I151" s="37">
        <v>4</v>
      </c>
      <c r="J151" s="37">
        <v>4</v>
      </c>
      <c r="K151" s="68">
        <v>7242.42</v>
      </c>
      <c r="L151" s="285">
        <v>3</v>
      </c>
      <c r="M151" s="39">
        <f t="shared" si="11"/>
        <v>3710.1</v>
      </c>
      <c r="N151" s="39">
        <f>2305.2+1404.9</f>
        <v>3710.1</v>
      </c>
      <c r="O151" s="41"/>
      <c r="P151" s="115">
        <v>8</v>
      </c>
      <c r="Q151" s="68">
        <v>13484.6</v>
      </c>
      <c r="R151" s="285">
        <v>3</v>
      </c>
      <c r="S151" s="39">
        <f t="shared" si="13"/>
        <v>7418.45</v>
      </c>
      <c r="T151" s="39">
        <f>1056.55+1344.4+5017.5</f>
        <v>7418.45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2"/>
      <c r="B152" s="381" t="s">
        <v>127</v>
      </c>
      <c r="C152" s="381" t="s">
        <v>22</v>
      </c>
      <c r="D152" s="381"/>
      <c r="E152" s="381" t="s">
        <v>67</v>
      </c>
      <c r="F152" s="223" t="s">
        <v>368</v>
      </c>
      <c r="G152" s="47" t="s">
        <v>24</v>
      </c>
      <c r="H152" s="48">
        <v>12</v>
      </c>
      <c r="I152" s="203">
        <v>12</v>
      </c>
      <c r="J152" s="203">
        <v>17</v>
      </c>
      <c r="K152" s="65">
        <v>33710.11</v>
      </c>
      <c r="L152" s="224">
        <v>17</v>
      </c>
      <c r="M152" s="50">
        <f t="shared" si="11"/>
        <v>33710.11</v>
      </c>
      <c r="N152" s="65">
        <v>33710.11</v>
      </c>
      <c r="O152" s="225"/>
      <c r="P152" s="108">
        <v>8</v>
      </c>
      <c r="Q152" s="65">
        <v>29582.03</v>
      </c>
      <c r="R152" s="224">
        <v>8</v>
      </c>
      <c r="S152" s="50">
        <f t="shared" si="13"/>
        <v>29582.03</v>
      </c>
      <c r="T152" s="65">
        <v>29582.03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33" t="s">
        <v>317</v>
      </c>
      <c r="G153" s="227" t="s">
        <v>28</v>
      </c>
      <c r="H153" s="153">
        <v>8</v>
      </c>
      <c r="I153" s="37">
        <v>5</v>
      </c>
      <c r="J153" s="37">
        <v>5</v>
      </c>
      <c r="K153" s="68">
        <v>5776.7</v>
      </c>
      <c r="L153" s="285">
        <v>5</v>
      </c>
      <c r="M153" s="39">
        <f t="shared" si="11"/>
        <v>5822.7</v>
      </c>
      <c r="N153" s="39">
        <f>1578.8+1152.6+1152.6+1336.6+602.1</f>
        <v>5822.7</v>
      </c>
      <c r="O153" s="41"/>
      <c r="P153" s="115">
        <v>3</v>
      </c>
      <c r="Q153" s="68">
        <v>17095</v>
      </c>
      <c r="R153" s="285">
        <v>3</v>
      </c>
      <c r="S153" s="39">
        <f t="shared" si="13"/>
        <v>17095</v>
      </c>
      <c r="T153" s="39">
        <f>4034.1+11053.9+2007</f>
        <v>17095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128</v>
      </c>
      <c r="C154" s="374" t="s">
        <v>39</v>
      </c>
      <c r="D154" s="374" t="s">
        <v>129</v>
      </c>
      <c r="E154" s="374" t="s">
        <v>121</v>
      </c>
      <c r="F154" s="60"/>
      <c r="G154" s="176" t="s">
        <v>24</v>
      </c>
      <c r="H154" s="107"/>
      <c r="I154" s="49"/>
      <c r="J154" s="127"/>
      <c r="K154" s="50"/>
      <c r="L154" s="51"/>
      <c r="M154" s="50">
        <f t="shared" si="11"/>
        <v>0</v>
      </c>
      <c r="N154" s="50"/>
      <c r="O154" s="31"/>
      <c r="P154" s="108"/>
      <c r="Q154" s="65"/>
      <c r="R154" s="51"/>
      <c r="S154" s="50">
        <f t="shared" si="13"/>
        <v>0</v>
      </c>
      <c r="T154" s="50"/>
      <c r="U154" s="31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20" t="s">
        <v>492</v>
      </c>
      <c r="G155" s="229" t="s">
        <v>25</v>
      </c>
      <c r="H155" s="153">
        <v>1</v>
      </c>
      <c r="I155" s="57"/>
      <c r="J155" s="57"/>
      <c r="K155" s="43"/>
      <c r="L155" s="44"/>
      <c r="M155" s="43">
        <f t="shared" si="11"/>
        <v>0</v>
      </c>
      <c r="N155" s="43"/>
      <c r="O155" s="41"/>
      <c r="P155" s="103"/>
      <c r="Q155" s="43"/>
      <c r="R155" s="44"/>
      <c r="S155" s="43">
        <f t="shared" si="13"/>
        <v>0</v>
      </c>
      <c r="T155" s="43"/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130</v>
      </c>
      <c r="C156" s="374" t="s">
        <v>22</v>
      </c>
      <c r="D156" s="374"/>
      <c r="E156" s="374" t="s">
        <v>131</v>
      </c>
      <c r="F156" s="232" t="s">
        <v>411</v>
      </c>
      <c r="G156" s="176" t="s">
        <v>24</v>
      </c>
      <c r="H156" s="48">
        <v>10</v>
      </c>
      <c r="I156" s="62">
        <v>6</v>
      </c>
      <c r="J156" s="62">
        <v>6</v>
      </c>
      <c r="K156" s="30">
        <v>9104.94</v>
      </c>
      <c r="L156" s="205">
        <v>6</v>
      </c>
      <c r="M156" s="26">
        <f t="shared" si="11"/>
        <v>9104.94</v>
      </c>
      <c r="N156" s="30">
        <v>9104.94</v>
      </c>
      <c r="O156" s="31"/>
      <c r="P156" s="53">
        <v>4</v>
      </c>
      <c r="Q156" s="30">
        <v>22885.21</v>
      </c>
      <c r="R156" s="205">
        <v>4</v>
      </c>
      <c r="S156" s="26">
        <f t="shared" si="13"/>
        <v>22885.21</v>
      </c>
      <c r="T156" s="30">
        <v>22885.21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493</v>
      </c>
      <c r="G157" s="229" t="s">
        <v>25</v>
      </c>
      <c r="H157" s="112">
        <v>9</v>
      </c>
      <c r="I157" s="130">
        <v>6</v>
      </c>
      <c r="J157" s="130">
        <v>6</v>
      </c>
      <c r="K157" s="114">
        <v>10810.58</v>
      </c>
      <c r="L157" s="270">
        <v>6</v>
      </c>
      <c r="M157" s="114">
        <v>10810.58</v>
      </c>
      <c r="N157" s="114">
        <v>10810.58</v>
      </c>
      <c r="O157" s="234"/>
      <c r="P157" s="113">
        <v>3</v>
      </c>
      <c r="Q157" s="114">
        <v>7539.8</v>
      </c>
      <c r="R157" s="270">
        <v>3</v>
      </c>
      <c r="S157" s="114">
        <v>7539.8</v>
      </c>
      <c r="T157" s="114">
        <v>7539.8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132</v>
      </c>
      <c r="C158" s="374" t="s">
        <v>39</v>
      </c>
      <c r="D158" s="374" t="s">
        <v>238</v>
      </c>
      <c r="E158" s="377" t="s">
        <v>136</v>
      </c>
      <c r="F158" s="232" t="s">
        <v>239</v>
      </c>
      <c r="G158" s="23" t="s">
        <v>24</v>
      </c>
      <c r="H158" s="61">
        <v>15</v>
      </c>
      <c r="I158" s="62">
        <v>12</v>
      </c>
      <c r="J158" s="62">
        <v>16</v>
      </c>
      <c r="K158" s="30">
        <v>28480.94</v>
      </c>
      <c r="L158" s="205">
        <v>13</v>
      </c>
      <c r="M158" s="26">
        <f t="shared" ref="M158:M229" si="14">N158+O158</f>
        <v>21251.69</v>
      </c>
      <c r="N158" s="30">
        <v>21251.69</v>
      </c>
      <c r="O158" s="225"/>
      <c r="P158" s="53">
        <v>14</v>
      </c>
      <c r="Q158" s="30">
        <v>52348.73</v>
      </c>
      <c r="R158" s="205">
        <v>13</v>
      </c>
      <c r="S158" s="26">
        <f t="shared" ref="S158:S164" si="15">T158+U158</f>
        <v>51666.35</v>
      </c>
      <c r="T158" s="30">
        <v>51666.35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87"/>
      <c r="B159" s="386"/>
      <c r="C159" s="386"/>
      <c r="D159" s="386"/>
      <c r="E159" s="386"/>
      <c r="F159" s="237" t="s">
        <v>240</v>
      </c>
      <c r="G159" s="154" t="s">
        <v>28</v>
      </c>
      <c r="H159" s="112">
        <v>18</v>
      </c>
      <c r="I159" s="271">
        <v>11</v>
      </c>
      <c r="J159" s="271">
        <v>11</v>
      </c>
      <c r="K159" s="239">
        <v>21254.2</v>
      </c>
      <c r="L159" s="316">
        <v>10</v>
      </c>
      <c r="M159" s="129">
        <f t="shared" si="14"/>
        <v>17440.899999999998</v>
      </c>
      <c r="N159" s="129">
        <f>1728.9+2305.2+576.3+4802.5+1404.9+1404.9+1404.9+1103.85+2408.4+301.05</f>
        <v>17440.899999999998</v>
      </c>
      <c r="O159" s="45"/>
      <c r="P159" s="238">
        <v>9</v>
      </c>
      <c r="Q159" s="239">
        <v>31223.56</v>
      </c>
      <c r="R159" s="316">
        <v>10</v>
      </c>
      <c r="S159" s="129">
        <f t="shared" si="15"/>
        <v>32433.79</v>
      </c>
      <c r="T159" s="239">
        <f>288.15+6934.81+3073.6+1344.7+1344.7+10837.8+8610.03</f>
        <v>32433.79</v>
      </c>
      <c r="U159" s="45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105"/>
      <c r="G160" s="55" t="s">
        <v>25</v>
      </c>
      <c r="H160" s="131"/>
      <c r="I160" s="57"/>
      <c r="J160" s="57"/>
      <c r="K160" s="43"/>
      <c r="L160" s="44"/>
      <c r="M160" s="43">
        <f t="shared" si="14"/>
        <v>0</v>
      </c>
      <c r="N160" s="43"/>
      <c r="O160" s="41"/>
      <c r="P160" s="103"/>
      <c r="Q160" s="43"/>
      <c r="R160" s="44"/>
      <c r="S160" s="43">
        <f t="shared" si="15"/>
        <v>0</v>
      </c>
      <c r="T160" s="43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133</v>
      </c>
      <c r="C161" s="374" t="s">
        <v>39</v>
      </c>
      <c r="D161" s="374" t="s">
        <v>448</v>
      </c>
      <c r="E161" s="381" t="s">
        <v>23</v>
      </c>
      <c r="F161" s="232" t="s">
        <v>449</v>
      </c>
      <c r="G161" s="23" t="s">
        <v>24</v>
      </c>
      <c r="H161" s="61">
        <v>12</v>
      </c>
      <c r="I161" s="62">
        <v>7</v>
      </c>
      <c r="J161" s="62">
        <v>7</v>
      </c>
      <c r="K161" s="30">
        <v>17034.34</v>
      </c>
      <c r="L161" s="205">
        <v>7</v>
      </c>
      <c r="M161" s="26">
        <f t="shared" si="14"/>
        <v>17034.34</v>
      </c>
      <c r="N161" s="30">
        <v>17034.34</v>
      </c>
      <c r="O161" s="31"/>
      <c r="P161" s="53">
        <v>12</v>
      </c>
      <c r="Q161" s="30">
        <v>1415.78</v>
      </c>
      <c r="R161" s="205">
        <v>1</v>
      </c>
      <c r="S161" s="26">
        <f t="shared" si="15"/>
        <v>1415.78</v>
      </c>
      <c r="T161" s="30">
        <v>1415.78</v>
      </c>
      <c r="U161" s="3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34"/>
      <c r="G162" s="35" t="s">
        <v>25</v>
      </c>
      <c r="H162" s="106"/>
      <c r="I162" s="38"/>
      <c r="J162" s="38"/>
      <c r="K162" s="39"/>
      <c r="L162" s="40"/>
      <c r="M162" s="39">
        <f t="shared" si="14"/>
        <v>0</v>
      </c>
      <c r="N162" s="39"/>
      <c r="O162" s="41"/>
      <c r="P162" s="59"/>
      <c r="Q162" s="39"/>
      <c r="R162" s="40"/>
      <c r="S162" s="39">
        <f t="shared" si="15"/>
        <v>0</v>
      </c>
      <c r="T162" s="39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134</v>
      </c>
      <c r="C163" s="374" t="s">
        <v>39</v>
      </c>
      <c r="D163" s="374" t="s">
        <v>280</v>
      </c>
      <c r="E163" s="374" t="s">
        <v>136</v>
      </c>
      <c r="F163" s="204" t="s">
        <v>282</v>
      </c>
      <c r="G163" s="176" t="s">
        <v>24</v>
      </c>
      <c r="H163" s="48">
        <v>14</v>
      </c>
      <c r="I163" s="203">
        <v>11</v>
      </c>
      <c r="J163" s="203">
        <v>12</v>
      </c>
      <c r="K163" s="65">
        <v>16411.849999999999</v>
      </c>
      <c r="L163" s="224">
        <v>12</v>
      </c>
      <c r="M163" s="50">
        <f t="shared" si="14"/>
        <v>16411.849999999999</v>
      </c>
      <c r="N163" s="65">
        <v>16411.849999999999</v>
      </c>
      <c r="O163" s="225"/>
      <c r="P163" s="108">
        <v>7</v>
      </c>
      <c r="Q163" s="65">
        <v>50795.35</v>
      </c>
      <c r="R163" s="224">
        <v>7</v>
      </c>
      <c r="S163" s="50">
        <f t="shared" si="15"/>
        <v>50795.35</v>
      </c>
      <c r="T163" s="65">
        <v>50795.35</v>
      </c>
      <c r="U163" s="22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87"/>
      <c r="B164" s="386"/>
      <c r="C164" s="386"/>
      <c r="D164" s="386"/>
      <c r="E164" s="386"/>
      <c r="F164" s="235" t="s">
        <v>321</v>
      </c>
      <c r="G164" s="252" t="s">
        <v>28</v>
      </c>
      <c r="H164" s="151">
        <v>13</v>
      </c>
      <c r="I164" s="246">
        <v>5</v>
      </c>
      <c r="J164" s="246">
        <v>5</v>
      </c>
      <c r="K164" s="158">
        <v>10648.6</v>
      </c>
      <c r="L164" s="317">
        <v>5</v>
      </c>
      <c r="M164" s="142">
        <f t="shared" si="14"/>
        <v>10648.599999999999</v>
      </c>
      <c r="N164" s="142">
        <f>1921+2305.2+1404.9+3211.2+1806.3</f>
        <v>10648.599999999999</v>
      </c>
      <c r="O164" s="45"/>
      <c r="P164" s="157">
        <v>4</v>
      </c>
      <c r="Q164" s="158">
        <v>8625.2900000000009</v>
      </c>
      <c r="R164" s="224">
        <v>5</v>
      </c>
      <c r="S164" s="50">
        <f t="shared" si="15"/>
        <v>9681.84</v>
      </c>
      <c r="T164" s="158">
        <f>6224.04+3457.8</f>
        <v>9681.84</v>
      </c>
      <c r="U164" s="45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3"/>
      <c r="B165" s="375"/>
      <c r="C165" s="375"/>
      <c r="D165" s="375"/>
      <c r="E165" s="375"/>
      <c r="F165" s="220" t="s">
        <v>494</v>
      </c>
      <c r="G165" s="229" t="s">
        <v>25</v>
      </c>
      <c r="H165" s="118"/>
      <c r="I165" s="57"/>
      <c r="J165" s="57"/>
      <c r="K165" s="43"/>
      <c r="L165" s="44"/>
      <c r="M165" s="43">
        <f t="shared" si="14"/>
        <v>0</v>
      </c>
      <c r="N165" s="43"/>
      <c r="O165" s="41"/>
      <c r="P165" s="113">
        <v>1</v>
      </c>
      <c r="Q165" s="114">
        <v>7024.5</v>
      </c>
      <c r="R165" s="270">
        <v>1</v>
      </c>
      <c r="S165" s="114">
        <v>7024.5</v>
      </c>
      <c r="T165" s="114">
        <v>7024.5</v>
      </c>
      <c r="U165" s="4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2"/>
      <c r="B166" s="374" t="s">
        <v>137</v>
      </c>
      <c r="C166" s="377" t="s">
        <v>39</v>
      </c>
      <c r="D166" s="374" t="s">
        <v>322</v>
      </c>
      <c r="E166" s="377" t="s">
        <v>27</v>
      </c>
      <c r="F166" s="232" t="s">
        <v>323</v>
      </c>
      <c r="G166" s="23" t="s">
        <v>24</v>
      </c>
      <c r="H166" s="24">
        <v>16</v>
      </c>
      <c r="I166" s="62">
        <v>11</v>
      </c>
      <c r="J166" s="62">
        <v>14</v>
      </c>
      <c r="K166" s="30">
        <v>23878.68</v>
      </c>
      <c r="L166" s="205">
        <v>14</v>
      </c>
      <c r="M166" s="26">
        <f t="shared" si="14"/>
        <v>23878.68</v>
      </c>
      <c r="N166" s="30">
        <v>23878.68</v>
      </c>
      <c r="O166" s="31"/>
      <c r="P166" s="53">
        <v>2</v>
      </c>
      <c r="Q166" s="30">
        <v>3779.47</v>
      </c>
      <c r="R166" s="205">
        <v>2</v>
      </c>
      <c r="S166" s="26">
        <f t="shared" ref="S166:S190" si="16">T166+U166</f>
        <v>3779.47</v>
      </c>
      <c r="T166" s="30">
        <v>3779.47</v>
      </c>
      <c r="U166" s="22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80"/>
      <c r="F167" s="220" t="s">
        <v>241</v>
      </c>
      <c r="G167" s="35" t="s">
        <v>28</v>
      </c>
      <c r="H167" s="66">
        <v>8</v>
      </c>
      <c r="I167" s="37">
        <v>6</v>
      </c>
      <c r="J167" s="37">
        <v>6</v>
      </c>
      <c r="K167" s="68">
        <v>7049.7</v>
      </c>
      <c r="L167" s="285">
        <v>7</v>
      </c>
      <c r="M167" s="39">
        <f t="shared" si="14"/>
        <v>7049.7000000000007</v>
      </c>
      <c r="N167" s="39">
        <f>576.3+1716.8+1344.7+1404.9+602.1+1404.9</f>
        <v>7049.7000000000007</v>
      </c>
      <c r="O167" s="41"/>
      <c r="P167" s="115">
        <v>3</v>
      </c>
      <c r="Q167" s="68">
        <v>5674.1</v>
      </c>
      <c r="R167" s="285">
        <v>3</v>
      </c>
      <c r="S167" s="39">
        <f t="shared" si="16"/>
        <v>9366.36</v>
      </c>
      <c r="T167" s="39">
        <f>1921+1344.7+3692.26+2408.4</f>
        <v>9366.36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138</v>
      </c>
      <c r="C168" s="374" t="s">
        <v>22</v>
      </c>
      <c r="D168" s="374"/>
      <c r="E168" s="374" t="s">
        <v>27</v>
      </c>
      <c r="F168" s="204" t="s">
        <v>324</v>
      </c>
      <c r="G168" s="176" t="s">
        <v>24</v>
      </c>
      <c r="H168" s="151">
        <v>13</v>
      </c>
      <c r="I168" s="203">
        <v>9</v>
      </c>
      <c r="J168" s="203">
        <v>10</v>
      </c>
      <c r="K168" s="65">
        <v>19508.22</v>
      </c>
      <c r="L168" s="224">
        <v>10</v>
      </c>
      <c r="M168" s="50">
        <f t="shared" si="14"/>
        <v>19508.22</v>
      </c>
      <c r="N168" s="65">
        <v>19508.22</v>
      </c>
      <c r="O168" s="31"/>
      <c r="P168" s="108">
        <v>10</v>
      </c>
      <c r="Q168" s="65">
        <v>22636.89</v>
      </c>
      <c r="R168" s="224">
        <v>9</v>
      </c>
      <c r="S168" s="50">
        <f t="shared" si="16"/>
        <v>21231.99</v>
      </c>
      <c r="T168" s="65">
        <v>21231.99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242</v>
      </c>
      <c r="G169" s="229" t="s">
        <v>28</v>
      </c>
      <c r="H169" s="133">
        <v>7</v>
      </c>
      <c r="I169" s="130">
        <v>7</v>
      </c>
      <c r="J169" s="130">
        <v>7</v>
      </c>
      <c r="K169" s="114">
        <v>26745.9</v>
      </c>
      <c r="L169" s="270">
        <v>7</v>
      </c>
      <c r="M169" s="43">
        <f t="shared" si="14"/>
        <v>21199.72</v>
      </c>
      <c r="N169" s="43">
        <f>3880.42+1344.7+1921+1690.48+6623.1+5740.02</f>
        <v>21199.72</v>
      </c>
      <c r="O169" s="41"/>
      <c r="P169" s="113">
        <v>5</v>
      </c>
      <c r="Q169" s="114">
        <v>11814.15</v>
      </c>
      <c r="R169" s="270">
        <v>4</v>
      </c>
      <c r="S169" s="43">
        <f t="shared" si="16"/>
        <v>9893.15</v>
      </c>
      <c r="T169" s="114">
        <f>4802.5+2401.25+2689.4</f>
        <v>9893.15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139</v>
      </c>
      <c r="C170" s="374" t="s">
        <v>22</v>
      </c>
      <c r="D170" s="374"/>
      <c r="E170" s="374" t="s">
        <v>67</v>
      </c>
      <c r="F170" s="232" t="s">
        <v>325</v>
      </c>
      <c r="G170" s="23" t="s">
        <v>24</v>
      </c>
      <c r="H170" s="151">
        <v>8</v>
      </c>
      <c r="I170" s="62">
        <v>6</v>
      </c>
      <c r="J170" s="62">
        <v>7</v>
      </c>
      <c r="K170" s="30">
        <v>14388.8</v>
      </c>
      <c r="L170" s="205">
        <v>7</v>
      </c>
      <c r="M170" s="26">
        <f t="shared" si="14"/>
        <v>14388.8</v>
      </c>
      <c r="N170" s="30">
        <v>14388.8</v>
      </c>
      <c r="O170" s="225"/>
      <c r="P170" s="53">
        <v>15</v>
      </c>
      <c r="Q170" s="30">
        <v>52937.79</v>
      </c>
      <c r="R170" s="205">
        <v>15</v>
      </c>
      <c r="S170" s="26">
        <f t="shared" si="16"/>
        <v>52937.79</v>
      </c>
      <c r="T170" s="30">
        <v>52937.79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33" t="s">
        <v>326</v>
      </c>
      <c r="G171" s="227" t="s">
        <v>28</v>
      </c>
      <c r="H171" s="112">
        <v>8</v>
      </c>
      <c r="I171" s="130">
        <v>4</v>
      </c>
      <c r="J171" s="130">
        <v>4</v>
      </c>
      <c r="K171" s="114">
        <v>9138.1</v>
      </c>
      <c r="L171" s="270">
        <v>4</v>
      </c>
      <c r="M171" s="43">
        <f t="shared" si="14"/>
        <v>8335.2999999999993</v>
      </c>
      <c r="N171" s="43">
        <f>1728.9+602.1+2504.4+3499.9</f>
        <v>8335.2999999999993</v>
      </c>
      <c r="O171" s="45"/>
      <c r="P171" s="113">
        <v>9</v>
      </c>
      <c r="Q171" s="114">
        <v>35157.300000000003</v>
      </c>
      <c r="R171" s="270">
        <v>8</v>
      </c>
      <c r="S171" s="43">
        <f t="shared" si="16"/>
        <v>22769.55</v>
      </c>
      <c r="T171" s="114">
        <f>6269.7+3984+2305.2+3503.9+5602.9+1103.85</f>
        <v>22769.55</v>
      </c>
      <c r="U171" s="45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140</v>
      </c>
      <c r="C172" s="374" t="s">
        <v>39</v>
      </c>
      <c r="D172" s="374" t="s">
        <v>369</v>
      </c>
      <c r="E172" s="374" t="s">
        <v>27</v>
      </c>
      <c r="F172" s="204" t="s">
        <v>370</v>
      </c>
      <c r="G172" s="176" t="s">
        <v>24</v>
      </c>
      <c r="H172" s="24">
        <v>19</v>
      </c>
      <c r="I172" s="62">
        <v>13</v>
      </c>
      <c r="J172" s="62">
        <v>16</v>
      </c>
      <c r="K172" s="30">
        <v>45364.480000000003</v>
      </c>
      <c r="L172" s="205">
        <v>14</v>
      </c>
      <c r="M172" s="26">
        <f t="shared" si="14"/>
        <v>30399.81</v>
      </c>
      <c r="N172" s="30">
        <v>30399.81</v>
      </c>
      <c r="O172" s="159"/>
      <c r="P172" s="53">
        <v>4</v>
      </c>
      <c r="Q172" s="30">
        <v>31835.37</v>
      </c>
      <c r="R172" s="205">
        <v>4</v>
      </c>
      <c r="S172" s="26">
        <f t="shared" si="16"/>
        <v>31835.37</v>
      </c>
      <c r="T172" s="30">
        <v>31835.37</v>
      </c>
      <c r="U172" s="2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243</v>
      </c>
      <c r="G173" s="282" t="s">
        <v>28</v>
      </c>
      <c r="H173" s="207">
        <v>9</v>
      </c>
      <c r="I173" s="208">
        <v>2</v>
      </c>
      <c r="J173" s="208">
        <v>2</v>
      </c>
      <c r="K173" s="209">
        <v>6143.4</v>
      </c>
      <c r="L173" s="210"/>
      <c r="M173" s="211">
        <f t="shared" si="14"/>
        <v>1728.9</v>
      </c>
      <c r="N173" s="211">
        <f>1728.9</f>
        <v>1728.9</v>
      </c>
      <c r="O173" s="274"/>
      <c r="P173" s="262">
        <v>3</v>
      </c>
      <c r="Q173" s="209">
        <v>5494.06</v>
      </c>
      <c r="R173" s="290">
        <v>6</v>
      </c>
      <c r="S173" s="211">
        <f t="shared" si="16"/>
        <v>14023.3</v>
      </c>
      <c r="T173" s="211">
        <f>4034.1+3073.6+5071.44+1267.86+576.3</f>
        <v>14023.3</v>
      </c>
      <c r="U173" s="212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413</v>
      </c>
      <c r="C174" s="374" t="s">
        <v>22</v>
      </c>
      <c r="D174" s="374"/>
      <c r="E174" s="374" t="s">
        <v>391</v>
      </c>
      <c r="F174" s="204" t="s">
        <v>414</v>
      </c>
      <c r="G174" s="176" t="s">
        <v>24</v>
      </c>
      <c r="H174" s="24">
        <v>8</v>
      </c>
      <c r="I174" s="62">
        <v>5</v>
      </c>
      <c r="J174" s="62">
        <v>8</v>
      </c>
      <c r="K174" s="30">
        <v>20996.880000000001</v>
      </c>
      <c r="L174" s="205">
        <v>6</v>
      </c>
      <c r="M174" s="26">
        <f t="shared" si="14"/>
        <v>18005.849999999999</v>
      </c>
      <c r="N174" s="30">
        <v>18005.849999999999</v>
      </c>
      <c r="O174" s="28"/>
      <c r="P174" s="214"/>
      <c r="Q174" s="30"/>
      <c r="R174" s="205"/>
      <c r="S174" s="26">
        <f t="shared" si="16"/>
        <v>0</v>
      </c>
      <c r="T174" s="30"/>
      <c r="U174" s="2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20"/>
      <c r="G175" s="229" t="s">
        <v>28</v>
      </c>
      <c r="H175" s="66"/>
      <c r="I175" s="38"/>
      <c r="J175" s="38"/>
      <c r="K175" s="39"/>
      <c r="L175" s="40"/>
      <c r="M175" s="39">
        <f t="shared" si="14"/>
        <v>0</v>
      </c>
      <c r="N175" s="39"/>
      <c r="O175" s="41"/>
      <c r="P175" s="217"/>
      <c r="Q175" s="68"/>
      <c r="R175" s="285"/>
      <c r="S175" s="39">
        <f t="shared" si="16"/>
        <v>0</v>
      </c>
      <c r="T175" s="68"/>
      <c r="U175" s="41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141</v>
      </c>
      <c r="C176" s="374" t="s">
        <v>39</v>
      </c>
      <c r="D176" s="374" t="s">
        <v>371</v>
      </c>
      <c r="E176" s="374" t="s">
        <v>27</v>
      </c>
      <c r="F176" s="204" t="s">
        <v>372</v>
      </c>
      <c r="G176" s="176" t="s">
        <v>24</v>
      </c>
      <c r="H176" s="281">
        <v>9</v>
      </c>
      <c r="I176" s="266">
        <v>6</v>
      </c>
      <c r="J176" s="266">
        <v>6</v>
      </c>
      <c r="K176" s="79">
        <v>11997.57</v>
      </c>
      <c r="L176" s="268">
        <v>5</v>
      </c>
      <c r="M176" s="81">
        <f t="shared" si="14"/>
        <v>11395.47</v>
      </c>
      <c r="N176" s="79">
        <v>11395.47</v>
      </c>
      <c r="O176" s="219"/>
      <c r="P176" s="267">
        <v>3</v>
      </c>
      <c r="Q176" s="79">
        <v>16223.5</v>
      </c>
      <c r="R176" s="268">
        <v>3</v>
      </c>
      <c r="S176" s="81">
        <f t="shared" si="16"/>
        <v>16223.5</v>
      </c>
      <c r="T176" s="79">
        <v>16223.5</v>
      </c>
      <c r="U176" s="219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34"/>
      <c r="G177" s="229" t="s">
        <v>28</v>
      </c>
      <c r="H177" s="118"/>
      <c r="I177" s="57"/>
      <c r="J177" s="57"/>
      <c r="K177" s="43"/>
      <c r="L177" s="44"/>
      <c r="M177" s="43">
        <f t="shared" si="14"/>
        <v>0</v>
      </c>
      <c r="N177" s="43"/>
      <c r="O177" s="45"/>
      <c r="P177" s="103"/>
      <c r="Q177" s="43"/>
      <c r="R177" s="44"/>
      <c r="S177" s="43">
        <f t="shared" si="16"/>
        <v>0</v>
      </c>
      <c r="T177" s="43"/>
      <c r="U177" s="45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142</v>
      </c>
      <c r="C178" s="374" t="s">
        <v>39</v>
      </c>
      <c r="D178" s="374" t="s">
        <v>415</v>
      </c>
      <c r="E178" s="374" t="s">
        <v>27</v>
      </c>
      <c r="F178" s="232" t="s">
        <v>416</v>
      </c>
      <c r="G178" s="23" t="s">
        <v>24</v>
      </c>
      <c r="H178" s="24">
        <v>5</v>
      </c>
      <c r="I178" s="62">
        <v>2</v>
      </c>
      <c r="J178" s="62">
        <v>2</v>
      </c>
      <c r="K178" s="30">
        <v>524.91</v>
      </c>
      <c r="L178" s="205">
        <v>2</v>
      </c>
      <c r="M178" s="26">
        <f t="shared" si="14"/>
        <v>524.91</v>
      </c>
      <c r="N178" s="30">
        <v>524.91</v>
      </c>
      <c r="O178" s="241"/>
      <c r="P178" s="53">
        <v>2</v>
      </c>
      <c r="Q178" s="30">
        <v>14444.79</v>
      </c>
      <c r="R178" s="205">
        <v>2</v>
      </c>
      <c r="S178" s="26">
        <f t="shared" si="16"/>
        <v>14444.79</v>
      </c>
      <c r="T178" s="30">
        <v>14444.79</v>
      </c>
      <c r="U178" s="2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105"/>
      <c r="G179" s="227" t="s">
        <v>28</v>
      </c>
      <c r="H179" s="311"/>
      <c r="I179" s="261"/>
      <c r="J179" s="261"/>
      <c r="K179" s="211"/>
      <c r="L179" s="210"/>
      <c r="M179" s="211">
        <f t="shared" si="14"/>
        <v>0</v>
      </c>
      <c r="N179" s="211"/>
      <c r="O179" s="212"/>
      <c r="P179" s="273"/>
      <c r="Q179" s="211"/>
      <c r="R179" s="210"/>
      <c r="S179" s="211">
        <f t="shared" si="16"/>
        <v>0</v>
      </c>
      <c r="T179" s="211"/>
      <c r="U179" s="212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424</v>
      </c>
      <c r="C180" s="374" t="s">
        <v>22</v>
      </c>
      <c r="D180" s="374"/>
      <c r="E180" s="374" t="s">
        <v>65</v>
      </c>
      <c r="F180" s="232" t="s">
        <v>437</v>
      </c>
      <c r="G180" s="213" t="s">
        <v>24</v>
      </c>
      <c r="H180" s="24">
        <v>6</v>
      </c>
      <c r="I180" s="62">
        <v>4</v>
      </c>
      <c r="J180" s="62">
        <v>6</v>
      </c>
      <c r="K180" s="30">
        <v>9442.35</v>
      </c>
      <c r="L180" s="205">
        <v>6</v>
      </c>
      <c r="M180" s="26">
        <f t="shared" si="14"/>
        <v>9442.35</v>
      </c>
      <c r="N180" s="30">
        <v>9442.35</v>
      </c>
      <c r="O180" s="28"/>
      <c r="P180" s="214"/>
      <c r="Q180" s="30"/>
      <c r="R180" s="205"/>
      <c r="S180" s="26">
        <f t="shared" si="16"/>
        <v>0</v>
      </c>
      <c r="T180" s="30"/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220"/>
      <c r="G181" s="215" t="s">
        <v>28</v>
      </c>
      <c r="H181" s="66"/>
      <c r="I181" s="38"/>
      <c r="J181" s="38"/>
      <c r="K181" s="39"/>
      <c r="L181" s="40"/>
      <c r="M181" s="39">
        <f t="shared" si="14"/>
        <v>0</v>
      </c>
      <c r="N181" s="39"/>
      <c r="O181" s="41"/>
      <c r="P181" s="217"/>
      <c r="Q181" s="68"/>
      <c r="R181" s="285"/>
      <c r="S181" s="39">
        <f t="shared" si="16"/>
        <v>0</v>
      </c>
      <c r="T181" s="68"/>
      <c r="U181" s="23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6"/>
      <c r="B182" s="377" t="s">
        <v>143</v>
      </c>
      <c r="C182" s="377" t="s">
        <v>39</v>
      </c>
      <c r="D182" s="377" t="s">
        <v>327</v>
      </c>
      <c r="E182" s="377" t="s">
        <v>145</v>
      </c>
      <c r="F182" s="232" t="s">
        <v>215</v>
      </c>
      <c r="G182" s="95" t="s">
        <v>24</v>
      </c>
      <c r="H182" s="281">
        <v>10</v>
      </c>
      <c r="I182" s="266">
        <v>7</v>
      </c>
      <c r="J182" s="266">
        <v>9</v>
      </c>
      <c r="K182" s="79">
        <v>15151.29</v>
      </c>
      <c r="L182" s="268">
        <v>9</v>
      </c>
      <c r="M182" s="81">
        <f t="shared" si="14"/>
        <v>15151.29</v>
      </c>
      <c r="N182" s="79">
        <v>15151.29</v>
      </c>
      <c r="O182" s="219"/>
      <c r="P182" s="267">
        <v>18</v>
      </c>
      <c r="Q182" s="79">
        <v>50132.05</v>
      </c>
      <c r="R182" s="268">
        <v>18</v>
      </c>
      <c r="S182" s="81">
        <f t="shared" si="16"/>
        <v>50132.05</v>
      </c>
      <c r="T182" s="79">
        <v>50132.05</v>
      </c>
      <c r="U182" s="269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9"/>
      <c r="B183" s="380"/>
      <c r="C183" s="380"/>
      <c r="D183" s="380"/>
      <c r="E183" s="380"/>
      <c r="F183" s="233" t="s">
        <v>244</v>
      </c>
      <c r="G183" s="227" t="s">
        <v>28</v>
      </c>
      <c r="H183" s="133">
        <v>10</v>
      </c>
      <c r="I183" s="130">
        <v>5</v>
      </c>
      <c r="J183" s="130">
        <v>5</v>
      </c>
      <c r="K183" s="114">
        <v>21716.12</v>
      </c>
      <c r="L183" s="316">
        <v>6</v>
      </c>
      <c r="M183" s="50">
        <f t="shared" si="14"/>
        <v>21489.82</v>
      </c>
      <c r="N183" s="43">
        <f>2497.3+1152.6+5920.02+4595.4+602.1+6722.4</f>
        <v>21489.82</v>
      </c>
      <c r="O183" s="41"/>
      <c r="P183" s="113">
        <v>3</v>
      </c>
      <c r="Q183" s="114">
        <v>17758.3</v>
      </c>
      <c r="R183" s="270">
        <v>3</v>
      </c>
      <c r="S183" s="43">
        <f t="shared" si="16"/>
        <v>8500.2999999999993</v>
      </c>
      <c r="T183" s="114">
        <f>576.3+5426.7+2497.3</f>
        <v>8500.2999999999993</v>
      </c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146</v>
      </c>
      <c r="C184" s="374" t="s">
        <v>39</v>
      </c>
      <c r="D184" s="374" t="s">
        <v>328</v>
      </c>
      <c r="E184" s="374" t="s">
        <v>27</v>
      </c>
      <c r="F184" s="204" t="s">
        <v>329</v>
      </c>
      <c r="G184" s="176" t="s">
        <v>24</v>
      </c>
      <c r="H184" s="48">
        <v>14</v>
      </c>
      <c r="I184" s="62">
        <v>12</v>
      </c>
      <c r="J184" s="62">
        <v>13</v>
      </c>
      <c r="K184" s="30">
        <v>34160.230000000003</v>
      </c>
      <c r="L184" s="205">
        <v>9</v>
      </c>
      <c r="M184" s="26">
        <f t="shared" si="14"/>
        <v>29875.67</v>
      </c>
      <c r="N184" s="30">
        <v>29875.67</v>
      </c>
      <c r="O184" s="225"/>
      <c r="P184" s="53">
        <v>13</v>
      </c>
      <c r="Q184" s="30">
        <v>38649.24</v>
      </c>
      <c r="R184" s="205">
        <v>12</v>
      </c>
      <c r="S184" s="26">
        <f t="shared" si="16"/>
        <v>36322.32</v>
      </c>
      <c r="T184" s="30">
        <v>36322.32</v>
      </c>
      <c r="U184" s="225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 t="s">
        <v>330</v>
      </c>
      <c r="G185" s="229" t="s">
        <v>28</v>
      </c>
      <c r="H185" s="153">
        <v>5</v>
      </c>
      <c r="I185" s="130">
        <v>2</v>
      </c>
      <c r="J185" s="130">
        <v>2</v>
      </c>
      <c r="K185" s="114">
        <v>7867.44</v>
      </c>
      <c r="L185" s="270">
        <v>2</v>
      </c>
      <c r="M185" s="43">
        <f t="shared" si="14"/>
        <v>7867.44</v>
      </c>
      <c r="N185" s="43">
        <f>2649.24+5218.2</f>
        <v>7867.44</v>
      </c>
      <c r="O185" s="41"/>
      <c r="P185" s="115">
        <v>8</v>
      </c>
      <c r="Q185" s="68">
        <v>30985.07</v>
      </c>
      <c r="R185" s="285">
        <v>8</v>
      </c>
      <c r="S185" s="39">
        <f t="shared" si="16"/>
        <v>30985.07</v>
      </c>
      <c r="T185" s="68">
        <f>576.3+15944.3+1479.17+1344.7+8228.7+1404.9+2007</f>
        <v>30985.07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148</v>
      </c>
      <c r="C186" s="374" t="s">
        <v>39</v>
      </c>
      <c r="D186" s="374" t="s">
        <v>149</v>
      </c>
      <c r="E186" s="374" t="s">
        <v>27</v>
      </c>
      <c r="F186" s="204" t="s">
        <v>218</v>
      </c>
      <c r="G186" s="176" t="s">
        <v>24</v>
      </c>
      <c r="H186" s="48">
        <v>25</v>
      </c>
      <c r="I186" s="62">
        <v>22</v>
      </c>
      <c r="J186" s="204">
        <v>30</v>
      </c>
      <c r="K186" s="30">
        <v>49643.35</v>
      </c>
      <c r="L186" s="205">
        <v>29</v>
      </c>
      <c r="M186" s="26">
        <f t="shared" si="14"/>
        <v>49041.25</v>
      </c>
      <c r="N186" s="30">
        <v>49041.25</v>
      </c>
      <c r="O186" s="225"/>
      <c r="P186" s="108">
        <v>23</v>
      </c>
      <c r="Q186" s="65">
        <v>84634.18</v>
      </c>
      <c r="R186" s="224">
        <v>23</v>
      </c>
      <c r="S186" s="50">
        <f t="shared" si="16"/>
        <v>84634.18</v>
      </c>
      <c r="T186" s="65">
        <v>84634.18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34"/>
      <c r="G187" s="229" t="s">
        <v>28</v>
      </c>
      <c r="H187" s="292">
        <v>3</v>
      </c>
      <c r="I187" s="208">
        <v>1</v>
      </c>
      <c r="J187" s="208">
        <v>1</v>
      </c>
      <c r="K187" s="209">
        <v>3010.5</v>
      </c>
      <c r="L187" s="290">
        <v>1</v>
      </c>
      <c r="M187" s="211">
        <f t="shared" si="14"/>
        <v>3010.5</v>
      </c>
      <c r="N187" s="211">
        <f>3010.5</f>
        <v>3010.5</v>
      </c>
      <c r="O187" s="212"/>
      <c r="P187" s="262">
        <v>2</v>
      </c>
      <c r="Q187" s="209">
        <v>10069.41</v>
      </c>
      <c r="R187" s="290">
        <v>3</v>
      </c>
      <c r="S187" s="211">
        <f t="shared" si="16"/>
        <v>3902.2000000000003</v>
      </c>
      <c r="T187" s="209">
        <f>1921+576.3+1404.9</f>
        <v>3902.2000000000003</v>
      </c>
      <c r="U187" s="21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373</v>
      </c>
      <c r="C188" s="374" t="s">
        <v>22</v>
      </c>
      <c r="D188" s="374"/>
      <c r="E188" s="374" t="s">
        <v>27</v>
      </c>
      <c r="F188" s="232" t="s">
        <v>417</v>
      </c>
      <c r="G188" s="213" t="s">
        <v>24</v>
      </c>
      <c r="H188" s="61">
        <v>2</v>
      </c>
      <c r="I188" s="62">
        <v>2</v>
      </c>
      <c r="J188" s="62">
        <v>3</v>
      </c>
      <c r="K188" s="326">
        <v>2669.31</v>
      </c>
      <c r="L188" s="327">
        <v>3</v>
      </c>
      <c r="M188" s="162">
        <f t="shared" si="14"/>
        <v>2669.31</v>
      </c>
      <c r="N188" s="326">
        <v>2669.31</v>
      </c>
      <c r="O188" s="28"/>
      <c r="P188" s="275"/>
      <c r="Q188" s="26"/>
      <c r="R188" s="27"/>
      <c r="S188" s="26">
        <f t="shared" si="16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105"/>
      <c r="G189" s="215" t="s">
        <v>28</v>
      </c>
      <c r="H189" s="117">
        <v>6</v>
      </c>
      <c r="I189" s="37">
        <v>2</v>
      </c>
      <c r="J189" s="37">
        <v>2</v>
      </c>
      <c r="K189" s="318">
        <v>1658.32</v>
      </c>
      <c r="L189" s="343">
        <v>2</v>
      </c>
      <c r="M189" s="164">
        <f t="shared" si="14"/>
        <v>1658.65</v>
      </c>
      <c r="N189" s="164">
        <f>1056.55+602.1</f>
        <v>1658.65</v>
      </c>
      <c r="O189" s="41"/>
      <c r="P189" s="276"/>
      <c r="Q189" s="39"/>
      <c r="R189" s="40"/>
      <c r="S189" s="39">
        <f t="shared" si="16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6"/>
      <c r="B190" s="402" t="s">
        <v>150</v>
      </c>
      <c r="C190" s="377" t="s">
        <v>39</v>
      </c>
      <c r="D190" s="377" t="s">
        <v>151</v>
      </c>
      <c r="E190" s="377" t="s">
        <v>152</v>
      </c>
      <c r="F190" s="72"/>
      <c r="G190" s="95" t="s">
        <v>24</v>
      </c>
      <c r="H190" s="74"/>
      <c r="I190" s="96"/>
      <c r="J190" s="96"/>
      <c r="K190" s="293"/>
      <c r="L190" s="294"/>
      <c r="M190" s="293">
        <f t="shared" si="14"/>
        <v>0</v>
      </c>
      <c r="N190" s="293"/>
      <c r="O190" s="82"/>
      <c r="P190" s="295"/>
      <c r="Q190" s="81"/>
      <c r="R190" s="80"/>
      <c r="S190" s="81">
        <f t="shared" si="16"/>
        <v>0</v>
      </c>
      <c r="T190" s="81"/>
      <c r="U190" s="8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89"/>
      <c r="C191" s="375"/>
      <c r="D191" s="375"/>
      <c r="E191" s="375"/>
      <c r="F191" s="220" t="s">
        <v>331</v>
      </c>
      <c r="G191" s="35" t="s">
        <v>25</v>
      </c>
      <c r="H191" s="117">
        <v>4</v>
      </c>
      <c r="I191" s="38"/>
      <c r="J191" s="38"/>
      <c r="K191" s="164"/>
      <c r="L191" s="165"/>
      <c r="M191" s="164">
        <f t="shared" si="14"/>
        <v>0</v>
      </c>
      <c r="N191" s="164"/>
      <c r="O191" s="41"/>
      <c r="P191" s="67">
        <v>5</v>
      </c>
      <c r="Q191" s="68">
        <v>32446.01</v>
      </c>
      <c r="R191" s="285">
        <v>5</v>
      </c>
      <c r="S191" s="68">
        <v>32446.01</v>
      </c>
      <c r="T191" s="68">
        <v>32446.01</v>
      </c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82"/>
      <c r="B192" s="381" t="s">
        <v>153</v>
      </c>
      <c r="C192" s="374" t="s">
        <v>39</v>
      </c>
      <c r="D192" s="381" t="s">
        <v>332</v>
      </c>
      <c r="E192" s="381" t="s">
        <v>27</v>
      </c>
      <c r="F192" s="223" t="s">
        <v>333</v>
      </c>
      <c r="G192" s="47" t="s">
        <v>24</v>
      </c>
      <c r="H192" s="48">
        <v>24</v>
      </c>
      <c r="I192" s="203">
        <v>23</v>
      </c>
      <c r="J192" s="203">
        <v>38</v>
      </c>
      <c r="K192" s="242">
        <v>84037.54</v>
      </c>
      <c r="L192" s="320">
        <v>36</v>
      </c>
      <c r="M192" s="166">
        <f t="shared" si="14"/>
        <v>79721.08</v>
      </c>
      <c r="N192" s="242">
        <v>79721.08</v>
      </c>
      <c r="O192" s="225"/>
      <c r="P192" s="108">
        <v>8</v>
      </c>
      <c r="Q192" s="65">
        <v>44672.93</v>
      </c>
      <c r="R192" s="224">
        <v>8</v>
      </c>
      <c r="S192" s="50">
        <f t="shared" ref="S192:S211" si="17">T192+U192</f>
        <v>44672.93</v>
      </c>
      <c r="T192" s="65">
        <v>44672.93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9"/>
      <c r="B193" s="380"/>
      <c r="C193" s="375"/>
      <c r="D193" s="380"/>
      <c r="E193" s="380"/>
      <c r="F193" s="34"/>
      <c r="G193" s="35" t="s">
        <v>28</v>
      </c>
      <c r="H193" s="153">
        <v>4</v>
      </c>
      <c r="I193" s="130">
        <v>3</v>
      </c>
      <c r="J193" s="130">
        <v>3</v>
      </c>
      <c r="K193" s="114">
        <v>5166.6000000000004</v>
      </c>
      <c r="L193" s="270">
        <v>1</v>
      </c>
      <c r="M193" s="43">
        <f t="shared" si="14"/>
        <v>1152.5999999999999</v>
      </c>
      <c r="N193" s="43">
        <f>1152.6</f>
        <v>1152.5999999999999</v>
      </c>
      <c r="O193" s="41"/>
      <c r="P193" s="113">
        <v>4</v>
      </c>
      <c r="Q193" s="114">
        <v>21119.5</v>
      </c>
      <c r="R193" s="270">
        <v>5</v>
      </c>
      <c r="S193" s="43">
        <f t="shared" si="17"/>
        <v>23040.5</v>
      </c>
      <c r="T193" s="114">
        <f>1921+11718.1+5186.7+2809.8+1404.9</f>
        <v>23040.5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155</v>
      </c>
      <c r="C194" s="374" t="s">
        <v>22</v>
      </c>
      <c r="D194" s="374"/>
      <c r="E194" s="374" t="s">
        <v>37</v>
      </c>
      <c r="F194" s="223" t="s">
        <v>245</v>
      </c>
      <c r="G194" s="23" t="s">
        <v>24</v>
      </c>
      <c r="H194" s="48">
        <v>6</v>
      </c>
      <c r="I194" s="62">
        <v>5</v>
      </c>
      <c r="J194" s="62">
        <v>6</v>
      </c>
      <c r="K194" s="30">
        <v>8463.7199999999993</v>
      </c>
      <c r="L194" s="205">
        <v>4</v>
      </c>
      <c r="M194" s="26">
        <f t="shared" si="14"/>
        <v>5891.75</v>
      </c>
      <c r="N194" s="30">
        <v>5891.75</v>
      </c>
      <c r="O194" s="31"/>
      <c r="P194" s="53">
        <v>9</v>
      </c>
      <c r="Q194" s="30">
        <v>23074.77</v>
      </c>
      <c r="R194" s="205">
        <v>9</v>
      </c>
      <c r="S194" s="26">
        <f t="shared" si="17"/>
        <v>23074.77</v>
      </c>
      <c r="T194" s="30">
        <v>23074.77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105"/>
      <c r="G195" s="35" t="s">
        <v>28</v>
      </c>
      <c r="H195" s="116"/>
      <c r="I195" s="38"/>
      <c r="J195" s="38"/>
      <c r="K195" s="39"/>
      <c r="L195" s="40"/>
      <c r="M195" s="39">
        <f t="shared" si="14"/>
        <v>0</v>
      </c>
      <c r="N195" s="39"/>
      <c r="O195" s="41"/>
      <c r="P195" s="59"/>
      <c r="Q195" s="39"/>
      <c r="R195" s="40"/>
      <c r="S195" s="39">
        <f t="shared" si="17"/>
        <v>0</v>
      </c>
      <c r="T195" s="39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156</v>
      </c>
      <c r="C196" s="381" t="s">
        <v>46</v>
      </c>
      <c r="D196" s="385" t="s">
        <v>418</v>
      </c>
      <c r="E196" s="381" t="s">
        <v>27</v>
      </c>
      <c r="F196" s="223" t="s">
        <v>419</v>
      </c>
      <c r="G196" s="23" t="s">
        <v>24</v>
      </c>
      <c r="H196" s="98"/>
      <c r="I196" s="49"/>
      <c r="J196" s="49"/>
      <c r="K196" s="50"/>
      <c r="L196" s="51"/>
      <c r="M196" s="50">
        <f t="shared" si="14"/>
        <v>0</v>
      </c>
      <c r="N196" s="50"/>
      <c r="O196" s="31"/>
      <c r="P196" s="108">
        <v>2</v>
      </c>
      <c r="Q196" s="65">
        <v>14241.9</v>
      </c>
      <c r="R196" s="224">
        <v>2</v>
      </c>
      <c r="S196" s="50">
        <f t="shared" si="17"/>
        <v>14241.9</v>
      </c>
      <c r="T196" s="65">
        <v>14241.9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80"/>
      <c r="D197" s="380"/>
      <c r="E197" s="380"/>
      <c r="F197" s="54"/>
      <c r="G197" s="55" t="s">
        <v>28</v>
      </c>
      <c r="H197" s="56">
        <v>3</v>
      </c>
      <c r="I197" s="57"/>
      <c r="J197" s="57"/>
      <c r="K197" s="43"/>
      <c r="L197" s="44"/>
      <c r="M197" s="43">
        <f t="shared" si="14"/>
        <v>0</v>
      </c>
      <c r="N197" s="43"/>
      <c r="O197" s="41"/>
      <c r="P197" s="113">
        <v>1</v>
      </c>
      <c r="Q197" s="114">
        <v>0</v>
      </c>
      <c r="R197" s="44"/>
      <c r="S197" s="43">
        <f t="shared" si="17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157</v>
      </c>
      <c r="C198" s="390"/>
      <c r="D198" s="374"/>
      <c r="E198" s="374"/>
      <c r="F198" s="22"/>
      <c r="G198" s="23" t="s">
        <v>24</v>
      </c>
      <c r="H198" s="104"/>
      <c r="I198" s="25"/>
      <c r="J198" s="25"/>
      <c r="K198" s="26"/>
      <c r="L198" s="27"/>
      <c r="M198" s="26">
        <f t="shared" si="14"/>
        <v>0</v>
      </c>
      <c r="N198" s="26"/>
      <c r="O198" s="31"/>
      <c r="P198" s="120"/>
      <c r="Q198" s="26"/>
      <c r="R198" s="27"/>
      <c r="S198" s="26">
        <f t="shared" si="17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34"/>
      <c r="G199" s="35" t="s">
        <v>28</v>
      </c>
      <c r="H199" s="106"/>
      <c r="I199" s="38"/>
      <c r="J199" s="38"/>
      <c r="K199" s="39"/>
      <c r="L199" s="40"/>
      <c r="M199" s="39">
        <f t="shared" si="14"/>
        <v>0</v>
      </c>
      <c r="N199" s="39"/>
      <c r="O199" s="41"/>
      <c r="P199" s="69"/>
      <c r="Q199" s="39"/>
      <c r="R199" s="40"/>
      <c r="S199" s="39">
        <f t="shared" si="17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158</v>
      </c>
      <c r="C200" s="374" t="s">
        <v>39</v>
      </c>
      <c r="D200" s="374" t="s">
        <v>288</v>
      </c>
      <c r="E200" s="374" t="s">
        <v>27</v>
      </c>
      <c r="F200" s="204" t="s">
        <v>289</v>
      </c>
      <c r="G200" s="176" t="s">
        <v>24</v>
      </c>
      <c r="H200" s="48">
        <v>11</v>
      </c>
      <c r="I200" s="203">
        <v>10</v>
      </c>
      <c r="J200" s="203">
        <v>12</v>
      </c>
      <c r="K200" s="65">
        <v>28819.85</v>
      </c>
      <c r="L200" s="224">
        <v>12</v>
      </c>
      <c r="M200" s="50">
        <f t="shared" si="14"/>
        <v>28819.85</v>
      </c>
      <c r="N200" s="65">
        <v>28819.85</v>
      </c>
      <c r="O200" s="225"/>
      <c r="P200" s="108">
        <v>11</v>
      </c>
      <c r="Q200" s="65">
        <v>24722.32</v>
      </c>
      <c r="R200" s="224">
        <v>10</v>
      </c>
      <c r="S200" s="50">
        <f t="shared" si="17"/>
        <v>22956.16</v>
      </c>
      <c r="T200" s="65">
        <v>22956.16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334</v>
      </c>
      <c r="G201" s="229" t="s">
        <v>28</v>
      </c>
      <c r="H201" s="117">
        <v>5</v>
      </c>
      <c r="I201" s="37">
        <v>4</v>
      </c>
      <c r="J201" s="37">
        <v>4</v>
      </c>
      <c r="K201" s="68">
        <v>5874.79</v>
      </c>
      <c r="L201" s="285">
        <v>3</v>
      </c>
      <c r="M201" s="39">
        <f t="shared" si="14"/>
        <v>4329.3999999999996</v>
      </c>
      <c r="N201" s="39">
        <f>1921+1204.2+1204.2</f>
        <v>4329.3999999999996</v>
      </c>
      <c r="O201" s="41"/>
      <c r="P201" s="59"/>
      <c r="Q201" s="39"/>
      <c r="R201" s="40"/>
      <c r="S201" s="39">
        <f t="shared" si="17"/>
        <v>1152.5999999999999</v>
      </c>
      <c r="T201" s="68">
        <v>1152.5999999999999</v>
      </c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6"/>
      <c r="B202" s="377" t="s">
        <v>159</v>
      </c>
      <c r="C202" s="377" t="s">
        <v>22</v>
      </c>
      <c r="D202" s="377"/>
      <c r="E202" s="377" t="s">
        <v>160</v>
      </c>
      <c r="F202" s="232" t="s">
        <v>246</v>
      </c>
      <c r="G202" s="95" t="s">
        <v>24</v>
      </c>
      <c r="H202" s="48">
        <v>30</v>
      </c>
      <c r="I202" s="203">
        <v>26</v>
      </c>
      <c r="J202" s="203">
        <v>40</v>
      </c>
      <c r="K202" s="65">
        <v>70905.73</v>
      </c>
      <c r="L202" s="224">
        <v>36</v>
      </c>
      <c r="M202" s="50">
        <f t="shared" si="14"/>
        <v>64491.66</v>
      </c>
      <c r="N202" s="65">
        <v>64491.66</v>
      </c>
      <c r="O202" s="225"/>
      <c r="P202" s="108">
        <v>26</v>
      </c>
      <c r="Q202" s="65">
        <v>42356.26</v>
      </c>
      <c r="R202" s="224">
        <v>26</v>
      </c>
      <c r="S202" s="50">
        <f t="shared" si="17"/>
        <v>42356.26</v>
      </c>
      <c r="T202" s="65">
        <v>42356.26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54"/>
      <c r="G203" s="55" t="s">
        <v>28</v>
      </c>
      <c r="H203" s="112">
        <v>7</v>
      </c>
      <c r="I203" s="130">
        <v>2</v>
      </c>
      <c r="J203" s="130">
        <v>2</v>
      </c>
      <c r="K203" s="114">
        <v>2401.25</v>
      </c>
      <c r="L203" s="316">
        <v>2</v>
      </c>
      <c r="M203" s="50">
        <f t="shared" si="14"/>
        <v>2401.25</v>
      </c>
      <c r="N203" s="43">
        <f>1056.55+1344.7</f>
        <v>2401.25</v>
      </c>
      <c r="O203" s="41"/>
      <c r="P203" s="113">
        <v>3</v>
      </c>
      <c r="Q203" s="114">
        <v>5551.69</v>
      </c>
      <c r="R203" s="270">
        <v>3</v>
      </c>
      <c r="S203" s="43">
        <f t="shared" si="17"/>
        <v>5551.69</v>
      </c>
      <c r="T203" s="43">
        <f>5551.69</f>
        <v>5551.69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161</v>
      </c>
      <c r="C204" s="377" t="s">
        <v>22</v>
      </c>
      <c r="D204" s="374"/>
      <c r="E204" s="374" t="s">
        <v>450</v>
      </c>
      <c r="F204" s="204" t="s">
        <v>451</v>
      </c>
      <c r="G204" s="23" t="s">
        <v>24</v>
      </c>
      <c r="H204" s="24">
        <v>16</v>
      </c>
      <c r="I204" s="62">
        <v>4</v>
      </c>
      <c r="J204" s="62">
        <v>7</v>
      </c>
      <c r="K204" s="30">
        <v>10074.370000000001</v>
      </c>
      <c r="L204" s="205">
        <v>7</v>
      </c>
      <c r="M204" s="26">
        <f t="shared" si="14"/>
        <v>10074.370000000001</v>
      </c>
      <c r="N204" s="30">
        <v>10074.370000000001</v>
      </c>
      <c r="O204" s="31"/>
      <c r="P204" s="53">
        <v>12</v>
      </c>
      <c r="Q204" s="30">
        <v>42909.61</v>
      </c>
      <c r="R204" s="205">
        <v>12</v>
      </c>
      <c r="S204" s="26">
        <f t="shared" si="17"/>
        <v>42909.61</v>
      </c>
      <c r="T204" s="30">
        <v>42909.61</v>
      </c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92"/>
      <c r="F205" s="34"/>
      <c r="G205" s="35" t="s">
        <v>28</v>
      </c>
      <c r="H205" s="66">
        <v>8</v>
      </c>
      <c r="I205" s="37">
        <v>2</v>
      </c>
      <c r="J205" s="37">
        <v>2</v>
      </c>
      <c r="K205" s="68">
        <v>1103.8499999999999</v>
      </c>
      <c r="L205" s="40"/>
      <c r="M205" s="39">
        <f t="shared" si="14"/>
        <v>0</v>
      </c>
      <c r="N205" s="39"/>
      <c r="O205" s="41"/>
      <c r="P205" s="115">
        <v>1</v>
      </c>
      <c r="Q205" s="68">
        <v>0</v>
      </c>
      <c r="R205" s="40"/>
      <c r="S205" s="39">
        <f t="shared" si="17"/>
        <v>0</v>
      </c>
      <c r="T205" s="39"/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82"/>
      <c r="B206" s="381" t="s">
        <v>162</v>
      </c>
      <c r="C206" s="381" t="s">
        <v>39</v>
      </c>
      <c r="D206" s="381" t="s">
        <v>163</v>
      </c>
      <c r="E206" s="374" t="s">
        <v>27</v>
      </c>
      <c r="F206" s="135"/>
      <c r="G206" s="47" t="s">
        <v>24</v>
      </c>
      <c r="H206" s="98"/>
      <c r="I206" s="49"/>
      <c r="J206" s="49"/>
      <c r="K206" s="50"/>
      <c r="L206" s="51"/>
      <c r="M206" s="50">
        <f t="shared" si="14"/>
        <v>0</v>
      </c>
      <c r="N206" s="50"/>
      <c r="O206" s="31"/>
      <c r="P206" s="123"/>
      <c r="Q206" s="50"/>
      <c r="R206" s="51"/>
      <c r="S206" s="50">
        <f t="shared" si="17"/>
        <v>0</v>
      </c>
      <c r="T206" s="50"/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87"/>
      <c r="B207" s="386"/>
      <c r="C207" s="386"/>
      <c r="D207" s="386"/>
      <c r="E207" s="386"/>
      <c r="F207" s="54"/>
      <c r="G207" s="47" t="s">
        <v>25</v>
      </c>
      <c r="H207" s="98"/>
      <c r="I207" s="49"/>
      <c r="J207" s="49"/>
      <c r="K207" s="50"/>
      <c r="L207" s="51"/>
      <c r="M207" s="50">
        <f t="shared" si="14"/>
        <v>0</v>
      </c>
      <c r="N207" s="50"/>
      <c r="O207" s="45"/>
      <c r="P207" s="123"/>
      <c r="Q207" s="50"/>
      <c r="R207" s="51"/>
      <c r="S207" s="50">
        <f t="shared" si="17"/>
        <v>0</v>
      </c>
      <c r="T207" s="50"/>
      <c r="U207" s="45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9"/>
      <c r="B208" s="380"/>
      <c r="C208" s="380"/>
      <c r="D208" s="380"/>
      <c r="E208" s="380"/>
      <c r="F208" s="54"/>
      <c r="G208" s="55" t="s">
        <v>28</v>
      </c>
      <c r="H208" s="116"/>
      <c r="I208" s="57"/>
      <c r="J208" s="57"/>
      <c r="K208" s="43"/>
      <c r="L208" s="44"/>
      <c r="M208" s="43">
        <f t="shared" si="14"/>
        <v>0</v>
      </c>
      <c r="N208" s="43"/>
      <c r="O208" s="41"/>
      <c r="P208" s="113">
        <v>1</v>
      </c>
      <c r="Q208" s="114">
        <v>4602.5</v>
      </c>
      <c r="R208" s="270">
        <v>1</v>
      </c>
      <c r="S208" s="43">
        <f t="shared" si="17"/>
        <v>4602.5</v>
      </c>
      <c r="T208" s="114">
        <v>4602.5</v>
      </c>
      <c r="U208" s="23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2"/>
      <c r="B209" s="374" t="s">
        <v>164</v>
      </c>
      <c r="C209" s="374" t="s">
        <v>22</v>
      </c>
      <c r="D209" s="374"/>
      <c r="E209" s="374" t="s">
        <v>27</v>
      </c>
      <c r="F209" s="22"/>
      <c r="G209" s="23" t="s">
        <v>24</v>
      </c>
      <c r="H209" s="98"/>
      <c r="I209" s="25"/>
      <c r="J209" s="25"/>
      <c r="K209" s="26"/>
      <c r="L209" s="27"/>
      <c r="M209" s="26">
        <f t="shared" si="14"/>
        <v>0</v>
      </c>
      <c r="N209" s="26"/>
      <c r="O209" s="31"/>
      <c r="P209" s="99"/>
      <c r="Q209" s="26"/>
      <c r="R209" s="27"/>
      <c r="S209" s="26">
        <f t="shared" si="17"/>
        <v>0</v>
      </c>
      <c r="T209" s="26"/>
      <c r="U209" s="3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3"/>
      <c r="B210" s="375"/>
      <c r="C210" s="375"/>
      <c r="D210" s="375"/>
      <c r="E210" s="375"/>
      <c r="F210" s="221" t="s">
        <v>335</v>
      </c>
      <c r="G210" s="55" t="s">
        <v>28</v>
      </c>
      <c r="H210" s="56">
        <v>5</v>
      </c>
      <c r="I210" s="130">
        <v>2</v>
      </c>
      <c r="J210" s="130">
        <v>2</v>
      </c>
      <c r="K210" s="114">
        <v>3813.3</v>
      </c>
      <c r="L210" s="270">
        <v>2</v>
      </c>
      <c r="M210" s="43">
        <f t="shared" si="14"/>
        <v>3813.3</v>
      </c>
      <c r="N210" s="43">
        <f>2007+1806.3</f>
        <v>3813.3</v>
      </c>
      <c r="O210" s="41"/>
      <c r="P210" s="113">
        <v>4</v>
      </c>
      <c r="Q210" s="114">
        <v>7395.85</v>
      </c>
      <c r="R210" s="270">
        <v>5</v>
      </c>
      <c r="S210" s="43">
        <f t="shared" si="17"/>
        <v>8452.4000000000015</v>
      </c>
      <c r="T210" s="114">
        <f>4034.1+1921+2497.3</f>
        <v>8452.4000000000015</v>
      </c>
      <c r="U210" s="4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165</v>
      </c>
      <c r="C211" s="374"/>
      <c r="D211" s="374"/>
      <c r="E211" s="374"/>
      <c r="F211" s="22"/>
      <c r="G211" s="23" t="s">
        <v>24</v>
      </c>
      <c r="H211" s="119"/>
      <c r="I211" s="25"/>
      <c r="J211" s="25"/>
      <c r="K211" s="26"/>
      <c r="L211" s="27"/>
      <c r="M211" s="26">
        <f t="shared" si="14"/>
        <v>0</v>
      </c>
      <c r="N211" s="26"/>
      <c r="O211" s="31"/>
      <c r="P211" s="99"/>
      <c r="Q211" s="26"/>
      <c r="R211" s="27"/>
      <c r="S211" s="26">
        <f t="shared" si="17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0" t="s">
        <v>495</v>
      </c>
      <c r="G212" s="35" t="s">
        <v>25</v>
      </c>
      <c r="H212" s="66">
        <v>2</v>
      </c>
      <c r="I212" s="38"/>
      <c r="J212" s="38"/>
      <c r="K212" s="39"/>
      <c r="L212" s="40"/>
      <c r="M212" s="39">
        <f t="shared" si="14"/>
        <v>0</v>
      </c>
      <c r="N212" s="39"/>
      <c r="O212" s="41"/>
      <c r="P212" s="115">
        <v>2</v>
      </c>
      <c r="Q212" s="68">
        <v>288.14999999999998</v>
      </c>
      <c r="R212" s="285">
        <v>1</v>
      </c>
      <c r="S212" s="68">
        <v>288.14999999999998</v>
      </c>
      <c r="T212" s="68">
        <v>288.14999999999998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6"/>
      <c r="B213" s="377" t="s">
        <v>454</v>
      </c>
      <c r="C213" s="377" t="s">
        <v>39</v>
      </c>
      <c r="D213" s="405" t="s">
        <v>455</v>
      </c>
      <c r="E213" s="381" t="s">
        <v>27</v>
      </c>
      <c r="F213" s="204" t="s">
        <v>467</v>
      </c>
      <c r="G213" s="23" t="s">
        <v>24</v>
      </c>
      <c r="H213" s="328">
        <v>4</v>
      </c>
      <c r="I213" s="231">
        <v>4</v>
      </c>
      <c r="J213" s="231">
        <v>4</v>
      </c>
      <c r="K213" s="91">
        <v>5884.68</v>
      </c>
      <c r="L213" s="330">
        <v>1</v>
      </c>
      <c r="M213" s="26">
        <f t="shared" si="14"/>
        <v>301.05</v>
      </c>
      <c r="N213" s="91">
        <v>301.05</v>
      </c>
      <c r="O213" s="94"/>
      <c r="P213" s="329"/>
      <c r="Q213" s="91"/>
      <c r="R213" s="330"/>
      <c r="S213" s="26">
        <f t="shared" ref="S213:S229" si="18">T213+U213</f>
        <v>0</v>
      </c>
      <c r="T213" s="79"/>
      <c r="U213" s="336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406"/>
      <c r="E214" s="375"/>
      <c r="F214" s="220"/>
      <c r="G214" s="345" t="s">
        <v>28</v>
      </c>
      <c r="H214" s="346">
        <v>9</v>
      </c>
      <c r="I214" s="37">
        <v>7</v>
      </c>
      <c r="J214" s="37">
        <v>7</v>
      </c>
      <c r="K214" s="68">
        <v>15554.25</v>
      </c>
      <c r="L214" s="285">
        <v>5</v>
      </c>
      <c r="M214" s="87">
        <f t="shared" si="14"/>
        <v>11540.25</v>
      </c>
      <c r="N214" s="39">
        <f>3211.2+2609.1+2609.1+2007+1103.85</f>
        <v>11540.25</v>
      </c>
      <c r="O214" s="41"/>
      <c r="P214" s="217"/>
      <c r="Q214" s="68"/>
      <c r="R214" s="285"/>
      <c r="S214" s="87">
        <f t="shared" si="18"/>
        <v>0</v>
      </c>
      <c r="T214" s="339"/>
      <c r="U214" s="34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82"/>
      <c r="B215" s="381" t="s">
        <v>166</v>
      </c>
      <c r="C215" s="381" t="s">
        <v>22</v>
      </c>
      <c r="D215" s="377"/>
      <c r="E215" s="381" t="s">
        <v>27</v>
      </c>
      <c r="F215" s="232" t="s">
        <v>420</v>
      </c>
      <c r="G215" s="347" t="s">
        <v>24</v>
      </c>
      <c r="H215" s="348">
        <v>1</v>
      </c>
      <c r="I215" s="96"/>
      <c r="J215" s="96"/>
      <c r="K215" s="81"/>
      <c r="L215" s="80"/>
      <c r="M215" s="81">
        <f t="shared" si="14"/>
        <v>0</v>
      </c>
      <c r="N215" s="81"/>
      <c r="O215" s="82"/>
      <c r="P215" s="78">
        <v>4</v>
      </c>
      <c r="Q215" s="79">
        <v>17868.150000000001</v>
      </c>
      <c r="R215" s="268">
        <v>4</v>
      </c>
      <c r="S215" s="81">
        <f t="shared" si="18"/>
        <v>17868.150000000001</v>
      </c>
      <c r="T215" s="79">
        <v>17868.150000000001</v>
      </c>
      <c r="U215" s="269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6"/>
      <c r="G216" s="227" t="s">
        <v>28</v>
      </c>
      <c r="H216" s="334"/>
      <c r="I216" s="57"/>
      <c r="J216" s="57"/>
      <c r="K216" s="43"/>
      <c r="L216" s="44"/>
      <c r="M216" s="43">
        <f t="shared" si="14"/>
        <v>0</v>
      </c>
      <c r="N216" s="43"/>
      <c r="O216" s="45"/>
      <c r="P216" s="273"/>
      <c r="Q216" s="211"/>
      <c r="R216" s="210"/>
      <c r="S216" s="211">
        <f t="shared" si="18"/>
        <v>0</v>
      </c>
      <c r="T216" s="211"/>
      <c r="U216" s="21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2"/>
      <c r="B217" s="374" t="s">
        <v>167</v>
      </c>
      <c r="C217" s="374" t="s">
        <v>46</v>
      </c>
      <c r="D217" s="374" t="s">
        <v>168</v>
      </c>
      <c r="E217" s="374" t="s">
        <v>27</v>
      </c>
      <c r="F217" s="204" t="s">
        <v>421</v>
      </c>
      <c r="G217" s="176" t="s">
        <v>24</v>
      </c>
      <c r="H217" s="248">
        <v>5</v>
      </c>
      <c r="I217" s="62">
        <v>4</v>
      </c>
      <c r="J217" s="62">
        <v>4</v>
      </c>
      <c r="K217" s="30">
        <v>6502.43</v>
      </c>
      <c r="L217" s="205">
        <v>4</v>
      </c>
      <c r="M217" s="26">
        <f t="shared" si="14"/>
        <v>6502.43</v>
      </c>
      <c r="N217" s="30">
        <v>6502.43</v>
      </c>
      <c r="O217" s="308"/>
      <c r="P217" s="99"/>
      <c r="Q217" s="26"/>
      <c r="R217" s="27"/>
      <c r="S217" s="26">
        <f t="shared" si="18"/>
        <v>0</v>
      </c>
      <c r="T217" s="26"/>
      <c r="U217" s="28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0" t="s">
        <v>247</v>
      </c>
      <c r="G218" s="229" t="s">
        <v>28</v>
      </c>
      <c r="H218" s="258">
        <v>7</v>
      </c>
      <c r="I218" s="37">
        <v>6</v>
      </c>
      <c r="J218" s="37">
        <v>6</v>
      </c>
      <c r="K218" s="68">
        <v>14608.15</v>
      </c>
      <c r="L218" s="285">
        <v>5</v>
      </c>
      <c r="M218" s="39">
        <f t="shared" si="14"/>
        <v>19304.88</v>
      </c>
      <c r="N218" s="39">
        <f>1985.09+7101.24+2689.4+4418.3+1705.95+1404.9</f>
        <v>19304.88</v>
      </c>
      <c r="O218" s="309"/>
      <c r="P218" s="310">
        <v>7</v>
      </c>
      <c r="Q218" s="245">
        <v>33570.1</v>
      </c>
      <c r="R218" s="285">
        <v>7</v>
      </c>
      <c r="S218" s="39">
        <f t="shared" si="18"/>
        <v>24543.769999999997</v>
      </c>
      <c r="T218" s="68">
        <f>4034.1+1152.6+2881.5+2497.3+1921+6638.37+5418.9</f>
        <v>24543.769999999997</v>
      </c>
      <c r="U218" s="4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6"/>
      <c r="B219" s="377" t="s">
        <v>169</v>
      </c>
      <c r="C219" s="377" t="s">
        <v>39</v>
      </c>
      <c r="D219" s="377"/>
      <c r="E219" s="377" t="s">
        <v>27</v>
      </c>
      <c r="F219" s="72"/>
      <c r="G219" s="291" t="s">
        <v>24</v>
      </c>
      <c r="H219" s="98"/>
      <c r="I219" s="49"/>
      <c r="J219" s="49"/>
      <c r="K219" s="50"/>
      <c r="L219" s="51"/>
      <c r="M219" s="50">
        <f t="shared" si="14"/>
        <v>0</v>
      </c>
      <c r="N219" s="50"/>
      <c r="O219" s="31"/>
      <c r="P219" s="277"/>
      <c r="Q219" s="81"/>
      <c r="R219" s="80"/>
      <c r="S219" s="81">
        <f t="shared" si="18"/>
        <v>0</v>
      </c>
      <c r="T219" s="81"/>
      <c r="U219" s="21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336</v>
      </c>
      <c r="G220" s="229" t="s">
        <v>28</v>
      </c>
      <c r="H220" s="153">
        <v>5</v>
      </c>
      <c r="I220" s="130">
        <v>1</v>
      </c>
      <c r="J220" s="130">
        <v>1</v>
      </c>
      <c r="K220" s="114">
        <v>1404.9</v>
      </c>
      <c r="L220" s="270">
        <v>1</v>
      </c>
      <c r="M220" s="43">
        <f t="shared" si="14"/>
        <v>1404.9</v>
      </c>
      <c r="N220" s="43">
        <f>1404.9</f>
        <v>1404.9</v>
      </c>
      <c r="O220" s="41"/>
      <c r="P220" s="113">
        <v>1</v>
      </c>
      <c r="Q220" s="114">
        <v>3842</v>
      </c>
      <c r="R220" s="316">
        <v>1</v>
      </c>
      <c r="S220" s="50">
        <f t="shared" si="18"/>
        <v>3842</v>
      </c>
      <c r="T220" s="43">
        <f>3842</f>
        <v>3842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170</v>
      </c>
      <c r="C221" s="374" t="s">
        <v>22</v>
      </c>
      <c r="D221" s="374"/>
      <c r="E221" s="374" t="s">
        <v>160</v>
      </c>
      <c r="F221" s="232" t="s">
        <v>248</v>
      </c>
      <c r="G221" s="23" t="s">
        <v>24</v>
      </c>
      <c r="H221" s="48">
        <v>31</v>
      </c>
      <c r="I221" s="62">
        <v>28</v>
      </c>
      <c r="J221" s="62">
        <v>37</v>
      </c>
      <c r="K221" s="30">
        <v>77711.62</v>
      </c>
      <c r="L221" s="205">
        <v>37</v>
      </c>
      <c r="M221" s="26">
        <f t="shared" si="14"/>
        <v>77711.62</v>
      </c>
      <c r="N221" s="30">
        <v>77711.62</v>
      </c>
      <c r="O221" s="225"/>
      <c r="P221" s="53">
        <v>24</v>
      </c>
      <c r="Q221" s="30">
        <v>70420.100000000006</v>
      </c>
      <c r="R221" s="205">
        <v>24</v>
      </c>
      <c r="S221" s="26">
        <f t="shared" si="18"/>
        <v>70420.100000000006</v>
      </c>
      <c r="T221" s="30">
        <v>70420.100000000006</v>
      </c>
      <c r="U221" s="225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105"/>
      <c r="G222" s="35" t="s">
        <v>28</v>
      </c>
      <c r="H222" s="116"/>
      <c r="I222" s="38"/>
      <c r="J222" s="38"/>
      <c r="K222" s="39"/>
      <c r="L222" s="40"/>
      <c r="M222" s="39">
        <f t="shared" si="14"/>
        <v>0</v>
      </c>
      <c r="N222" s="39"/>
      <c r="O222" s="41"/>
      <c r="P222" s="59"/>
      <c r="Q222" s="39"/>
      <c r="R222" s="40"/>
      <c r="S222" s="39">
        <f t="shared" si="18"/>
        <v>0</v>
      </c>
      <c r="T222" s="39"/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171</v>
      </c>
      <c r="C223" s="374" t="s">
        <v>39</v>
      </c>
      <c r="D223" s="374" t="s">
        <v>374</v>
      </c>
      <c r="E223" s="374" t="s">
        <v>27</v>
      </c>
      <c r="F223" s="223" t="s">
        <v>375</v>
      </c>
      <c r="G223" s="176" t="s">
        <v>24</v>
      </c>
      <c r="H223" s="48">
        <v>5</v>
      </c>
      <c r="I223" s="203">
        <v>3</v>
      </c>
      <c r="J223" s="203">
        <v>3</v>
      </c>
      <c r="K223" s="65">
        <v>6059.73</v>
      </c>
      <c r="L223" s="224">
        <v>2</v>
      </c>
      <c r="M223" s="50">
        <f t="shared" si="14"/>
        <v>3169.65</v>
      </c>
      <c r="N223" s="65">
        <v>3169.65</v>
      </c>
      <c r="O223" s="31"/>
      <c r="P223" s="108">
        <v>7</v>
      </c>
      <c r="Q223" s="65">
        <v>19784.07</v>
      </c>
      <c r="R223" s="224">
        <v>7</v>
      </c>
      <c r="S223" s="50">
        <f t="shared" si="18"/>
        <v>19784.07</v>
      </c>
      <c r="T223" s="65">
        <v>19784.07</v>
      </c>
      <c r="U223" s="31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337</v>
      </c>
      <c r="G224" s="229" t="s">
        <v>28</v>
      </c>
      <c r="H224" s="133">
        <v>5</v>
      </c>
      <c r="I224" s="37">
        <v>1</v>
      </c>
      <c r="J224" s="37">
        <v>1</v>
      </c>
      <c r="K224" s="68">
        <v>3457.8</v>
      </c>
      <c r="L224" s="350">
        <v>1</v>
      </c>
      <c r="M224" s="351">
        <f t="shared" si="14"/>
        <v>3457.8</v>
      </c>
      <c r="N224" s="39">
        <f>3457.8</f>
        <v>3457.8</v>
      </c>
      <c r="O224" s="41"/>
      <c r="P224" s="115">
        <v>3</v>
      </c>
      <c r="Q224" s="68">
        <v>12518</v>
      </c>
      <c r="R224" s="285">
        <v>3</v>
      </c>
      <c r="S224" s="39">
        <f t="shared" si="18"/>
        <v>12518</v>
      </c>
      <c r="T224" s="39">
        <f>3073.6+4226.2+5218.2</f>
        <v>12518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477</v>
      </c>
      <c r="C225" s="374"/>
      <c r="D225" s="374"/>
      <c r="E225" s="374"/>
      <c r="F225" s="232"/>
      <c r="G225" s="176" t="s">
        <v>24</v>
      </c>
      <c r="H225" s="260"/>
      <c r="I225" s="231"/>
      <c r="J225" s="231"/>
      <c r="K225" s="91"/>
      <c r="L225" s="330"/>
      <c r="M225" s="50">
        <f t="shared" si="14"/>
        <v>0</v>
      </c>
      <c r="N225" s="91"/>
      <c r="O225" s="331"/>
      <c r="P225" s="329"/>
      <c r="Q225" s="91"/>
      <c r="R225" s="330"/>
      <c r="S225" s="142">
        <f t="shared" si="18"/>
        <v>0</v>
      </c>
      <c r="T225" s="91"/>
      <c r="U225" s="3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305"/>
      <c r="G226" s="229" t="s">
        <v>28</v>
      </c>
      <c r="H226" s="117">
        <v>1</v>
      </c>
      <c r="I226" s="208"/>
      <c r="J226" s="208"/>
      <c r="K226" s="209"/>
      <c r="L226" s="290"/>
      <c r="M226" s="87">
        <f t="shared" si="14"/>
        <v>0</v>
      </c>
      <c r="N226" s="209"/>
      <c r="O226" s="234"/>
      <c r="P226" s="262"/>
      <c r="Q226" s="209"/>
      <c r="R226" s="290"/>
      <c r="S226" s="87">
        <f t="shared" si="18"/>
        <v>0</v>
      </c>
      <c r="T226" s="209"/>
      <c r="U226" s="263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172</v>
      </c>
      <c r="C227" s="374" t="s">
        <v>39</v>
      </c>
      <c r="D227" s="374" t="s">
        <v>303</v>
      </c>
      <c r="E227" s="374" t="s">
        <v>121</v>
      </c>
      <c r="F227" s="204" t="s">
        <v>304</v>
      </c>
      <c r="G227" s="176" t="s">
        <v>24</v>
      </c>
      <c r="H227" s="265">
        <v>39</v>
      </c>
      <c r="I227" s="62">
        <v>25</v>
      </c>
      <c r="J227" s="62">
        <v>26</v>
      </c>
      <c r="K227" s="30">
        <v>22727.919999999998</v>
      </c>
      <c r="L227" s="205">
        <v>26</v>
      </c>
      <c r="M227" s="26">
        <f t="shared" si="14"/>
        <v>22727.919999999998</v>
      </c>
      <c r="N227" s="30">
        <v>22727.919999999998</v>
      </c>
      <c r="O227" s="269"/>
      <c r="P227" s="53">
        <v>30</v>
      </c>
      <c r="Q227" s="30">
        <v>80165.17</v>
      </c>
      <c r="R227" s="205">
        <v>29</v>
      </c>
      <c r="S227" s="26">
        <f t="shared" si="18"/>
        <v>80165.17</v>
      </c>
      <c r="T227" s="30">
        <v>80165.17</v>
      </c>
      <c r="U227" s="24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496</v>
      </c>
      <c r="G228" s="229" t="s">
        <v>25</v>
      </c>
      <c r="H228" s="102"/>
      <c r="I228" s="57"/>
      <c r="J228" s="57"/>
      <c r="K228" s="43"/>
      <c r="L228" s="44"/>
      <c r="M228" s="43">
        <f t="shared" si="14"/>
        <v>0</v>
      </c>
      <c r="N228" s="43"/>
      <c r="O228" s="41"/>
      <c r="P228" s="113">
        <v>1</v>
      </c>
      <c r="Q228" s="114">
        <v>1728.9</v>
      </c>
      <c r="R228" s="270">
        <v>1</v>
      </c>
      <c r="S228" s="43">
        <f t="shared" si="18"/>
        <v>1728.9</v>
      </c>
      <c r="T228" s="114">
        <v>1728.9</v>
      </c>
      <c r="U228" s="23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173</v>
      </c>
      <c r="C229" s="374" t="s">
        <v>39</v>
      </c>
      <c r="D229" s="374" t="s">
        <v>338</v>
      </c>
      <c r="E229" s="374" t="s">
        <v>121</v>
      </c>
      <c r="F229" s="232" t="s">
        <v>376</v>
      </c>
      <c r="G229" s="23" t="s">
        <v>24</v>
      </c>
      <c r="H229" s="61">
        <v>53</v>
      </c>
      <c r="I229" s="62">
        <v>25</v>
      </c>
      <c r="J229" s="62">
        <v>25</v>
      </c>
      <c r="K229" s="30">
        <v>29688.26</v>
      </c>
      <c r="L229" s="205">
        <v>25</v>
      </c>
      <c r="M229" s="26">
        <f t="shared" si="14"/>
        <v>29688.26</v>
      </c>
      <c r="N229" s="30">
        <v>29688.26</v>
      </c>
      <c r="O229" s="31"/>
      <c r="P229" s="53">
        <v>9</v>
      </c>
      <c r="Q229" s="30">
        <v>5292.88</v>
      </c>
      <c r="R229" s="205">
        <v>5</v>
      </c>
      <c r="S229" s="26">
        <f t="shared" si="18"/>
        <v>4887.8599999999997</v>
      </c>
      <c r="T229" s="30">
        <v>4887.8599999999997</v>
      </c>
      <c r="U229" s="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339</v>
      </c>
      <c r="G230" s="35" t="s">
        <v>25</v>
      </c>
      <c r="H230" s="117">
        <v>16</v>
      </c>
      <c r="I230" s="37">
        <v>8</v>
      </c>
      <c r="J230" s="37">
        <v>8</v>
      </c>
      <c r="K230" s="68">
        <v>5939.36</v>
      </c>
      <c r="L230" s="285">
        <v>8</v>
      </c>
      <c r="M230" s="68">
        <v>5939.36</v>
      </c>
      <c r="N230" s="68">
        <v>5939.36</v>
      </c>
      <c r="O230" s="234"/>
      <c r="P230" s="115">
        <v>4</v>
      </c>
      <c r="Q230" s="68">
        <v>14877.15</v>
      </c>
      <c r="R230" s="285">
        <v>4</v>
      </c>
      <c r="S230" s="68">
        <v>14877.15</v>
      </c>
      <c r="T230" s="68">
        <v>14877.15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174</v>
      </c>
      <c r="C231" s="374" t="s">
        <v>39</v>
      </c>
      <c r="D231" s="374" t="s">
        <v>175</v>
      </c>
      <c r="E231" s="374" t="s">
        <v>176</v>
      </c>
      <c r="F231" s="204" t="s">
        <v>377</v>
      </c>
      <c r="G231" s="176" t="s">
        <v>24</v>
      </c>
      <c r="H231" s="48">
        <v>27</v>
      </c>
      <c r="I231" s="203">
        <v>20</v>
      </c>
      <c r="J231" s="203">
        <v>24</v>
      </c>
      <c r="K231" s="65">
        <v>48047.14</v>
      </c>
      <c r="L231" s="224">
        <v>20</v>
      </c>
      <c r="M231" s="50">
        <f>N231+O231</f>
        <v>35378.800000000003</v>
      </c>
      <c r="N231" s="65">
        <v>35378.800000000003</v>
      </c>
      <c r="O231" s="225"/>
      <c r="P231" s="108">
        <v>22</v>
      </c>
      <c r="Q231" s="65">
        <v>80070.350000000006</v>
      </c>
      <c r="R231" s="224">
        <v>20</v>
      </c>
      <c r="S231" s="50">
        <f>T231+U231</f>
        <v>72364.149999999994</v>
      </c>
      <c r="T231" s="65">
        <v>72364.149999999994</v>
      </c>
      <c r="U231" s="225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340</v>
      </c>
      <c r="G232" s="229" t="s">
        <v>25</v>
      </c>
      <c r="H232" s="153">
        <v>2</v>
      </c>
      <c r="I232" s="130">
        <v>2</v>
      </c>
      <c r="J232" s="130">
        <v>2</v>
      </c>
      <c r="K232" s="114">
        <v>11239.2</v>
      </c>
      <c r="L232" s="270">
        <v>2</v>
      </c>
      <c r="M232" s="114">
        <v>11239.2</v>
      </c>
      <c r="N232" s="114">
        <v>11239.2</v>
      </c>
      <c r="O232" s="41"/>
      <c r="P232" s="113">
        <v>11</v>
      </c>
      <c r="Q232" s="114">
        <v>54930.46</v>
      </c>
      <c r="R232" s="270">
        <v>11</v>
      </c>
      <c r="S232" s="114">
        <v>54930.46</v>
      </c>
      <c r="T232" s="114">
        <v>54930.46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177</v>
      </c>
      <c r="C233" s="377" t="s">
        <v>39</v>
      </c>
      <c r="D233" s="374" t="s">
        <v>226</v>
      </c>
      <c r="E233" s="374" t="s">
        <v>27</v>
      </c>
      <c r="F233" s="204" t="s">
        <v>227</v>
      </c>
      <c r="G233" s="23" t="s">
        <v>24</v>
      </c>
      <c r="H233" s="48">
        <v>11</v>
      </c>
      <c r="I233" s="62">
        <v>5</v>
      </c>
      <c r="J233" s="62">
        <v>5</v>
      </c>
      <c r="K233" s="30">
        <v>8372.27</v>
      </c>
      <c r="L233" s="205">
        <v>5</v>
      </c>
      <c r="M233" s="26">
        <f t="shared" ref="M233:M259" si="19">N233+O233</f>
        <v>8372.27</v>
      </c>
      <c r="N233" s="30">
        <v>8372.27</v>
      </c>
      <c r="O233" s="225"/>
      <c r="P233" s="53">
        <v>16</v>
      </c>
      <c r="Q233" s="30">
        <v>53460.74</v>
      </c>
      <c r="R233" s="205">
        <v>16</v>
      </c>
      <c r="S233" s="26">
        <f t="shared" ref="S233:S259" si="20">T233+U233</f>
        <v>53460.74</v>
      </c>
      <c r="T233" s="30">
        <v>53460.74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80"/>
      <c r="D234" s="375"/>
      <c r="E234" s="375"/>
      <c r="F234" s="105"/>
      <c r="G234" s="55" t="s">
        <v>28</v>
      </c>
      <c r="H234" s="118"/>
      <c r="I234" s="57"/>
      <c r="J234" s="57"/>
      <c r="K234" s="43"/>
      <c r="L234" s="44"/>
      <c r="M234" s="43">
        <f t="shared" si="19"/>
        <v>0</v>
      </c>
      <c r="N234" s="43"/>
      <c r="O234" s="41"/>
      <c r="P234" s="103"/>
      <c r="Q234" s="43"/>
      <c r="R234" s="44"/>
      <c r="S234" s="43">
        <f t="shared" si="20"/>
        <v>0</v>
      </c>
      <c r="T234" s="43"/>
      <c r="U234" s="41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178</v>
      </c>
      <c r="C235" s="374" t="s">
        <v>22</v>
      </c>
      <c r="D235" s="374"/>
      <c r="E235" s="374" t="s">
        <v>27</v>
      </c>
      <c r="F235" s="232" t="s">
        <v>452</v>
      </c>
      <c r="G235" s="176" t="s">
        <v>24</v>
      </c>
      <c r="H235" s="61">
        <v>8</v>
      </c>
      <c r="I235" s="62">
        <v>8</v>
      </c>
      <c r="J235" s="62">
        <v>10</v>
      </c>
      <c r="K235" s="30">
        <v>14011.64</v>
      </c>
      <c r="L235" s="205">
        <v>10</v>
      </c>
      <c r="M235" s="26">
        <f t="shared" si="19"/>
        <v>14011.64</v>
      </c>
      <c r="N235" s="30">
        <v>14011.64</v>
      </c>
      <c r="O235" s="31"/>
      <c r="P235" s="29">
        <v>1</v>
      </c>
      <c r="Q235" s="30">
        <v>2466.56</v>
      </c>
      <c r="R235" s="205">
        <v>1</v>
      </c>
      <c r="S235" s="26">
        <f t="shared" si="20"/>
        <v>2466.56</v>
      </c>
      <c r="T235" s="30">
        <v>2466.56</v>
      </c>
      <c r="U235" s="3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105"/>
      <c r="G236" s="252" t="s">
        <v>28</v>
      </c>
      <c r="H236" s="106"/>
      <c r="I236" s="38"/>
      <c r="J236" s="38"/>
      <c r="K236" s="39"/>
      <c r="L236" s="40"/>
      <c r="M236" s="39">
        <f t="shared" si="19"/>
        <v>0</v>
      </c>
      <c r="N236" s="39"/>
      <c r="O236" s="41"/>
      <c r="P236" s="69"/>
      <c r="Q236" s="39"/>
      <c r="R236" s="40"/>
      <c r="S236" s="39">
        <f t="shared" si="20"/>
        <v>0</v>
      </c>
      <c r="T236" s="39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445</v>
      </c>
      <c r="C237" s="374"/>
      <c r="D237" s="374"/>
      <c r="E237" s="374" t="s">
        <v>484</v>
      </c>
      <c r="F237" s="72"/>
      <c r="G237" s="176" t="s">
        <v>24</v>
      </c>
      <c r="H237" s="265"/>
      <c r="I237" s="266"/>
      <c r="J237" s="96"/>
      <c r="K237" s="81"/>
      <c r="L237" s="80"/>
      <c r="M237" s="142">
        <f t="shared" si="19"/>
        <v>0</v>
      </c>
      <c r="N237" s="81"/>
      <c r="O237" s="82"/>
      <c r="P237" s="295"/>
      <c r="Q237" s="81"/>
      <c r="R237" s="80"/>
      <c r="S237" s="142">
        <f t="shared" si="20"/>
        <v>0</v>
      </c>
      <c r="T237" s="81"/>
      <c r="U237" s="8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226"/>
      <c r="G238" s="252" t="s">
        <v>28</v>
      </c>
      <c r="H238" s="302">
        <v>1</v>
      </c>
      <c r="I238" s="261"/>
      <c r="J238" s="261"/>
      <c r="K238" s="211"/>
      <c r="L238" s="210"/>
      <c r="M238" s="39">
        <f t="shared" si="19"/>
        <v>0</v>
      </c>
      <c r="N238" s="211"/>
      <c r="O238" s="212"/>
      <c r="P238" s="284"/>
      <c r="Q238" s="211"/>
      <c r="R238" s="210"/>
      <c r="S238" s="39">
        <f t="shared" si="20"/>
        <v>0</v>
      </c>
      <c r="T238" s="211"/>
      <c r="U238" s="21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179</v>
      </c>
      <c r="C239" s="374" t="s">
        <v>471</v>
      </c>
      <c r="D239" s="374" t="s">
        <v>472</v>
      </c>
      <c r="E239" s="374" t="s">
        <v>27</v>
      </c>
      <c r="F239" s="204" t="s">
        <v>473</v>
      </c>
      <c r="G239" s="176" t="s">
        <v>24</v>
      </c>
      <c r="H239" s="61">
        <v>2</v>
      </c>
      <c r="I239" s="25"/>
      <c r="J239" s="25"/>
      <c r="K239" s="26"/>
      <c r="L239" s="27"/>
      <c r="M239" s="26">
        <f t="shared" si="19"/>
        <v>0</v>
      </c>
      <c r="N239" s="26"/>
      <c r="O239" s="28"/>
      <c r="P239" s="29">
        <v>4</v>
      </c>
      <c r="Q239" s="30">
        <v>0</v>
      </c>
      <c r="R239" s="27"/>
      <c r="S239" s="26">
        <f t="shared" si="20"/>
        <v>0</v>
      </c>
      <c r="T239" s="26"/>
      <c r="U239" s="28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29" t="s">
        <v>28</v>
      </c>
      <c r="H240" s="298"/>
      <c r="I240" s="261"/>
      <c r="J240" s="261"/>
      <c r="K240" s="211"/>
      <c r="L240" s="210"/>
      <c r="M240" s="211">
        <f t="shared" si="19"/>
        <v>0</v>
      </c>
      <c r="N240" s="211"/>
      <c r="O240" s="212"/>
      <c r="P240" s="284"/>
      <c r="Q240" s="211"/>
      <c r="R240" s="210"/>
      <c r="S240" s="211">
        <f t="shared" si="20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378</v>
      </c>
      <c r="C241" s="374" t="s">
        <v>46</v>
      </c>
      <c r="D241" s="374" t="s">
        <v>422</v>
      </c>
      <c r="E241" s="374" t="s">
        <v>27</v>
      </c>
      <c r="F241" s="232" t="s">
        <v>423</v>
      </c>
      <c r="G241" s="213" t="s">
        <v>24</v>
      </c>
      <c r="H241" s="61">
        <v>25</v>
      </c>
      <c r="I241" s="62">
        <v>17</v>
      </c>
      <c r="J241" s="62">
        <v>20</v>
      </c>
      <c r="K241" s="30">
        <v>39143.040000000001</v>
      </c>
      <c r="L241" s="205">
        <v>17</v>
      </c>
      <c r="M241" s="26">
        <f t="shared" si="19"/>
        <v>31536.51</v>
      </c>
      <c r="N241" s="30">
        <v>31536.51</v>
      </c>
      <c r="O241" s="28"/>
      <c r="P241" s="214"/>
      <c r="Q241" s="30"/>
      <c r="R241" s="205"/>
      <c r="S241" s="26">
        <f t="shared" si="20"/>
        <v>0</v>
      </c>
      <c r="T241" s="30"/>
      <c r="U241" s="2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0"/>
      <c r="G242" s="215" t="s">
        <v>28</v>
      </c>
      <c r="H242" s="117">
        <v>6</v>
      </c>
      <c r="I242" s="37">
        <v>1</v>
      </c>
      <c r="J242" s="37">
        <v>1</v>
      </c>
      <c r="K242" s="68">
        <v>1152.5999999999999</v>
      </c>
      <c r="L242" s="285">
        <v>1</v>
      </c>
      <c r="M242" s="39">
        <f t="shared" si="19"/>
        <v>1152.5999999999999</v>
      </c>
      <c r="N242" s="39">
        <f>1152.6</f>
        <v>1152.5999999999999</v>
      </c>
      <c r="O242" s="41"/>
      <c r="P242" s="217"/>
      <c r="Q242" s="68"/>
      <c r="R242" s="285"/>
      <c r="S242" s="39">
        <f t="shared" si="20"/>
        <v>0</v>
      </c>
      <c r="T242" s="68"/>
      <c r="U242" s="23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6"/>
      <c r="B243" s="377" t="s">
        <v>180</v>
      </c>
      <c r="C243" s="377" t="s">
        <v>46</v>
      </c>
      <c r="D243" s="377" t="s">
        <v>181</v>
      </c>
      <c r="E243" s="377" t="s">
        <v>27</v>
      </c>
      <c r="F243" s="232" t="s">
        <v>228</v>
      </c>
      <c r="G243" s="95" t="s">
        <v>24</v>
      </c>
      <c r="H243" s="265">
        <v>20</v>
      </c>
      <c r="I243" s="266">
        <v>11</v>
      </c>
      <c r="J243" s="266">
        <v>12</v>
      </c>
      <c r="K243" s="79">
        <v>21720.67</v>
      </c>
      <c r="L243" s="268">
        <v>11</v>
      </c>
      <c r="M243" s="81">
        <f t="shared" si="19"/>
        <v>18573.689999999999</v>
      </c>
      <c r="N243" s="79">
        <v>18573.689999999999</v>
      </c>
      <c r="O243" s="219"/>
      <c r="P243" s="267">
        <v>17</v>
      </c>
      <c r="Q243" s="79">
        <v>74693.53</v>
      </c>
      <c r="R243" s="268">
        <v>16</v>
      </c>
      <c r="S243" s="26">
        <f t="shared" si="20"/>
        <v>70880.23</v>
      </c>
      <c r="T243" s="79">
        <v>70880.23</v>
      </c>
      <c r="U243" s="269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9"/>
      <c r="B244" s="380"/>
      <c r="C244" s="380"/>
      <c r="D244" s="380"/>
      <c r="E244" s="380"/>
      <c r="F244" s="54"/>
      <c r="G244" s="55" t="s">
        <v>28</v>
      </c>
      <c r="H244" s="116"/>
      <c r="I244" s="57"/>
      <c r="J244" s="57"/>
      <c r="K244" s="43"/>
      <c r="L244" s="128"/>
      <c r="M244" s="50">
        <f t="shared" si="19"/>
        <v>0</v>
      </c>
      <c r="N244" s="43"/>
      <c r="O244" s="41"/>
      <c r="P244" s="113">
        <v>3</v>
      </c>
      <c r="Q244" s="114">
        <v>15175.95</v>
      </c>
      <c r="R244" s="270">
        <v>3</v>
      </c>
      <c r="S244" s="43">
        <f t="shared" si="20"/>
        <v>2881.5499999999997</v>
      </c>
      <c r="T244" s="114">
        <f>2209.2+672.35</f>
        <v>2881.5499999999997</v>
      </c>
      <c r="U244" s="45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6.5" customHeight="1">
      <c r="A245" s="372"/>
      <c r="B245" s="374" t="s">
        <v>182</v>
      </c>
      <c r="C245" s="374" t="s">
        <v>46</v>
      </c>
      <c r="D245" s="374" t="s">
        <v>181</v>
      </c>
      <c r="E245" s="374" t="s">
        <v>27</v>
      </c>
      <c r="F245" s="204" t="s">
        <v>379</v>
      </c>
      <c r="G245" s="23" t="s">
        <v>24</v>
      </c>
      <c r="H245" s="48">
        <v>19</v>
      </c>
      <c r="I245" s="62">
        <v>19</v>
      </c>
      <c r="J245" s="62">
        <v>21</v>
      </c>
      <c r="K245" s="30">
        <v>30857.77</v>
      </c>
      <c r="L245" s="205">
        <v>20</v>
      </c>
      <c r="M245" s="26">
        <f t="shared" si="19"/>
        <v>27137.19</v>
      </c>
      <c r="N245" s="30">
        <v>27137.19</v>
      </c>
      <c r="O245" s="31"/>
      <c r="P245" s="53">
        <v>13</v>
      </c>
      <c r="Q245" s="30">
        <v>80512.5</v>
      </c>
      <c r="R245" s="205">
        <v>13</v>
      </c>
      <c r="S245" s="26">
        <f t="shared" si="20"/>
        <v>80512.5</v>
      </c>
      <c r="T245" s="30">
        <v>80512.5</v>
      </c>
      <c r="U245" s="100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6.5" customHeight="1">
      <c r="A246" s="373"/>
      <c r="B246" s="375"/>
      <c r="C246" s="375"/>
      <c r="D246" s="375"/>
      <c r="E246" s="375"/>
      <c r="F246" s="34"/>
      <c r="G246" s="35" t="s">
        <v>28</v>
      </c>
      <c r="H246" s="116"/>
      <c r="I246" s="38"/>
      <c r="J246" s="38"/>
      <c r="K246" s="39"/>
      <c r="L246" s="40"/>
      <c r="M246" s="39">
        <f t="shared" si="19"/>
        <v>0</v>
      </c>
      <c r="N246" s="39"/>
      <c r="O246" s="41"/>
      <c r="P246" s="115">
        <v>2</v>
      </c>
      <c r="Q246" s="68">
        <v>4418.3</v>
      </c>
      <c r="R246" s="285">
        <v>2</v>
      </c>
      <c r="S246" s="39">
        <f t="shared" si="20"/>
        <v>4418.3</v>
      </c>
      <c r="T246" s="39">
        <f>3073.6+1344.7</f>
        <v>4418.3</v>
      </c>
      <c r="U246" s="4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70"/>
      <c r="B247" s="377" t="s">
        <v>480</v>
      </c>
      <c r="C247" s="377" t="s">
        <v>39</v>
      </c>
      <c r="D247" s="377" t="s">
        <v>481</v>
      </c>
      <c r="E247" s="377"/>
      <c r="F247" s="232"/>
      <c r="G247" s="23" t="s">
        <v>24</v>
      </c>
      <c r="H247" s="48"/>
      <c r="I247" s="266"/>
      <c r="J247" s="266"/>
      <c r="K247" s="79"/>
      <c r="L247" s="268"/>
      <c r="M247" s="142">
        <f t="shared" si="19"/>
        <v>0</v>
      </c>
      <c r="N247" s="79"/>
      <c r="O247" s="82"/>
      <c r="P247" s="267"/>
      <c r="Q247" s="79"/>
      <c r="R247" s="268"/>
      <c r="S247" s="142">
        <f t="shared" si="20"/>
        <v>0</v>
      </c>
      <c r="T247" s="79"/>
      <c r="U247" s="336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55"/>
      <c r="B248" s="375"/>
      <c r="C248" s="375"/>
      <c r="D248" s="375"/>
      <c r="E248" s="375"/>
      <c r="F248" s="356"/>
      <c r="G248" s="35" t="s">
        <v>28</v>
      </c>
      <c r="H248" s="353">
        <v>7</v>
      </c>
      <c r="I248" s="338">
        <v>1</v>
      </c>
      <c r="J248" s="338">
        <v>1</v>
      </c>
      <c r="K248" s="339">
        <v>1324.62</v>
      </c>
      <c r="L248" s="340">
        <v>1</v>
      </c>
      <c r="M248" s="39">
        <f t="shared" si="19"/>
        <v>1324.62</v>
      </c>
      <c r="N248" s="339">
        <v>1324.62</v>
      </c>
      <c r="O248" s="89"/>
      <c r="P248" s="357"/>
      <c r="Q248" s="339"/>
      <c r="R248" s="340"/>
      <c r="S248" s="39">
        <f t="shared" si="20"/>
        <v>0</v>
      </c>
      <c r="T248" s="339"/>
      <c r="U248" s="34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6"/>
      <c r="B249" s="377" t="s">
        <v>183</v>
      </c>
      <c r="C249" s="377" t="s">
        <v>22</v>
      </c>
      <c r="D249" s="377"/>
      <c r="E249" s="377" t="s">
        <v>99</v>
      </c>
      <c r="F249" s="232" t="s">
        <v>380</v>
      </c>
      <c r="G249" s="23" t="s">
        <v>24</v>
      </c>
      <c r="H249" s="265">
        <v>19</v>
      </c>
      <c r="I249" s="266">
        <v>12</v>
      </c>
      <c r="J249" s="266">
        <v>15</v>
      </c>
      <c r="K249" s="79">
        <v>18099.43</v>
      </c>
      <c r="L249" s="268">
        <v>15</v>
      </c>
      <c r="M249" s="81">
        <f t="shared" si="19"/>
        <v>18099.43</v>
      </c>
      <c r="N249" s="79">
        <v>18099.43</v>
      </c>
      <c r="O249" s="219"/>
      <c r="P249" s="267">
        <v>14</v>
      </c>
      <c r="Q249" s="79">
        <v>53584.26</v>
      </c>
      <c r="R249" s="268">
        <v>14</v>
      </c>
      <c r="S249" s="81">
        <f t="shared" si="20"/>
        <v>53584.26</v>
      </c>
      <c r="T249" s="79">
        <v>53584.26</v>
      </c>
      <c r="U249" s="269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9"/>
      <c r="B250" s="380"/>
      <c r="C250" s="380"/>
      <c r="D250" s="380"/>
      <c r="E250" s="380"/>
      <c r="F250" s="233" t="s">
        <v>252</v>
      </c>
      <c r="G250" s="227" t="s">
        <v>28</v>
      </c>
      <c r="H250" s="292">
        <v>11</v>
      </c>
      <c r="I250" s="208">
        <v>7</v>
      </c>
      <c r="J250" s="208">
        <v>7</v>
      </c>
      <c r="K250" s="209">
        <v>16319.8</v>
      </c>
      <c r="L250" s="290">
        <v>5</v>
      </c>
      <c r="M250" s="211">
        <f t="shared" si="19"/>
        <v>11101.599999999999</v>
      </c>
      <c r="N250" s="211">
        <f>1806.3+3073.6+2408.4+2408.4+1404.9</f>
        <v>11101.599999999999</v>
      </c>
      <c r="O250" s="212"/>
      <c r="P250" s="262">
        <v>4</v>
      </c>
      <c r="Q250" s="209">
        <v>25850.2</v>
      </c>
      <c r="R250" s="290">
        <v>2</v>
      </c>
      <c r="S250" s="211">
        <f t="shared" si="20"/>
        <v>5378.8</v>
      </c>
      <c r="T250" s="211">
        <f>4034.1+1344.7</f>
        <v>5378.8</v>
      </c>
      <c r="U250" s="21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2"/>
      <c r="B251" s="374" t="s">
        <v>425</v>
      </c>
      <c r="C251" s="374" t="s">
        <v>22</v>
      </c>
      <c r="D251" s="374"/>
      <c r="E251" s="374" t="s">
        <v>131</v>
      </c>
      <c r="F251" s="204" t="s">
        <v>426</v>
      </c>
      <c r="G251" s="176" t="s">
        <v>24</v>
      </c>
      <c r="H251" s="61">
        <v>17</v>
      </c>
      <c r="I251" s="62">
        <v>9</v>
      </c>
      <c r="J251" s="62">
        <v>14</v>
      </c>
      <c r="K251" s="30">
        <v>17695.5</v>
      </c>
      <c r="L251" s="205">
        <v>13</v>
      </c>
      <c r="M251" s="26">
        <f t="shared" si="19"/>
        <v>16702.03</v>
      </c>
      <c r="N251" s="30">
        <v>16702.03</v>
      </c>
      <c r="O251" s="28"/>
      <c r="P251" s="275"/>
      <c r="Q251" s="26"/>
      <c r="R251" s="27"/>
      <c r="S251" s="26">
        <f t="shared" si="20"/>
        <v>0</v>
      </c>
      <c r="T251" s="26"/>
      <c r="U251" s="28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3"/>
      <c r="B252" s="375"/>
      <c r="C252" s="375"/>
      <c r="D252" s="375"/>
      <c r="E252" s="375"/>
      <c r="F252" s="34"/>
      <c r="G252" s="229" t="s">
        <v>25</v>
      </c>
      <c r="H252" s="106"/>
      <c r="I252" s="38"/>
      <c r="J252" s="38"/>
      <c r="K252" s="39"/>
      <c r="L252" s="40"/>
      <c r="M252" s="39">
        <f t="shared" si="19"/>
        <v>0</v>
      </c>
      <c r="N252" s="39"/>
      <c r="O252" s="41"/>
      <c r="P252" s="276"/>
      <c r="Q252" s="39"/>
      <c r="R252" s="40"/>
      <c r="S252" s="39">
        <f t="shared" si="20"/>
        <v>0</v>
      </c>
      <c r="T252" s="39"/>
      <c r="U252" s="41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184</v>
      </c>
      <c r="C253" s="377" t="s">
        <v>22</v>
      </c>
      <c r="D253" s="377"/>
      <c r="E253" s="377" t="s">
        <v>27</v>
      </c>
      <c r="F253" s="223" t="s">
        <v>453</v>
      </c>
      <c r="G253" s="95" t="s">
        <v>24</v>
      </c>
      <c r="H253" s="265">
        <v>4</v>
      </c>
      <c r="I253" s="266">
        <v>2</v>
      </c>
      <c r="J253" s="266">
        <v>2</v>
      </c>
      <c r="K253" s="79">
        <v>3158.6</v>
      </c>
      <c r="L253" s="268">
        <v>2</v>
      </c>
      <c r="M253" s="81">
        <f t="shared" si="19"/>
        <v>3158.6</v>
      </c>
      <c r="N253" s="79">
        <v>3158.6</v>
      </c>
      <c r="O253" s="219"/>
      <c r="P253" s="277"/>
      <c r="Q253" s="81"/>
      <c r="R253" s="80"/>
      <c r="S253" s="81">
        <f t="shared" si="20"/>
        <v>0</v>
      </c>
      <c r="T253" s="81"/>
      <c r="U253" s="21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253</v>
      </c>
      <c r="G254" s="227" t="s">
        <v>28</v>
      </c>
      <c r="H254" s="153">
        <v>7</v>
      </c>
      <c r="I254" s="130">
        <v>4</v>
      </c>
      <c r="J254" s="130">
        <v>4</v>
      </c>
      <c r="K254" s="114">
        <v>10482.120000000001</v>
      </c>
      <c r="L254" s="270">
        <v>3</v>
      </c>
      <c r="M254" s="43">
        <f t="shared" si="19"/>
        <v>9275.82</v>
      </c>
      <c r="N254" s="43">
        <f>1921+3380.96+3973.86</f>
        <v>9275.82</v>
      </c>
      <c r="O254" s="41"/>
      <c r="P254" s="113">
        <v>5</v>
      </c>
      <c r="Q254" s="114">
        <v>10565.5</v>
      </c>
      <c r="R254" s="270">
        <v>4</v>
      </c>
      <c r="S254" s="43">
        <f t="shared" si="20"/>
        <v>9989.2000000000007</v>
      </c>
      <c r="T254" s="114">
        <f>2958.34+3457.8+1267.86+2305.2</f>
        <v>9989.2000000000007</v>
      </c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185</v>
      </c>
      <c r="C255" s="374" t="s">
        <v>22</v>
      </c>
      <c r="D255" s="374"/>
      <c r="E255" s="374" t="s">
        <v>27</v>
      </c>
      <c r="F255" s="204" t="s">
        <v>341</v>
      </c>
      <c r="G255" s="176" t="s">
        <v>24</v>
      </c>
      <c r="H255" s="98"/>
      <c r="I255" s="25"/>
      <c r="J255" s="25"/>
      <c r="K255" s="26"/>
      <c r="L255" s="27"/>
      <c r="M255" s="26">
        <f t="shared" si="19"/>
        <v>0</v>
      </c>
      <c r="N255" s="26"/>
      <c r="O255" s="31"/>
      <c r="P255" s="53">
        <v>2</v>
      </c>
      <c r="Q255" s="30">
        <v>2633.4</v>
      </c>
      <c r="R255" s="205">
        <v>2</v>
      </c>
      <c r="S255" s="26">
        <f t="shared" si="20"/>
        <v>2633.4</v>
      </c>
      <c r="T255" s="30">
        <v>2633.4</v>
      </c>
      <c r="U255" s="225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373"/>
      <c r="B256" s="375"/>
      <c r="C256" s="375"/>
      <c r="D256" s="375"/>
      <c r="E256" s="375"/>
      <c r="F256" s="220" t="s">
        <v>342</v>
      </c>
      <c r="G256" s="229" t="s">
        <v>28</v>
      </c>
      <c r="H256" s="133">
        <v>8</v>
      </c>
      <c r="I256" s="130">
        <v>1</v>
      </c>
      <c r="J256" s="130">
        <v>1</v>
      </c>
      <c r="K256" s="114">
        <v>2007</v>
      </c>
      <c r="L256" s="44"/>
      <c r="M256" s="43">
        <f t="shared" si="19"/>
        <v>0</v>
      </c>
      <c r="N256" s="43"/>
      <c r="O256" s="41"/>
      <c r="P256" s="113">
        <v>5</v>
      </c>
      <c r="Q256" s="114">
        <v>25755.33</v>
      </c>
      <c r="R256" s="270">
        <v>3</v>
      </c>
      <c r="S256" s="43">
        <f t="shared" si="20"/>
        <v>15773.67</v>
      </c>
      <c r="T256" s="43">
        <f>2994.47+1204.2+11575</f>
        <v>15773.67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372"/>
      <c r="B257" s="374" t="s">
        <v>186</v>
      </c>
      <c r="C257" s="374" t="s">
        <v>22</v>
      </c>
      <c r="D257" s="374"/>
      <c r="E257" s="374" t="s">
        <v>99</v>
      </c>
      <c r="F257" s="232" t="s">
        <v>315</v>
      </c>
      <c r="G257" s="23" t="s">
        <v>24</v>
      </c>
      <c r="H257" s="48">
        <v>18</v>
      </c>
      <c r="I257" s="62">
        <v>11</v>
      </c>
      <c r="J257" s="62">
        <v>16</v>
      </c>
      <c r="K257" s="30">
        <v>30927.33</v>
      </c>
      <c r="L257" s="205">
        <v>16</v>
      </c>
      <c r="M257" s="26">
        <f t="shared" si="19"/>
        <v>30927.33</v>
      </c>
      <c r="N257" s="30">
        <v>30927.33</v>
      </c>
      <c r="O257" s="31"/>
      <c r="P257" s="53">
        <v>15</v>
      </c>
      <c r="Q257" s="30">
        <v>46212.56</v>
      </c>
      <c r="R257" s="205">
        <v>15</v>
      </c>
      <c r="S257" s="26">
        <f t="shared" si="20"/>
        <v>46212.56</v>
      </c>
      <c r="T257" s="30">
        <v>46212.56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254</v>
      </c>
      <c r="G258" s="35" t="s">
        <v>28</v>
      </c>
      <c r="H258" s="153">
        <v>14</v>
      </c>
      <c r="I258" s="37">
        <v>4</v>
      </c>
      <c r="J258" s="37">
        <v>4</v>
      </c>
      <c r="K258" s="68">
        <v>6622.6</v>
      </c>
      <c r="L258" s="285">
        <v>1</v>
      </c>
      <c r="M258" s="39">
        <f t="shared" si="19"/>
        <v>3010.5</v>
      </c>
      <c r="N258" s="39">
        <f>3010.5</f>
        <v>3010.5</v>
      </c>
      <c r="O258" s="41"/>
      <c r="P258" s="59"/>
      <c r="Q258" s="39"/>
      <c r="R258" s="40"/>
      <c r="S258" s="39">
        <f t="shared" si="20"/>
        <v>0</v>
      </c>
      <c r="T258" s="39"/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82"/>
      <c r="B259" s="381" t="s">
        <v>187</v>
      </c>
      <c r="C259" s="381" t="s">
        <v>22</v>
      </c>
      <c r="D259" s="381"/>
      <c r="E259" s="381" t="s">
        <v>131</v>
      </c>
      <c r="F259" s="223" t="s">
        <v>343</v>
      </c>
      <c r="G259" s="23" t="s">
        <v>24</v>
      </c>
      <c r="H259" s="48">
        <v>18</v>
      </c>
      <c r="I259" s="203">
        <v>16</v>
      </c>
      <c r="J259" s="203">
        <v>22</v>
      </c>
      <c r="K259" s="65">
        <v>40401.5</v>
      </c>
      <c r="L259" s="224">
        <v>22</v>
      </c>
      <c r="M259" s="50">
        <f t="shared" si="19"/>
        <v>40401.5</v>
      </c>
      <c r="N259" s="65">
        <v>40401.5</v>
      </c>
      <c r="O259" s="225"/>
      <c r="P259" s="108">
        <v>20</v>
      </c>
      <c r="Q259" s="65">
        <v>57368.51</v>
      </c>
      <c r="R259" s="224">
        <v>20</v>
      </c>
      <c r="S259" s="50">
        <f t="shared" si="20"/>
        <v>57368.51</v>
      </c>
      <c r="T259" s="65">
        <v>57368.51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9"/>
      <c r="B260" s="380"/>
      <c r="C260" s="380"/>
      <c r="D260" s="380"/>
      <c r="E260" s="380"/>
      <c r="F260" s="233" t="s">
        <v>497</v>
      </c>
      <c r="G260" s="227" t="s">
        <v>25</v>
      </c>
      <c r="H260" s="153">
        <v>5</v>
      </c>
      <c r="I260" s="130">
        <v>1</v>
      </c>
      <c r="J260" s="130">
        <v>1</v>
      </c>
      <c r="K260" s="114">
        <v>1728.9</v>
      </c>
      <c r="L260" s="270">
        <v>1</v>
      </c>
      <c r="M260" s="114">
        <v>1728.9</v>
      </c>
      <c r="N260" s="114">
        <v>1728.9</v>
      </c>
      <c r="O260" s="41"/>
      <c r="P260" s="113">
        <v>4</v>
      </c>
      <c r="Q260" s="114">
        <v>30582.32</v>
      </c>
      <c r="R260" s="270">
        <v>4</v>
      </c>
      <c r="S260" s="114">
        <v>30582.32</v>
      </c>
      <c r="T260" s="114">
        <v>30582.32</v>
      </c>
      <c r="U260" s="2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429</v>
      </c>
      <c r="C261" s="374" t="s">
        <v>22</v>
      </c>
      <c r="D261" s="374"/>
      <c r="E261" s="374" t="s">
        <v>27</v>
      </c>
      <c r="F261" s="204" t="s">
        <v>446</v>
      </c>
      <c r="G261" s="176" t="s">
        <v>24</v>
      </c>
      <c r="H261" s="151"/>
      <c r="I261" s="25"/>
      <c r="J261" s="25"/>
      <c r="K261" s="26"/>
      <c r="L261" s="27"/>
      <c r="M261" s="26">
        <f t="shared" ref="M261:M287" si="21">N261+O261</f>
        <v>0</v>
      </c>
      <c r="N261" s="30"/>
      <c r="O261" s="31"/>
      <c r="P261" s="53">
        <v>1</v>
      </c>
      <c r="Q261" s="30">
        <v>36784.050000000003</v>
      </c>
      <c r="R261" s="205">
        <v>1</v>
      </c>
      <c r="S261" s="26">
        <f t="shared" ref="S261:S287" si="22">T261+U261</f>
        <v>36784.050000000003</v>
      </c>
      <c r="T261" s="30">
        <v>36784.050000000003</v>
      </c>
      <c r="U261" s="31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/>
      <c r="G262" s="229" t="s">
        <v>28</v>
      </c>
      <c r="H262" s="133"/>
      <c r="I262" s="57"/>
      <c r="J262" s="57"/>
      <c r="K262" s="43"/>
      <c r="L262" s="44"/>
      <c r="M262" s="43">
        <f t="shared" si="21"/>
        <v>0</v>
      </c>
      <c r="N262" s="43"/>
      <c r="O262" s="41"/>
      <c r="P262" s="113"/>
      <c r="Q262" s="114"/>
      <c r="R262" s="44"/>
      <c r="S262" s="43">
        <f t="shared" si="22"/>
        <v>0</v>
      </c>
      <c r="T262" s="114"/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188</v>
      </c>
      <c r="C263" s="374" t="s">
        <v>39</v>
      </c>
      <c r="D263" s="374" t="s">
        <v>474</v>
      </c>
      <c r="E263" s="374" t="s">
        <v>27</v>
      </c>
      <c r="F263" s="358" t="s">
        <v>482</v>
      </c>
      <c r="G263" s="176" t="s">
        <v>24</v>
      </c>
      <c r="H263" s="281">
        <v>4</v>
      </c>
      <c r="I263" s="62">
        <v>1</v>
      </c>
      <c r="J263" s="62">
        <v>2</v>
      </c>
      <c r="K263" s="30">
        <v>1646.5</v>
      </c>
      <c r="L263" s="205">
        <v>1</v>
      </c>
      <c r="M263" s="26">
        <f t="shared" si="21"/>
        <v>1646.5</v>
      </c>
      <c r="N263" s="30">
        <v>1646.5</v>
      </c>
      <c r="O263" s="219"/>
      <c r="P263" s="53">
        <v>3</v>
      </c>
      <c r="Q263" s="30">
        <v>8065.3</v>
      </c>
      <c r="R263" s="205">
        <v>2</v>
      </c>
      <c r="S263" s="26">
        <f t="shared" si="22"/>
        <v>8065.3</v>
      </c>
      <c r="T263" s="30">
        <v>8065.3</v>
      </c>
      <c r="U263" s="219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20.25" customHeight="1">
      <c r="A264" s="373"/>
      <c r="B264" s="375"/>
      <c r="C264" s="375"/>
      <c r="D264" s="375"/>
      <c r="E264" s="375"/>
      <c r="F264" s="220" t="s">
        <v>344</v>
      </c>
      <c r="G264" s="229" t="s">
        <v>28</v>
      </c>
      <c r="H264" s="56">
        <v>9</v>
      </c>
      <c r="I264" s="130">
        <v>1</v>
      </c>
      <c r="J264" s="130">
        <v>1</v>
      </c>
      <c r="K264" s="114">
        <v>1052.5999999999999</v>
      </c>
      <c r="L264" s="44"/>
      <c r="M264" s="43">
        <f t="shared" si="21"/>
        <v>0</v>
      </c>
      <c r="N264" s="43"/>
      <c r="O264" s="222">
        <v>0</v>
      </c>
      <c r="P264" s="113">
        <v>18</v>
      </c>
      <c r="Q264" s="114">
        <v>28406.3</v>
      </c>
      <c r="R264" s="270">
        <v>11</v>
      </c>
      <c r="S264" s="43">
        <f t="shared" si="22"/>
        <v>24068.65</v>
      </c>
      <c r="T264" s="114">
        <f>4050.2+4802.5+4415.4+3311.55+3073.6+4415.4</f>
        <v>24068.65</v>
      </c>
      <c r="U264" s="222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189</v>
      </c>
      <c r="C265" s="374" t="s">
        <v>39</v>
      </c>
      <c r="D265" s="374" t="s">
        <v>427</v>
      </c>
      <c r="E265" s="374" t="s">
        <v>27</v>
      </c>
      <c r="F265" s="232" t="s">
        <v>428</v>
      </c>
      <c r="G265" s="23" t="s">
        <v>24</v>
      </c>
      <c r="H265" s="24">
        <v>16</v>
      </c>
      <c r="I265" s="62">
        <v>14</v>
      </c>
      <c r="J265" s="62">
        <v>18</v>
      </c>
      <c r="K265" s="30">
        <v>38219.47</v>
      </c>
      <c r="L265" s="205">
        <v>18</v>
      </c>
      <c r="M265" s="26">
        <f t="shared" si="21"/>
        <v>38219.47</v>
      </c>
      <c r="N265" s="30">
        <v>38219.47</v>
      </c>
      <c r="O265" s="241"/>
      <c r="P265" s="29">
        <v>3</v>
      </c>
      <c r="Q265" s="30">
        <v>23366.85</v>
      </c>
      <c r="R265" s="205">
        <v>3</v>
      </c>
      <c r="S265" s="26">
        <f t="shared" si="22"/>
        <v>23366.85</v>
      </c>
      <c r="T265" s="30">
        <v>23366.85</v>
      </c>
      <c r="U265" s="24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 t="s">
        <v>256</v>
      </c>
      <c r="G266" s="35" t="s">
        <v>28</v>
      </c>
      <c r="H266" s="66">
        <v>6</v>
      </c>
      <c r="I266" s="37">
        <v>2</v>
      </c>
      <c r="J266" s="37">
        <v>2</v>
      </c>
      <c r="K266" s="68">
        <v>5456.32</v>
      </c>
      <c r="L266" s="285">
        <v>2</v>
      </c>
      <c r="M266" s="39">
        <f t="shared" si="21"/>
        <v>5453.32</v>
      </c>
      <c r="N266" s="39">
        <f>1921+3532.32</f>
        <v>5453.32</v>
      </c>
      <c r="O266" s="41"/>
      <c r="P266" s="69"/>
      <c r="Q266" s="39"/>
      <c r="R266" s="40"/>
      <c r="S266" s="39">
        <f t="shared" si="22"/>
        <v>0</v>
      </c>
      <c r="T266" s="39"/>
      <c r="U266" s="41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82"/>
      <c r="B267" s="381" t="s">
        <v>190</v>
      </c>
      <c r="C267" s="381" t="s">
        <v>39</v>
      </c>
      <c r="D267" s="381" t="s">
        <v>191</v>
      </c>
      <c r="E267" s="381" t="s">
        <v>27</v>
      </c>
      <c r="F267" s="46"/>
      <c r="G267" s="47" t="s">
        <v>24</v>
      </c>
      <c r="H267" s="98"/>
      <c r="I267" s="49"/>
      <c r="J267" s="49"/>
      <c r="K267" s="50"/>
      <c r="L267" s="51"/>
      <c r="M267" s="50">
        <f t="shared" si="21"/>
        <v>0</v>
      </c>
      <c r="N267" s="50"/>
      <c r="O267" s="31"/>
      <c r="P267" s="123"/>
      <c r="Q267" s="50"/>
      <c r="R267" s="51"/>
      <c r="S267" s="50">
        <f t="shared" si="22"/>
        <v>0</v>
      </c>
      <c r="T267" s="50"/>
      <c r="U267" s="3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345</v>
      </c>
      <c r="G268" s="35" t="s">
        <v>28</v>
      </c>
      <c r="H268" s="112">
        <v>2</v>
      </c>
      <c r="I268" s="57"/>
      <c r="J268" s="57"/>
      <c r="K268" s="43"/>
      <c r="L268" s="44"/>
      <c r="M268" s="43">
        <f t="shared" si="21"/>
        <v>0</v>
      </c>
      <c r="N268" s="43"/>
      <c r="O268" s="45"/>
      <c r="P268" s="115">
        <v>4</v>
      </c>
      <c r="Q268" s="68">
        <v>5106.7</v>
      </c>
      <c r="R268" s="285">
        <v>6</v>
      </c>
      <c r="S268" s="39">
        <f t="shared" si="22"/>
        <v>8028.28</v>
      </c>
      <c r="T268" s="68">
        <f>3818+2921.58+1288.7</f>
        <v>8028.28</v>
      </c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192</v>
      </c>
      <c r="C269" s="374" t="s">
        <v>22</v>
      </c>
      <c r="D269" s="374"/>
      <c r="E269" s="374" t="s">
        <v>193</v>
      </c>
      <c r="F269" s="204" t="s">
        <v>318</v>
      </c>
      <c r="G269" s="176" t="s">
        <v>24</v>
      </c>
      <c r="H269" s="61">
        <v>24</v>
      </c>
      <c r="I269" s="62">
        <v>22</v>
      </c>
      <c r="J269" s="62">
        <v>27</v>
      </c>
      <c r="K269" s="30">
        <v>41646.25</v>
      </c>
      <c r="L269" s="205">
        <v>23</v>
      </c>
      <c r="M269" s="26">
        <f t="shared" si="21"/>
        <v>33262</v>
      </c>
      <c r="N269" s="30">
        <v>33262</v>
      </c>
      <c r="O269" s="100"/>
      <c r="P269" s="64">
        <v>20</v>
      </c>
      <c r="Q269" s="65">
        <v>52584.43</v>
      </c>
      <c r="R269" s="224">
        <v>20</v>
      </c>
      <c r="S269" s="50">
        <f t="shared" si="22"/>
        <v>52584.43</v>
      </c>
      <c r="T269" s="65">
        <v>52584.43</v>
      </c>
      <c r="U269" s="225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346</v>
      </c>
      <c r="G270" s="229" t="s">
        <v>28</v>
      </c>
      <c r="H270" s="133">
        <v>1</v>
      </c>
      <c r="I270" s="37">
        <v>1</v>
      </c>
      <c r="J270" s="37">
        <v>1</v>
      </c>
      <c r="K270" s="68">
        <v>1728.9</v>
      </c>
      <c r="L270" s="285">
        <v>1</v>
      </c>
      <c r="M270" s="39">
        <f t="shared" si="21"/>
        <v>1728.9</v>
      </c>
      <c r="N270" s="39">
        <f>1728.9</f>
        <v>1728.9</v>
      </c>
      <c r="O270" s="41"/>
      <c r="P270" s="42"/>
      <c r="Q270" s="43"/>
      <c r="R270" s="44"/>
      <c r="S270" s="43">
        <f t="shared" si="22"/>
        <v>0</v>
      </c>
      <c r="T270" s="43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194</v>
      </c>
      <c r="C271" s="377" t="s">
        <v>39</v>
      </c>
      <c r="D271" s="377" t="s">
        <v>319</v>
      </c>
      <c r="E271" s="374" t="s">
        <v>160</v>
      </c>
      <c r="F271" s="232" t="s">
        <v>320</v>
      </c>
      <c r="G271" s="23" t="s">
        <v>24</v>
      </c>
      <c r="H271" s="48">
        <v>6</v>
      </c>
      <c r="I271" s="203">
        <v>6</v>
      </c>
      <c r="J271" s="203">
        <v>6</v>
      </c>
      <c r="K271" s="65">
        <v>6526.74</v>
      </c>
      <c r="L271" s="316">
        <v>5</v>
      </c>
      <c r="M271" s="129">
        <f t="shared" si="21"/>
        <v>5617.57</v>
      </c>
      <c r="N271" s="65">
        <v>5617.57</v>
      </c>
      <c r="O271" s="225"/>
      <c r="P271" s="29">
        <v>3</v>
      </c>
      <c r="Q271" s="30">
        <v>6107.21</v>
      </c>
      <c r="R271" s="205">
        <v>3</v>
      </c>
      <c r="S271" s="26">
        <f t="shared" si="22"/>
        <v>6107.21</v>
      </c>
      <c r="T271" s="30">
        <v>6107.21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347</v>
      </c>
      <c r="G272" s="35" t="s">
        <v>28</v>
      </c>
      <c r="H272" s="117">
        <v>6</v>
      </c>
      <c r="I272" s="37">
        <v>1</v>
      </c>
      <c r="J272" s="37">
        <v>1</v>
      </c>
      <c r="K272" s="68">
        <v>602.1</v>
      </c>
      <c r="L272" s="44"/>
      <c r="M272" s="43">
        <f t="shared" si="21"/>
        <v>0</v>
      </c>
      <c r="N272" s="39"/>
      <c r="O272" s="41"/>
      <c r="P272" s="37">
        <v>8</v>
      </c>
      <c r="Q272" s="37">
        <v>21038.49</v>
      </c>
      <c r="R272" s="285">
        <v>8</v>
      </c>
      <c r="S272" s="39">
        <f t="shared" si="22"/>
        <v>16625.88</v>
      </c>
      <c r="T272" s="68">
        <f>576.3+4045.34+3273.6+633.93+602.1+2709.45+4454+331.16</f>
        <v>16625.88</v>
      </c>
      <c r="U272" s="2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82"/>
      <c r="B273" s="381" t="s">
        <v>195</v>
      </c>
      <c r="C273" s="377" t="s">
        <v>39</v>
      </c>
      <c r="D273" s="377" t="s">
        <v>231</v>
      </c>
      <c r="E273" s="381" t="s">
        <v>27</v>
      </c>
      <c r="F273" s="204" t="s">
        <v>232</v>
      </c>
      <c r="G273" s="47" t="s">
        <v>24</v>
      </c>
      <c r="H273" s="61">
        <v>4</v>
      </c>
      <c r="I273" s="62">
        <v>1</v>
      </c>
      <c r="J273" s="62">
        <v>1</v>
      </c>
      <c r="K273" s="30">
        <v>2185.62</v>
      </c>
      <c r="L273" s="205">
        <v>1</v>
      </c>
      <c r="M273" s="26">
        <f t="shared" si="21"/>
        <v>2185.62</v>
      </c>
      <c r="N273" s="30">
        <v>2185.62</v>
      </c>
      <c r="O273" s="31"/>
      <c r="P273" s="64">
        <v>7</v>
      </c>
      <c r="Q273" s="65">
        <v>46859.35</v>
      </c>
      <c r="R273" s="224">
        <v>7</v>
      </c>
      <c r="S273" s="50">
        <f t="shared" si="22"/>
        <v>46859.35</v>
      </c>
      <c r="T273" s="65">
        <v>46859.35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1" t="s">
        <v>260</v>
      </c>
      <c r="G274" s="55" t="s">
        <v>28</v>
      </c>
      <c r="H274" s="178">
        <v>10</v>
      </c>
      <c r="I274" s="130">
        <v>3</v>
      </c>
      <c r="J274" s="130">
        <v>3</v>
      </c>
      <c r="K274" s="114">
        <v>8620.94</v>
      </c>
      <c r="L274" s="270">
        <v>3</v>
      </c>
      <c r="M274" s="43">
        <f t="shared" si="21"/>
        <v>8620.94</v>
      </c>
      <c r="N274" s="43">
        <f>1152.6+845.24+6623.1</f>
        <v>8620.94</v>
      </c>
      <c r="O274" s="222"/>
      <c r="P274" s="130">
        <v>9</v>
      </c>
      <c r="Q274" s="130">
        <v>29523.25</v>
      </c>
      <c r="R274" s="270">
        <v>12</v>
      </c>
      <c r="S274" s="43">
        <f t="shared" si="22"/>
        <v>39586.9</v>
      </c>
      <c r="T274" s="114">
        <f>4994.6+12678.6+576.3+6915.6+6915.6+576.3+2113.1+2809.8+2007</f>
        <v>39586.9</v>
      </c>
      <c r="U274" s="222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196</v>
      </c>
      <c r="C275" s="381" t="s">
        <v>22</v>
      </c>
      <c r="D275" s="374"/>
      <c r="E275" s="381" t="s">
        <v>27</v>
      </c>
      <c r="F275" s="22"/>
      <c r="G275" s="23" t="s">
        <v>24</v>
      </c>
      <c r="H275" s="119"/>
      <c r="I275" s="25"/>
      <c r="J275" s="25"/>
      <c r="K275" s="26"/>
      <c r="L275" s="27"/>
      <c r="M275" s="26">
        <f t="shared" si="21"/>
        <v>0</v>
      </c>
      <c r="N275" s="26"/>
      <c r="O275" s="28"/>
      <c r="P275" s="120"/>
      <c r="Q275" s="26"/>
      <c r="R275" s="27"/>
      <c r="S275" s="26">
        <f t="shared" si="22"/>
        <v>0</v>
      </c>
      <c r="T275" s="26"/>
      <c r="U275" s="28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348</v>
      </c>
      <c r="G276" s="35" t="s">
        <v>28</v>
      </c>
      <c r="H276" s="66">
        <v>12</v>
      </c>
      <c r="I276" s="37">
        <v>4</v>
      </c>
      <c r="J276" s="37">
        <v>4</v>
      </c>
      <c r="K276" s="68">
        <v>9834.2999999999993</v>
      </c>
      <c r="L276" s="285">
        <v>5</v>
      </c>
      <c r="M276" s="39">
        <f t="shared" si="21"/>
        <v>12042</v>
      </c>
      <c r="N276" s="39">
        <f>1806.3+3211.2+2007+1806.3+3211.2</f>
        <v>12042</v>
      </c>
      <c r="O276" s="41"/>
      <c r="P276" s="67">
        <v>4</v>
      </c>
      <c r="Q276" s="68">
        <v>11282.42</v>
      </c>
      <c r="R276" s="285">
        <v>4</v>
      </c>
      <c r="S276" s="39">
        <f t="shared" si="22"/>
        <v>11576</v>
      </c>
      <c r="T276" s="39">
        <f>2547.3+4226.2+2881.5+1921</f>
        <v>11576</v>
      </c>
      <c r="U276" s="41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197</v>
      </c>
      <c r="C277" s="381" t="s">
        <v>39</v>
      </c>
      <c r="D277" s="381" t="s">
        <v>381</v>
      </c>
      <c r="E277" s="381" t="s">
        <v>27</v>
      </c>
      <c r="F277" s="204" t="s">
        <v>382</v>
      </c>
      <c r="G277" s="47" t="s">
        <v>24</v>
      </c>
      <c r="H277" s="98"/>
      <c r="I277" s="49"/>
      <c r="J277" s="49"/>
      <c r="K277" s="50"/>
      <c r="L277" s="51"/>
      <c r="M277" s="50">
        <f t="shared" si="21"/>
        <v>0</v>
      </c>
      <c r="N277" s="50"/>
      <c r="O277" s="31"/>
      <c r="P277" s="108">
        <v>1</v>
      </c>
      <c r="Q277" s="65">
        <v>748.24</v>
      </c>
      <c r="R277" s="224">
        <v>1</v>
      </c>
      <c r="S277" s="50">
        <f t="shared" si="22"/>
        <v>748.24</v>
      </c>
      <c r="T277" s="65">
        <v>748.24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9"/>
      <c r="B278" s="380"/>
      <c r="C278" s="380"/>
      <c r="D278" s="380"/>
      <c r="E278" s="380"/>
      <c r="F278" s="221" t="s">
        <v>349</v>
      </c>
      <c r="G278" s="55" t="s">
        <v>28</v>
      </c>
      <c r="H278" s="153">
        <v>6</v>
      </c>
      <c r="I278" s="130">
        <v>4</v>
      </c>
      <c r="J278" s="130">
        <v>4</v>
      </c>
      <c r="K278" s="114">
        <v>6506.1</v>
      </c>
      <c r="L278" s="270">
        <v>4</v>
      </c>
      <c r="M278" s="43">
        <f t="shared" si="21"/>
        <v>6389.4500000000007</v>
      </c>
      <c r="N278" s="43">
        <f>1056.55+1921+1404.9+2007</f>
        <v>6389.4500000000007</v>
      </c>
      <c r="O278" s="41"/>
      <c r="P278" s="103"/>
      <c r="Q278" s="43"/>
      <c r="R278" s="270">
        <v>2</v>
      </c>
      <c r="S278" s="43">
        <f t="shared" si="22"/>
        <v>3765.16</v>
      </c>
      <c r="T278" s="114">
        <f>1440.75+2324.41</f>
        <v>3765.16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198</v>
      </c>
      <c r="C279" s="374" t="s">
        <v>39</v>
      </c>
      <c r="D279" s="374" t="s">
        <v>469</v>
      </c>
      <c r="E279" s="374" t="s">
        <v>112</v>
      </c>
      <c r="F279" s="204" t="s">
        <v>470</v>
      </c>
      <c r="G279" s="23" t="s">
        <v>24</v>
      </c>
      <c r="H279" s="48">
        <v>13</v>
      </c>
      <c r="I279" s="62">
        <v>10</v>
      </c>
      <c r="J279" s="62">
        <v>12</v>
      </c>
      <c r="K279" s="30">
        <v>14515.85</v>
      </c>
      <c r="L279" s="205">
        <v>11</v>
      </c>
      <c r="M279" s="26">
        <f t="shared" si="21"/>
        <v>11134.89</v>
      </c>
      <c r="N279" s="30">
        <v>11134.89</v>
      </c>
      <c r="O279" s="31"/>
      <c r="P279" s="53">
        <v>15</v>
      </c>
      <c r="Q279" s="30">
        <v>53553.03</v>
      </c>
      <c r="R279" s="205">
        <v>15</v>
      </c>
      <c r="S279" s="26">
        <f t="shared" si="22"/>
        <v>53553.03</v>
      </c>
      <c r="T279" s="30">
        <v>53553.03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350</v>
      </c>
      <c r="G280" s="35" t="s">
        <v>28</v>
      </c>
      <c r="H280" s="153">
        <v>3</v>
      </c>
      <c r="I280" s="37">
        <v>2</v>
      </c>
      <c r="J280" s="37">
        <v>2</v>
      </c>
      <c r="K280" s="68">
        <v>1926.72</v>
      </c>
      <c r="L280" s="285">
        <v>2</v>
      </c>
      <c r="M280" s="39">
        <f t="shared" si="21"/>
        <v>1926.7199999999998</v>
      </c>
      <c r="N280" s="360">
        <f>602.1+1324.62</f>
        <v>1926.7199999999998</v>
      </c>
      <c r="O280" s="41"/>
      <c r="P280" s="59"/>
      <c r="Q280" s="39"/>
      <c r="R280" s="40"/>
      <c r="S280" s="39">
        <f t="shared" si="22"/>
        <v>0</v>
      </c>
      <c r="T280" s="39"/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199</v>
      </c>
      <c r="C281" s="381" t="s">
        <v>22</v>
      </c>
      <c r="D281" s="381"/>
      <c r="E281" s="381" t="s">
        <v>131</v>
      </c>
      <c r="F281" s="46"/>
      <c r="G281" s="23" t="s">
        <v>24</v>
      </c>
      <c r="H281" s="98"/>
      <c r="I281" s="49"/>
      <c r="J281" s="49"/>
      <c r="K281" s="50"/>
      <c r="L281" s="51"/>
      <c r="M281" s="50">
        <f t="shared" si="21"/>
        <v>0</v>
      </c>
      <c r="N281" s="50"/>
      <c r="O281" s="31"/>
      <c r="P281" s="123"/>
      <c r="Q281" s="50"/>
      <c r="R281" s="51"/>
      <c r="S281" s="50">
        <f t="shared" si="22"/>
        <v>0</v>
      </c>
      <c r="T281" s="50"/>
      <c r="U281" s="31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126"/>
      <c r="G282" s="55" t="s">
        <v>25</v>
      </c>
      <c r="H282" s="118"/>
      <c r="I282" s="57"/>
      <c r="J282" s="57"/>
      <c r="K282" s="43"/>
      <c r="L282" s="44"/>
      <c r="M282" s="43">
        <f t="shared" si="21"/>
        <v>0</v>
      </c>
      <c r="N282" s="43"/>
      <c r="O282" s="41"/>
      <c r="P282" s="103"/>
      <c r="Q282" s="43"/>
      <c r="R282" s="44"/>
      <c r="S282" s="43">
        <f t="shared" si="22"/>
        <v>0</v>
      </c>
      <c r="T282" s="43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200</v>
      </c>
      <c r="C283" s="374" t="s">
        <v>39</v>
      </c>
      <c r="D283" s="374" t="s">
        <v>456</v>
      </c>
      <c r="E283" s="374" t="s">
        <v>27</v>
      </c>
      <c r="F283" s="204" t="s">
        <v>457</v>
      </c>
      <c r="G283" s="23" t="s">
        <v>24</v>
      </c>
      <c r="H283" s="61">
        <v>8</v>
      </c>
      <c r="I283" s="62">
        <v>5</v>
      </c>
      <c r="J283" s="62">
        <v>6</v>
      </c>
      <c r="K283" s="30">
        <v>9017.57</v>
      </c>
      <c r="L283" s="205">
        <v>6</v>
      </c>
      <c r="M283" s="26">
        <f t="shared" si="21"/>
        <v>9017.57</v>
      </c>
      <c r="N283" s="30">
        <v>9017.57</v>
      </c>
      <c r="O283" s="31"/>
      <c r="P283" s="29">
        <v>7</v>
      </c>
      <c r="Q283" s="30">
        <v>28873.11</v>
      </c>
      <c r="R283" s="205">
        <v>6</v>
      </c>
      <c r="S283" s="26">
        <f t="shared" si="22"/>
        <v>21652.240000000002</v>
      </c>
      <c r="T283" s="30">
        <v>21652.240000000002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33" t="s">
        <v>466</v>
      </c>
      <c r="G284" s="227" t="s">
        <v>28</v>
      </c>
      <c r="H284" s="207">
        <v>4</v>
      </c>
      <c r="I284" s="208">
        <v>4</v>
      </c>
      <c r="J284" s="208">
        <v>4</v>
      </c>
      <c r="K284" s="209">
        <v>5170.8999999999996</v>
      </c>
      <c r="L284" s="290">
        <v>4</v>
      </c>
      <c r="M284" s="211">
        <f t="shared" si="21"/>
        <v>5170.9000000000005</v>
      </c>
      <c r="N284" s="211">
        <f>1056.55+2308.05+1204.2+602.1</f>
        <v>5170.9000000000005</v>
      </c>
      <c r="O284" s="212"/>
      <c r="P284" s="284"/>
      <c r="Q284" s="211"/>
      <c r="R284" s="290">
        <v>1</v>
      </c>
      <c r="S284" s="211">
        <f t="shared" si="22"/>
        <v>1921</v>
      </c>
      <c r="T284" s="209">
        <v>1921</v>
      </c>
      <c r="U284" s="212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430</v>
      </c>
      <c r="C285" s="374" t="s">
        <v>39</v>
      </c>
      <c r="D285" s="374" t="s">
        <v>439</v>
      </c>
      <c r="E285" s="374" t="s">
        <v>27</v>
      </c>
      <c r="F285" s="204" t="s">
        <v>440</v>
      </c>
      <c r="G285" s="213" t="s">
        <v>24</v>
      </c>
      <c r="H285" s="61">
        <v>3</v>
      </c>
      <c r="I285" s="62"/>
      <c r="J285" s="62"/>
      <c r="K285" s="30"/>
      <c r="L285" s="27"/>
      <c r="M285" s="26">
        <f t="shared" si="21"/>
        <v>0</v>
      </c>
      <c r="N285" s="26"/>
      <c r="O285" s="241"/>
      <c r="P285" s="214"/>
      <c r="Q285" s="30"/>
      <c r="R285" s="205"/>
      <c r="S285" s="26">
        <f t="shared" si="22"/>
        <v>0</v>
      </c>
      <c r="T285" s="30"/>
      <c r="U285" s="28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20"/>
      <c r="G286" s="215" t="s">
        <v>28</v>
      </c>
      <c r="H286" s="117"/>
      <c r="I286" s="37"/>
      <c r="J286" s="37"/>
      <c r="K286" s="68"/>
      <c r="L286" s="40"/>
      <c r="M286" s="39">
        <f t="shared" si="21"/>
        <v>0</v>
      </c>
      <c r="N286" s="39"/>
      <c r="O286" s="234"/>
      <c r="P286" s="217"/>
      <c r="Q286" s="68"/>
      <c r="R286" s="285"/>
      <c r="S286" s="39">
        <f t="shared" si="22"/>
        <v>0</v>
      </c>
      <c r="T286" s="68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6"/>
      <c r="B287" s="377" t="s">
        <v>201</v>
      </c>
      <c r="C287" s="377" t="s">
        <v>39</v>
      </c>
      <c r="D287" s="377" t="s">
        <v>385</v>
      </c>
      <c r="E287" s="377" t="s">
        <v>386</v>
      </c>
      <c r="F287" s="232" t="s">
        <v>387</v>
      </c>
      <c r="G287" s="95" t="s">
        <v>24</v>
      </c>
      <c r="H287" s="265">
        <v>22</v>
      </c>
      <c r="I287" s="266">
        <v>20</v>
      </c>
      <c r="J287" s="266">
        <v>31</v>
      </c>
      <c r="K287" s="79">
        <v>46679.24</v>
      </c>
      <c r="L287" s="268">
        <v>31</v>
      </c>
      <c r="M287" s="81">
        <f t="shared" si="21"/>
        <v>46679.24</v>
      </c>
      <c r="N287" s="79">
        <v>46679.24</v>
      </c>
      <c r="O287" s="313"/>
      <c r="P287" s="267">
        <v>2</v>
      </c>
      <c r="Q287" s="79">
        <v>4356.83</v>
      </c>
      <c r="R287" s="268">
        <v>2</v>
      </c>
      <c r="S287" s="81">
        <f t="shared" si="22"/>
        <v>4356.83</v>
      </c>
      <c r="T287" s="79">
        <v>4356.83</v>
      </c>
      <c r="U287" s="82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 t="s">
        <v>498</v>
      </c>
      <c r="G288" s="35" t="s">
        <v>25</v>
      </c>
      <c r="H288" s="117">
        <v>1</v>
      </c>
      <c r="I288" s="37">
        <v>1</v>
      </c>
      <c r="J288" s="37">
        <v>1</v>
      </c>
      <c r="K288" s="68">
        <v>551.92999999999995</v>
      </c>
      <c r="L288" s="285">
        <v>1</v>
      </c>
      <c r="M288" s="68">
        <v>551.92999999999995</v>
      </c>
      <c r="N288" s="68">
        <v>551.92999999999995</v>
      </c>
      <c r="O288" s="58"/>
      <c r="P288" s="115">
        <v>2</v>
      </c>
      <c r="Q288" s="68">
        <v>4418.3</v>
      </c>
      <c r="R288" s="285">
        <v>2</v>
      </c>
      <c r="S288" s="68">
        <v>4418.3</v>
      </c>
      <c r="T288" s="68">
        <v>4418.3</v>
      </c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82"/>
      <c r="B289" s="381" t="s">
        <v>202</v>
      </c>
      <c r="C289" s="381" t="s">
        <v>39</v>
      </c>
      <c r="D289" s="377" t="s">
        <v>441</v>
      </c>
      <c r="E289" s="381" t="s">
        <v>27</v>
      </c>
      <c r="F289" s="204" t="s">
        <v>442</v>
      </c>
      <c r="G289" s="47" t="s">
        <v>24</v>
      </c>
      <c r="H289" s="48">
        <v>5</v>
      </c>
      <c r="I289" s="203">
        <v>2</v>
      </c>
      <c r="J289" s="203">
        <v>2</v>
      </c>
      <c r="K289" s="65">
        <v>2382.04</v>
      </c>
      <c r="L289" s="224">
        <v>2</v>
      </c>
      <c r="M289" s="50">
        <f t="shared" ref="M289:M294" si="23">N289+O289</f>
        <v>2382.04</v>
      </c>
      <c r="N289" s="65">
        <v>2382.04</v>
      </c>
      <c r="O289" s="31"/>
      <c r="P289" s="108">
        <v>2</v>
      </c>
      <c r="Q289" s="65">
        <v>4082.51</v>
      </c>
      <c r="R289" s="224">
        <v>2</v>
      </c>
      <c r="S289" s="50">
        <f t="shared" ref="S289:S293" si="24">T289+U289</f>
        <v>4082.51</v>
      </c>
      <c r="T289" s="65">
        <v>4082.51</v>
      </c>
      <c r="U289" s="225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1" t="s">
        <v>262</v>
      </c>
      <c r="G290" s="55" t="s">
        <v>28</v>
      </c>
      <c r="H290" s="112">
        <v>6</v>
      </c>
      <c r="I290" s="130">
        <v>1</v>
      </c>
      <c r="J290" s="130">
        <v>1</v>
      </c>
      <c r="K290" s="114">
        <v>1479.17</v>
      </c>
      <c r="L290" s="316">
        <v>1</v>
      </c>
      <c r="M290" s="129">
        <f t="shared" si="23"/>
        <v>1479.17</v>
      </c>
      <c r="N290" s="43">
        <f>1479.17</f>
        <v>1479.17</v>
      </c>
      <c r="O290" s="45"/>
      <c r="P290" s="113">
        <v>4</v>
      </c>
      <c r="Q290" s="114">
        <v>17905.400000000001</v>
      </c>
      <c r="R290" s="316">
        <v>5</v>
      </c>
      <c r="S290" s="129">
        <f t="shared" si="24"/>
        <v>21555.3</v>
      </c>
      <c r="T290" s="114">
        <f>3649.9+1344.7+7107.7+4034.1+5418.9</f>
        <v>21555.3</v>
      </c>
      <c r="U290" s="45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2"/>
      <c r="B291" s="374" t="s">
        <v>203</v>
      </c>
      <c r="C291" s="377" t="s">
        <v>46</v>
      </c>
      <c r="D291" s="377" t="s">
        <v>459</v>
      </c>
      <c r="E291" s="374" t="s">
        <v>27</v>
      </c>
      <c r="F291" s="204" t="s">
        <v>475</v>
      </c>
      <c r="G291" s="23" t="s">
        <v>24</v>
      </c>
      <c r="H291" s="61">
        <v>3</v>
      </c>
      <c r="I291" s="62">
        <v>1</v>
      </c>
      <c r="J291" s="62">
        <v>2</v>
      </c>
      <c r="K291" s="30">
        <v>2954.31</v>
      </c>
      <c r="L291" s="205">
        <v>2</v>
      </c>
      <c r="M291" s="26">
        <f t="shared" si="23"/>
        <v>2954.31</v>
      </c>
      <c r="N291" s="30">
        <v>2954.31</v>
      </c>
      <c r="O291" s="28"/>
      <c r="P291" s="29">
        <v>6</v>
      </c>
      <c r="Q291" s="30">
        <v>3137.95</v>
      </c>
      <c r="R291" s="205">
        <v>1</v>
      </c>
      <c r="S291" s="26">
        <f t="shared" si="24"/>
        <v>3137.95</v>
      </c>
      <c r="T291" s="30">
        <v>3137.95</v>
      </c>
      <c r="U291" s="28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34"/>
      <c r="G292" s="35" t="s">
        <v>28</v>
      </c>
      <c r="H292" s="117"/>
      <c r="I292" s="38"/>
      <c r="J292" s="38"/>
      <c r="K292" s="39"/>
      <c r="L292" s="40"/>
      <c r="M292" s="39">
        <f t="shared" si="23"/>
        <v>0</v>
      </c>
      <c r="N292" s="39"/>
      <c r="O292" s="41"/>
      <c r="P292" s="69"/>
      <c r="Q292" s="39"/>
      <c r="R292" s="40"/>
      <c r="S292" s="39">
        <f t="shared" si="24"/>
        <v>0</v>
      </c>
      <c r="T292" s="39"/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204</v>
      </c>
      <c r="C293" s="377" t="s">
        <v>22</v>
      </c>
      <c r="D293" s="377"/>
      <c r="E293" s="381" t="s">
        <v>23</v>
      </c>
      <c r="F293" s="204" t="s">
        <v>431</v>
      </c>
      <c r="G293" s="47" t="s">
        <v>24</v>
      </c>
      <c r="H293" s="48">
        <v>12</v>
      </c>
      <c r="I293" s="203">
        <v>8</v>
      </c>
      <c r="J293" s="203">
        <v>9</v>
      </c>
      <c r="K293" s="65">
        <v>11474.19</v>
      </c>
      <c r="L293" s="224">
        <v>8</v>
      </c>
      <c r="M293" s="50">
        <f t="shared" si="23"/>
        <v>10206.33</v>
      </c>
      <c r="N293" s="65">
        <v>10206.33</v>
      </c>
      <c r="O293" s="225"/>
      <c r="P293" s="108">
        <v>4</v>
      </c>
      <c r="Q293" s="65">
        <v>3363.11</v>
      </c>
      <c r="R293" s="224">
        <v>4</v>
      </c>
      <c r="S293" s="50">
        <f t="shared" si="24"/>
        <v>3363.11</v>
      </c>
      <c r="T293" s="65">
        <v>3363.11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0" t="s">
        <v>499</v>
      </c>
      <c r="G294" s="35" t="s">
        <v>25</v>
      </c>
      <c r="H294" s="111"/>
      <c r="I294" s="38"/>
      <c r="J294" s="38"/>
      <c r="K294" s="39"/>
      <c r="L294" s="40"/>
      <c r="M294" s="39">
        <f t="shared" si="23"/>
        <v>0</v>
      </c>
      <c r="N294" s="39"/>
      <c r="O294" s="41"/>
      <c r="P294" s="115">
        <v>2</v>
      </c>
      <c r="Q294" s="68">
        <v>2305.1999999999998</v>
      </c>
      <c r="R294" s="285">
        <v>1</v>
      </c>
      <c r="S294" s="68">
        <v>2305.1999999999998</v>
      </c>
      <c r="T294" s="68">
        <v>2305.1999999999998</v>
      </c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179"/>
      <c r="B295" s="180" t="s">
        <v>205</v>
      </c>
      <c r="C295" s="180"/>
      <c r="D295" s="180"/>
      <c r="E295" s="180"/>
      <c r="F295" s="180"/>
      <c r="G295" s="181"/>
      <c r="H295" s="182">
        <f t="shared" ref="H295:U295" si="25">SUM(H9:H294)</f>
        <v>2152</v>
      </c>
      <c r="I295" s="183">
        <f t="shared" si="25"/>
        <v>1380</v>
      </c>
      <c r="J295" s="183">
        <f t="shared" si="25"/>
        <v>1732</v>
      </c>
      <c r="K295" s="184">
        <f t="shared" si="25"/>
        <v>3260605.3100000015</v>
      </c>
      <c r="L295" s="185">
        <f t="shared" si="25"/>
        <v>1602</v>
      </c>
      <c r="M295" s="184">
        <f t="shared" si="25"/>
        <v>2963182.5599999996</v>
      </c>
      <c r="N295" s="184">
        <f t="shared" si="25"/>
        <v>2964386.76</v>
      </c>
      <c r="O295" s="186">
        <f t="shared" si="25"/>
        <v>0</v>
      </c>
      <c r="P295" s="187">
        <f t="shared" si="25"/>
        <v>1440</v>
      </c>
      <c r="Q295" s="188">
        <f t="shared" si="25"/>
        <v>5184771.17</v>
      </c>
      <c r="R295" s="185">
        <f t="shared" si="25"/>
        <v>1373</v>
      </c>
      <c r="S295" s="188">
        <f t="shared" si="25"/>
        <v>5011656.6999999993</v>
      </c>
      <c r="T295" s="188">
        <f t="shared" si="25"/>
        <v>5011656.6999999993</v>
      </c>
      <c r="U295" s="189">
        <f t="shared" si="25"/>
        <v>0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I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 t="s">
        <v>206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27.75" customHeight="1">
      <c r="A299" s="4"/>
      <c r="B299" s="4"/>
      <c r="C299" s="4"/>
      <c r="D299" s="4"/>
      <c r="E299" s="4"/>
      <c r="F299" s="394"/>
      <c r="G299" s="395" t="s">
        <v>5</v>
      </c>
      <c r="H299" s="396"/>
      <c r="I299" s="396"/>
      <c r="J299" s="396"/>
      <c r="K299" s="396"/>
      <c r="L299" s="396"/>
      <c r="M299" s="396"/>
      <c r="N299" s="397"/>
      <c r="O299" s="395" t="s">
        <v>6</v>
      </c>
      <c r="P299" s="396"/>
      <c r="Q299" s="396"/>
      <c r="R299" s="396"/>
      <c r="S299" s="396"/>
      <c r="T299" s="397"/>
      <c r="U299" s="393" t="s">
        <v>207</v>
      </c>
      <c r="V299" s="393" t="s">
        <v>208</v>
      </c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386"/>
      <c r="G300" s="190" t="s">
        <v>13</v>
      </c>
      <c r="H300" s="190" t="s">
        <v>14</v>
      </c>
      <c r="I300" s="190" t="s">
        <v>15</v>
      </c>
      <c r="J300" s="190" t="s">
        <v>16</v>
      </c>
      <c r="K300" s="191" t="s">
        <v>17</v>
      </c>
      <c r="L300" s="190" t="s">
        <v>18</v>
      </c>
      <c r="M300" s="190" t="s">
        <v>19</v>
      </c>
      <c r="N300" s="190" t="s">
        <v>20</v>
      </c>
      <c r="O300" s="190" t="s">
        <v>15</v>
      </c>
      <c r="P300" s="190" t="s">
        <v>16</v>
      </c>
      <c r="Q300" s="191" t="s">
        <v>17</v>
      </c>
      <c r="R300" s="190" t="s">
        <v>18</v>
      </c>
      <c r="S300" s="190" t="s">
        <v>19</v>
      </c>
      <c r="T300" s="190" t="s">
        <v>20</v>
      </c>
      <c r="U300" s="392"/>
      <c r="V300" s="392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192" t="s">
        <v>24</v>
      </c>
      <c r="G301" s="193">
        <f t="shared" ref="G301:I301" si="26">SUMIF($G$9:$G$294,$F$301,H9:H294)</f>
        <v>1565</v>
      </c>
      <c r="H301" s="193">
        <f t="shared" si="26"/>
        <v>1127</v>
      </c>
      <c r="I301" s="193">
        <f t="shared" si="26"/>
        <v>1478</v>
      </c>
      <c r="J301" s="194">
        <f t="shared" ref="J301:J303" si="27">SUMIF($G$9:$G$294,F301,$K$9:$K$294)</f>
        <v>2756563.1300000018</v>
      </c>
      <c r="K301" s="195">
        <f t="shared" ref="K301:K303" si="28">SUMIF($G$9:$G$294,F301,$L$9:$L$294)</f>
        <v>1379</v>
      </c>
      <c r="L301" s="194">
        <f t="shared" ref="L301:L303" si="29">SUMIF($G$9:$G$294,F301,$M$9:$M$294)</f>
        <v>2525839.5200000005</v>
      </c>
      <c r="M301" s="194">
        <f t="shared" ref="M301:O301" si="30">SUMIF($G$9:$G$294,$F$301,N9:N294)</f>
        <v>2525839.5200000005</v>
      </c>
      <c r="N301" s="194">
        <f t="shared" si="30"/>
        <v>0</v>
      </c>
      <c r="O301" s="193">
        <f t="shared" si="30"/>
        <v>1136</v>
      </c>
      <c r="P301" s="194">
        <f t="shared" ref="P301:P303" si="31">SUMIF($G$9:$G$294,F301,$Q$9:$Q$294)</f>
        <v>4128684.3899999987</v>
      </c>
      <c r="Q301" s="195">
        <f t="shared" ref="Q301:Q303" si="32">SUMIF($G$9:$G$294,F301,$R$9:$R$294)</f>
        <v>1071</v>
      </c>
      <c r="R301" s="194">
        <f t="shared" ref="R301:R303" si="33">SUMIF($G$9:$G$294,F301,$S$9:$S$294)</f>
        <v>3999566.6299999994</v>
      </c>
      <c r="S301" s="194">
        <f t="shared" ref="S301:T301" si="34">SUMIF($G$9:$G$294,$F$301,T9:T294)</f>
        <v>3999566.6299999994</v>
      </c>
      <c r="T301" s="194">
        <f t="shared" si="34"/>
        <v>0</v>
      </c>
      <c r="U301" s="194">
        <f t="shared" ref="U301:U303" si="35">S301+M301</f>
        <v>6525406.1500000004</v>
      </c>
      <c r="V301" s="196">
        <f t="shared" ref="V301:V303" si="36">J301-M301+P301-S301</f>
        <v>359841.37000000058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192" t="s">
        <v>28</v>
      </c>
      <c r="G302" s="236">
        <f t="shared" ref="G302:I302" si="37">SUMIF($G$9:$G$294,$F$302,H9:H294)</f>
        <v>487</v>
      </c>
      <c r="H302" s="193">
        <f t="shared" si="37"/>
        <v>208</v>
      </c>
      <c r="I302" s="193">
        <f t="shared" si="37"/>
        <v>209</v>
      </c>
      <c r="J302" s="194">
        <f t="shared" si="27"/>
        <v>428151.98999999987</v>
      </c>
      <c r="K302" s="195">
        <f t="shared" si="28"/>
        <v>178</v>
      </c>
      <c r="L302" s="194">
        <f t="shared" si="29"/>
        <v>361452.85000000003</v>
      </c>
      <c r="M302" s="194">
        <f t="shared" ref="M302:O302" si="38">SUMIF($G$9:$G$294,$F$302,N9:N294)</f>
        <v>362657.05000000005</v>
      </c>
      <c r="N302" s="194">
        <f t="shared" si="38"/>
        <v>0</v>
      </c>
      <c r="O302" s="193">
        <f t="shared" si="38"/>
        <v>236</v>
      </c>
      <c r="P302" s="194">
        <f t="shared" si="31"/>
        <v>790865.12999999977</v>
      </c>
      <c r="Q302" s="195">
        <f t="shared" si="32"/>
        <v>236</v>
      </c>
      <c r="R302" s="194">
        <f t="shared" si="33"/>
        <v>746868.42000000039</v>
      </c>
      <c r="S302" s="194">
        <f t="shared" ref="S302:T302" si="39">SUMIF($G$9:$G$294,$F$302,T9:T294)</f>
        <v>746868.42000000039</v>
      </c>
      <c r="T302" s="194">
        <f t="shared" si="39"/>
        <v>0</v>
      </c>
      <c r="U302" s="194">
        <f t="shared" si="35"/>
        <v>1109525.4700000004</v>
      </c>
      <c r="V302" s="196">
        <f t="shared" si="36"/>
        <v>109491.64999999921</v>
      </c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25</v>
      </c>
      <c r="G303" s="193">
        <f t="shared" ref="G303:I303" si="40">SUMIF($G$9:$G$294,$F$303,H9:H294)</f>
        <v>100</v>
      </c>
      <c r="H303" s="193">
        <f t="shared" si="40"/>
        <v>45</v>
      </c>
      <c r="I303" s="193">
        <f t="shared" si="40"/>
        <v>45</v>
      </c>
      <c r="J303" s="194">
        <f t="shared" si="27"/>
        <v>75890.189999999988</v>
      </c>
      <c r="K303" s="195">
        <f t="shared" si="28"/>
        <v>45</v>
      </c>
      <c r="L303" s="194">
        <f t="shared" si="29"/>
        <v>75890.189999999988</v>
      </c>
      <c r="M303" s="194">
        <f t="shared" ref="M303:O303" si="41">SUMIF($G$9:$G$294,$F$303,N9:N294)</f>
        <v>75890.189999999988</v>
      </c>
      <c r="N303" s="194">
        <f t="shared" si="41"/>
        <v>0</v>
      </c>
      <c r="O303" s="193">
        <f t="shared" si="41"/>
        <v>68</v>
      </c>
      <c r="P303" s="194">
        <f t="shared" si="31"/>
        <v>265221.65000000002</v>
      </c>
      <c r="Q303" s="195">
        <f t="shared" si="32"/>
        <v>66</v>
      </c>
      <c r="R303" s="194">
        <f t="shared" si="33"/>
        <v>265221.65000000002</v>
      </c>
      <c r="S303" s="194">
        <f t="shared" ref="S303:T303" si="42">SUMIF($G$9:$G$294,$F$303,T9:T294)</f>
        <v>265221.65000000002</v>
      </c>
      <c r="T303" s="194">
        <f t="shared" si="42"/>
        <v>0</v>
      </c>
      <c r="U303" s="194">
        <f t="shared" si="35"/>
        <v>341111.84</v>
      </c>
      <c r="V303" s="196">
        <f t="shared" si="36"/>
        <v>0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197">
        <f t="shared" ref="G304:V304" si="43">G303+G302+G301</f>
        <v>2152</v>
      </c>
      <c r="H304" s="197">
        <f t="shared" si="43"/>
        <v>1380</v>
      </c>
      <c r="I304" s="197">
        <f t="shared" si="43"/>
        <v>1732</v>
      </c>
      <c r="J304" s="198">
        <f t="shared" si="43"/>
        <v>3260605.3100000015</v>
      </c>
      <c r="K304" s="199">
        <f t="shared" si="43"/>
        <v>1602</v>
      </c>
      <c r="L304" s="198">
        <f t="shared" si="43"/>
        <v>2963182.5600000005</v>
      </c>
      <c r="M304" s="198">
        <f t="shared" si="43"/>
        <v>2964386.7600000007</v>
      </c>
      <c r="N304" s="198">
        <f t="shared" si="43"/>
        <v>0</v>
      </c>
      <c r="O304" s="197">
        <f t="shared" si="43"/>
        <v>1440</v>
      </c>
      <c r="P304" s="198">
        <f t="shared" si="43"/>
        <v>5184771.1699999981</v>
      </c>
      <c r="Q304" s="200">
        <f t="shared" si="43"/>
        <v>1373</v>
      </c>
      <c r="R304" s="198">
        <f t="shared" si="43"/>
        <v>5011656.7</v>
      </c>
      <c r="S304" s="198">
        <f t="shared" si="43"/>
        <v>5011656.7</v>
      </c>
      <c r="T304" s="198">
        <f t="shared" si="43"/>
        <v>0</v>
      </c>
      <c r="U304" s="198">
        <f t="shared" si="43"/>
        <v>7976043.4600000009</v>
      </c>
      <c r="V304" s="198">
        <f t="shared" si="43"/>
        <v>469333.01999999979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L457" s="2"/>
      <c r="R457" s="2"/>
    </row>
    <row r="458" spans="11:18" ht="15.75" customHeight="1">
      <c r="L458" s="2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</sheetData>
  <mergeCells count="710">
    <mergeCell ref="D204:D205"/>
    <mergeCell ref="E204:E205"/>
    <mergeCell ref="B215:B216"/>
    <mergeCell ref="C215:C216"/>
    <mergeCell ref="A217:A218"/>
    <mergeCell ref="B217:B218"/>
    <mergeCell ref="C217:C218"/>
    <mergeCell ref="D217:D218"/>
    <mergeCell ref="E217:E218"/>
    <mergeCell ref="D196:D197"/>
    <mergeCell ref="E196:E197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C192:C193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215:D216"/>
    <mergeCell ref="E215:E216"/>
    <mergeCell ref="A211:A212"/>
    <mergeCell ref="A213:A214"/>
    <mergeCell ref="B213:B214"/>
    <mergeCell ref="C213:C214"/>
    <mergeCell ref="D213:D214"/>
    <mergeCell ref="E213:E214"/>
    <mergeCell ref="A215:A216"/>
    <mergeCell ref="B206:B208"/>
    <mergeCell ref="C206:C208"/>
    <mergeCell ref="D206:D208"/>
    <mergeCell ref="E206:E208"/>
    <mergeCell ref="C211:C212"/>
    <mergeCell ref="D211:D212"/>
    <mergeCell ref="A209:A210"/>
    <mergeCell ref="B209:B210"/>
    <mergeCell ref="C209:C210"/>
    <mergeCell ref="D209:D210"/>
    <mergeCell ref="E209:E210"/>
    <mergeCell ref="B211:B212"/>
    <mergeCell ref="E211:E212"/>
    <mergeCell ref="A176:A177"/>
    <mergeCell ref="B176:B177"/>
    <mergeCell ref="C176:C177"/>
    <mergeCell ref="D176:D177"/>
    <mergeCell ref="E176:E177"/>
    <mergeCell ref="A178:A179"/>
    <mergeCell ref="B186:B187"/>
    <mergeCell ref="C186:C187"/>
    <mergeCell ref="A188:A189"/>
    <mergeCell ref="B188:B189"/>
    <mergeCell ref="C188:C189"/>
    <mergeCell ref="D188:D189"/>
    <mergeCell ref="E188:E189"/>
    <mergeCell ref="D170:D171"/>
    <mergeCell ref="E170:E171"/>
    <mergeCell ref="D172:D173"/>
    <mergeCell ref="E172:E173"/>
    <mergeCell ref="D174:D175"/>
    <mergeCell ref="E174:E175"/>
    <mergeCell ref="A166:A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A172:A173"/>
    <mergeCell ref="B172:B173"/>
    <mergeCell ref="C172:C173"/>
    <mergeCell ref="B174:B175"/>
    <mergeCell ref="C174:C175"/>
    <mergeCell ref="A174:A175"/>
    <mergeCell ref="C166:C167"/>
    <mergeCell ref="D166:D167"/>
    <mergeCell ref="A163:A165"/>
    <mergeCell ref="B163:B165"/>
    <mergeCell ref="C163:C165"/>
    <mergeCell ref="D163:D165"/>
    <mergeCell ref="E163:E165"/>
    <mergeCell ref="B166:B167"/>
    <mergeCell ref="E166:E167"/>
    <mergeCell ref="A281:A282"/>
    <mergeCell ref="B281:B282"/>
    <mergeCell ref="C281:C282"/>
    <mergeCell ref="D281:D282"/>
    <mergeCell ref="E281:E282"/>
    <mergeCell ref="D186:D187"/>
    <mergeCell ref="E186:E187"/>
    <mergeCell ref="A182:A183"/>
    <mergeCell ref="A184:A185"/>
    <mergeCell ref="B184:B185"/>
    <mergeCell ref="C184:C185"/>
    <mergeCell ref="D184:D185"/>
    <mergeCell ref="E184:E185"/>
    <mergeCell ref="A186:A187"/>
    <mergeCell ref="A200:A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A206:A208"/>
    <mergeCell ref="D271:D272"/>
    <mergeCell ref="E271:E272"/>
    <mergeCell ref="D273:D274"/>
    <mergeCell ref="E273:E274"/>
    <mergeCell ref="D275:D276"/>
    <mergeCell ref="E275:E276"/>
    <mergeCell ref="A267:A268"/>
    <mergeCell ref="A269:A270"/>
    <mergeCell ref="B269:B270"/>
    <mergeCell ref="C269:C270"/>
    <mergeCell ref="D269:D270"/>
    <mergeCell ref="E269:E270"/>
    <mergeCell ref="A271:A272"/>
    <mergeCell ref="B271:B272"/>
    <mergeCell ref="C271:C272"/>
    <mergeCell ref="A273:A274"/>
    <mergeCell ref="B273:B274"/>
    <mergeCell ref="C273:C274"/>
    <mergeCell ref="B275:B276"/>
    <mergeCell ref="C275:C276"/>
    <mergeCell ref="D263:D264"/>
    <mergeCell ref="E263:E264"/>
    <mergeCell ref="D265:D266"/>
    <mergeCell ref="E265:E266"/>
    <mergeCell ref="D267:D268"/>
    <mergeCell ref="E267:E268"/>
    <mergeCell ref="A259:A260"/>
    <mergeCell ref="A261:A262"/>
    <mergeCell ref="B261:B262"/>
    <mergeCell ref="C261:C262"/>
    <mergeCell ref="D261:D262"/>
    <mergeCell ref="E261:E262"/>
    <mergeCell ref="A263:A264"/>
    <mergeCell ref="B263:B264"/>
    <mergeCell ref="C263:C264"/>
    <mergeCell ref="A265:A266"/>
    <mergeCell ref="B265:B266"/>
    <mergeCell ref="C265:C266"/>
    <mergeCell ref="B267:B268"/>
    <mergeCell ref="C267:C268"/>
    <mergeCell ref="D287:D288"/>
    <mergeCell ref="E287:E288"/>
    <mergeCell ref="A289:A290"/>
    <mergeCell ref="G299:N299"/>
    <mergeCell ref="O299:T299"/>
    <mergeCell ref="U299:U300"/>
    <mergeCell ref="V299:V300"/>
    <mergeCell ref="D289:D290"/>
    <mergeCell ref="E289:E290"/>
    <mergeCell ref="D291:D292"/>
    <mergeCell ref="E291:E292"/>
    <mergeCell ref="D293:D294"/>
    <mergeCell ref="E293:E294"/>
    <mergeCell ref="F299:F300"/>
    <mergeCell ref="B289:B290"/>
    <mergeCell ref="C289:C290"/>
    <mergeCell ref="A291:A292"/>
    <mergeCell ref="B291:B292"/>
    <mergeCell ref="C291:C292"/>
    <mergeCell ref="A293:A294"/>
    <mergeCell ref="B293:B294"/>
    <mergeCell ref="C293:C294"/>
    <mergeCell ref="A285:A286"/>
    <mergeCell ref="A287:A288"/>
    <mergeCell ref="B287:B288"/>
    <mergeCell ref="C287:C288"/>
    <mergeCell ref="C285:C286"/>
    <mergeCell ref="D285:D286"/>
    <mergeCell ref="A283:A284"/>
    <mergeCell ref="B283:B284"/>
    <mergeCell ref="C283:C284"/>
    <mergeCell ref="D283:D284"/>
    <mergeCell ref="E283:E284"/>
    <mergeCell ref="B285:B286"/>
    <mergeCell ref="E285:E286"/>
    <mergeCell ref="D279:D280"/>
    <mergeCell ref="E279:E280"/>
    <mergeCell ref="A275:A276"/>
    <mergeCell ref="A277:A278"/>
    <mergeCell ref="B277:B278"/>
    <mergeCell ref="C277:C278"/>
    <mergeCell ref="D277:D278"/>
    <mergeCell ref="E277:E278"/>
    <mergeCell ref="A279:A280"/>
    <mergeCell ref="B279:B280"/>
    <mergeCell ref="C279:C280"/>
    <mergeCell ref="D255:D256"/>
    <mergeCell ref="E255:E256"/>
    <mergeCell ref="D257:D258"/>
    <mergeCell ref="E257:E258"/>
    <mergeCell ref="D259:D260"/>
    <mergeCell ref="E259:E260"/>
    <mergeCell ref="A251:A252"/>
    <mergeCell ref="A253:A254"/>
    <mergeCell ref="B253:B254"/>
    <mergeCell ref="C253:C254"/>
    <mergeCell ref="D253:D254"/>
    <mergeCell ref="E253:E254"/>
    <mergeCell ref="A255:A256"/>
    <mergeCell ref="B255:B256"/>
    <mergeCell ref="C255:C256"/>
    <mergeCell ref="A257:A258"/>
    <mergeCell ref="B257:B258"/>
    <mergeCell ref="C257:C258"/>
    <mergeCell ref="B259:B260"/>
    <mergeCell ref="C259:C260"/>
    <mergeCell ref="C251:C252"/>
    <mergeCell ref="D251:D252"/>
    <mergeCell ref="A249:A250"/>
    <mergeCell ref="B249:B250"/>
    <mergeCell ref="C249:C250"/>
    <mergeCell ref="D249:D250"/>
    <mergeCell ref="E249:E250"/>
    <mergeCell ref="B251:B252"/>
    <mergeCell ref="E251:E252"/>
    <mergeCell ref="D247:D248"/>
    <mergeCell ref="E247:E248"/>
    <mergeCell ref="A245:A246"/>
    <mergeCell ref="B245:B246"/>
    <mergeCell ref="C245:C246"/>
    <mergeCell ref="D245:D246"/>
    <mergeCell ref="E245:E246"/>
    <mergeCell ref="B247:B248"/>
    <mergeCell ref="C247:C248"/>
    <mergeCell ref="A231:A232"/>
    <mergeCell ref="B231:B232"/>
    <mergeCell ref="C231:C232"/>
    <mergeCell ref="D231:D232"/>
    <mergeCell ref="E231:E232"/>
    <mergeCell ref="A233:A234"/>
    <mergeCell ref="B241:B242"/>
    <mergeCell ref="C241:C242"/>
    <mergeCell ref="A243:A244"/>
    <mergeCell ref="B243:B244"/>
    <mergeCell ref="C243:C244"/>
    <mergeCell ref="D243:D244"/>
    <mergeCell ref="E243:E244"/>
    <mergeCell ref="D233:D234"/>
    <mergeCell ref="E233:E234"/>
    <mergeCell ref="D235:D236"/>
    <mergeCell ref="E235:E236"/>
    <mergeCell ref="D237:D238"/>
    <mergeCell ref="E237:E238"/>
    <mergeCell ref="B233:B234"/>
    <mergeCell ref="C233:C234"/>
    <mergeCell ref="A235:A236"/>
    <mergeCell ref="B235:B236"/>
    <mergeCell ref="C235:C236"/>
    <mergeCell ref="D225:D226"/>
    <mergeCell ref="E225:E226"/>
    <mergeCell ref="D227:D228"/>
    <mergeCell ref="E227:E228"/>
    <mergeCell ref="D229:D230"/>
    <mergeCell ref="E229:E230"/>
    <mergeCell ref="A221:A222"/>
    <mergeCell ref="A223:A224"/>
    <mergeCell ref="B223:B224"/>
    <mergeCell ref="C223:C224"/>
    <mergeCell ref="D223:D224"/>
    <mergeCell ref="E223:E224"/>
    <mergeCell ref="A225:A226"/>
    <mergeCell ref="B225:B226"/>
    <mergeCell ref="C225:C226"/>
    <mergeCell ref="A227:A228"/>
    <mergeCell ref="B227:B228"/>
    <mergeCell ref="C227:C228"/>
    <mergeCell ref="B229:B230"/>
    <mergeCell ref="C229:C230"/>
    <mergeCell ref="A229:A230"/>
    <mergeCell ref="C221:C222"/>
    <mergeCell ref="D221:D222"/>
    <mergeCell ref="A219:A220"/>
    <mergeCell ref="B219:B220"/>
    <mergeCell ref="C219:C220"/>
    <mergeCell ref="D219:D220"/>
    <mergeCell ref="E219:E220"/>
    <mergeCell ref="B221:B222"/>
    <mergeCell ref="E221:E222"/>
    <mergeCell ref="D241:D242"/>
    <mergeCell ref="E241:E242"/>
    <mergeCell ref="A237:A238"/>
    <mergeCell ref="A239:A240"/>
    <mergeCell ref="B239:B240"/>
    <mergeCell ref="C239:C240"/>
    <mergeCell ref="D239:D240"/>
    <mergeCell ref="E239:E240"/>
    <mergeCell ref="A241:A242"/>
    <mergeCell ref="B237:B238"/>
    <mergeCell ref="C237:C238"/>
    <mergeCell ref="D178:D179"/>
    <mergeCell ref="E178:E179"/>
    <mergeCell ref="D180:D181"/>
    <mergeCell ref="E180:E181"/>
    <mergeCell ref="D182:D183"/>
    <mergeCell ref="E182:E183"/>
    <mergeCell ref="B178:B179"/>
    <mergeCell ref="C178:C179"/>
    <mergeCell ref="A180:A181"/>
    <mergeCell ref="B180:B181"/>
    <mergeCell ref="C180:C181"/>
    <mergeCell ref="B182:B183"/>
    <mergeCell ref="C182:C183"/>
    <mergeCell ref="A133:A134"/>
    <mergeCell ref="B133:B134"/>
    <mergeCell ref="C133:C134"/>
    <mergeCell ref="D133:D134"/>
    <mergeCell ref="E133:E134"/>
    <mergeCell ref="D150:D151"/>
    <mergeCell ref="E150:E151"/>
    <mergeCell ref="D152:D153"/>
    <mergeCell ref="E152:E153"/>
    <mergeCell ref="B150:B151"/>
    <mergeCell ref="C150:C151"/>
    <mergeCell ref="A152:A153"/>
    <mergeCell ref="B152:B153"/>
    <mergeCell ref="C152:C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A147:A149"/>
    <mergeCell ref="B147:B149"/>
    <mergeCell ref="C147:C149"/>
    <mergeCell ref="D147:D149"/>
    <mergeCell ref="E147:E149"/>
    <mergeCell ref="A150:A151"/>
    <mergeCell ref="B158:B160"/>
    <mergeCell ref="C158:C160"/>
    <mergeCell ref="A161:A162"/>
    <mergeCell ref="B161:B162"/>
    <mergeCell ref="C161:C162"/>
    <mergeCell ref="D161:D162"/>
    <mergeCell ref="E161:E162"/>
    <mergeCell ref="D154:D155"/>
    <mergeCell ref="E154:E155"/>
    <mergeCell ref="B154:B155"/>
    <mergeCell ref="C154:C155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A143:A144"/>
    <mergeCell ref="B143:B144"/>
    <mergeCell ref="C143:C144"/>
    <mergeCell ref="B145:B146"/>
    <mergeCell ref="C145:C146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8:D160"/>
    <mergeCell ref="E158:E160"/>
    <mergeCell ref="A154:A155"/>
    <mergeCell ref="A156:A157"/>
    <mergeCell ref="B156:B157"/>
    <mergeCell ref="C156:C157"/>
    <mergeCell ref="D156:D157"/>
    <mergeCell ref="E156:E157"/>
    <mergeCell ref="A158:A160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5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16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8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23</v>
      </c>
      <c r="K13" s="79">
        <v>64829.35</v>
      </c>
      <c r="L13" s="268">
        <v>23</v>
      </c>
      <c r="M13" s="81">
        <f t="shared" si="0"/>
        <v>64829.35</v>
      </c>
      <c r="N13" s="79">
        <v>64829.35</v>
      </c>
      <c r="O13" s="97"/>
      <c r="P13" s="267">
        <v>15</v>
      </c>
      <c r="Q13" s="79">
        <v>116855.85</v>
      </c>
      <c r="R13" s="268">
        <v>15</v>
      </c>
      <c r="S13" s="81">
        <f t="shared" si="1"/>
        <v>116855.85</v>
      </c>
      <c r="T13" s="79">
        <v>116855.85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7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29</v>
      </c>
      <c r="J15" s="62">
        <v>50</v>
      </c>
      <c r="K15" s="30">
        <v>124437.22</v>
      </c>
      <c r="L15" s="205">
        <v>49</v>
      </c>
      <c r="M15" s="26">
        <f t="shared" si="0"/>
        <v>124035.82</v>
      </c>
      <c r="N15" s="30">
        <v>124035.82</v>
      </c>
      <c r="O15" s="299"/>
      <c r="P15" s="64">
        <v>20</v>
      </c>
      <c r="Q15" s="65">
        <v>105437</v>
      </c>
      <c r="R15" s="224">
        <v>20</v>
      </c>
      <c r="S15" s="50">
        <f t="shared" si="1"/>
        <v>105437</v>
      </c>
      <c r="T15" s="65">
        <v>105437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2</v>
      </c>
      <c r="J16" s="37">
        <v>2</v>
      </c>
      <c r="K16" s="68">
        <v>3552.4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6</v>
      </c>
      <c r="I18" s="208">
        <v>1</v>
      </c>
      <c r="J18" s="208">
        <v>1</v>
      </c>
      <c r="K18" s="209">
        <v>576.29999999999995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9</v>
      </c>
      <c r="Q18" s="209">
        <v>42612.91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17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8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15</v>
      </c>
      <c r="I21" s="266">
        <v>11</v>
      </c>
      <c r="J21" s="266">
        <v>17</v>
      </c>
      <c r="K21" s="79">
        <v>32485.85</v>
      </c>
      <c r="L21" s="268">
        <v>17</v>
      </c>
      <c r="M21" s="81">
        <f t="shared" si="0"/>
        <v>32485.85</v>
      </c>
      <c r="N21" s="79">
        <v>32485.85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23</v>
      </c>
      <c r="I23" s="203">
        <v>21</v>
      </c>
      <c r="J23" s="203">
        <v>33</v>
      </c>
      <c r="K23" s="65">
        <v>47551.15</v>
      </c>
      <c r="L23" s="224">
        <v>30</v>
      </c>
      <c r="M23" s="50">
        <f t="shared" si="0"/>
        <v>44901.9</v>
      </c>
      <c r="N23" s="65">
        <v>44901.9</v>
      </c>
      <c r="O23" s="225"/>
      <c r="P23" s="53">
        <v>18</v>
      </c>
      <c r="Q23" s="30">
        <v>40711.599999999999</v>
      </c>
      <c r="R23" s="205">
        <v>16</v>
      </c>
      <c r="S23" s="26">
        <f t="shared" si="1"/>
        <v>35092</v>
      </c>
      <c r="T23" s="30">
        <v>35092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3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19</v>
      </c>
      <c r="I25" s="62">
        <v>15</v>
      </c>
      <c r="J25" s="62">
        <v>15</v>
      </c>
      <c r="K25" s="62">
        <v>12972.19</v>
      </c>
      <c r="L25" s="205">
        <v>15</v>
      </c>
      <c r="M25" s="26">
        <f t="shared" si="0"/>
        <v>12972.19</v>
      </c>
      <c r="N25" s="30">
        <v>12972.19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6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17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8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11</v>
      </c>
      <c r="Q28" s="68">
        <v>47836.3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5</v>
      </c>
      <c r="S29" s="26">
        <f t="shared" si="1"/>
        <v>16015.34</v>
      </c>
      <c r="T29" s="30">
        <v>16015.34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7</v>
      </c>
      <c r="I30" s="130">
        <v>3</v>
      </c>
      <c r="J30" s="130">
        <v>3</v>
      </c>
      <c r="K30" s="114">
        <v>4994.6000000000004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16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6</v>
      </c>
      <c r="J34" s="130">
        <v>6</v>
      </c>
      <c r="K34" s="114">
        <v>15654.7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10</v>
      </c>
      <c r="M37" s="50">
        <f t="shared" si="2"/>
        <v>10039.700000000001</v>
      </c>
      <c r="N37" s="65">
        <v>10039.700000000001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7</v>
      </c>
      <c r="I43" s="62">
        <v>4</v>
      </c>
      <c r="J43" s="62">
        <v>6</v>
      </c>
      <c r="K43" s="30">
        <v>19565.71</v>
      </c>
      <c r="L43" s="205">
        <v>6</v>
      </c>
      <c r="M43" s="26">
        <f t="shared" si="2"/>
        <v>19565.71</v>
      </c>
      <c r="N43" s="30">
        <v>19565.71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19</v>
      </c>
      <c r="J45" s="266">
        <v>25</v>
      </c>
      <c r="K45" s="79">
        <v>42205.75</v>
      </c>
      <c r="L45" s="268">
        <v>24</v>
      </c>
      <c r="M45" s="81">
        <f t="shared" si="2"/>
        <v>39175.68</v>
      </c>
      <c r="N45" s="79">
        <v>39175.68</v>
      </c>
      <c r="O45" s="314"/>
      <c r="P45" s="53">
        <v>21</v>
      </c>
      <c r="Q45" s="30">
        <v>80220.240000000005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29</v>
      </c>
      <c r="I47" s="62">
        <v>12</v>
      </c>
      <c r="J47" s="62">
        <v>15</v>
      </c>
      <c r="K47" s="30">
        <v>26748.73</v>
      </c>
      <c r="L47" s="205">
        <v>15</v>
      </c>
      <c r="M47" s="26">
        <f t="shared" si="2"/>
        <v>26748.73</v>
      </c>
      <c r="N47" s="30">
        <v>26748.73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3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8</v>
      </c>
      <c r="J50" s="266">
        <v>12</v>
      </c>
      <c r="K50" s="79">
        <v>28590.53</v>
      </c>
      <c r="L50" s="268">
        <v>9</v>
      </c>
      <c r="M50" s="81">
        <f t="shared" si="2"/>
        <v>14889.74</v>
      </c>
      <c r="N50" s="79">
        <v>14889.74</v>
      </c>
      <c r="O50" s="82"/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2</v>
      </c>
      <c r="J53" s="338">
        <v>2</v>
      </c>
      <c r="K53" s="339">
        <v>2634.9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7</v>
      </c>
      <c r="I56" s="266">
        <v>3</v>
      </c>
      <c r="J56" s="266">
        <v>4</v>
      </c>
      <c r="K56" s="79">
        <v>7445.63</v>
      </c>
      <c r="L56" s="268">
        <v>4</v>
      </c>
      <c r="M56" s="81">
        <f t="shared" si="2"/>
        <v>7445.63</v>
      </c>
      <c r="N56" s="79">
        <v>7445.63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8</v>
      </c>
      <c r="I57" s="130">
        <v>6</v>
      </c>
      <c r="J57" s="130">
        <v>6</v>
      </c>
      <c r="K57" s="114">
        <v>14932.08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8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11</v>
      </c>
      <c r="Q59" s="68">
        <v>27095.83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9</v>
      </c>
      <c r="J60" s="203">
        <v>12</v>
      </c>
      <c r="K60" s="65">
        <v>24355.05</v>
      </c>
      <c r="L60" s="224">
        <v>9</v>
      </c>
      <c r="M60" s="50">
        <f t="shared" si="2"/>
        <v>17478.27</v>
      </c>
      <c r="N60" s="65">
        <v>17478.27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20</v>
      </c>
      <c r="I62" s="62">
        <v>18</v>
      </c>
      <c r="J62" s="62">
        <v>23</v>
      </c>
      <c r="K62" s="30">
        <v>41030.51</v>
      </c>
      <c r="L62" s="205">
        <v>23</v>
      </c>
      <c r="M62" s="26">
        <f t="shared" si="2"/>
        <v>41030.51</v>
      </c>
      <c r="N62" s="30">
        <v>41030.51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7</v>
      </c>
      <c r="I63" s="37">
        <v>4</v>
      </c>
      <c r="J63" s="37">
        <v>4</v>
      </c>
      <c r="K63" s="68">
        <v>4504.3599999999997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40</v>
      </c>
      <c r="I64" s="203">
        <v>35</v>
      </c>
      <c r="J64" s="203">
        <v>53</v>
      </c>
      <c r="K64" s="65">
        <v>107987.3</v>
      </c>
      <c r="L64" s="224">
        <v>53</v>
      </c>
      <c r="M64" s="50">
        <f t="shared" si="2"/>
        <v>107987.3</v>
      </c>
      <c r="N64" s="65">
        <v>107987.3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16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10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6</v>
      </c>
      <c r="J68" s="62">
        <v>7</v>
      </c>
      <c r="K68" s="30">
        <v>13445.23</v>
      </c>
      <c r="L68" s="205">
        <v>7</v>
      </c>
      <c r="M68" s="26">
        <f t="shared" si="2"/>
        <v>13445.23</v>
      </c>
      <c r="N68" s="30">
        <v>13445.23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8</v>
      </c>
      <c r="I69" s="37">
        <v>1</v>
      </c>
      <c r="J69" s="37">
        <v>1</v>
      </c>
      <c r="K69" s="68">
        <v>2207.6999999999998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10</v>
      </c>
      <c r="I70" s="266">
        <v>4</v>
      </c>
      <c r="J70" s="266">
        <v>5</v>
      </c>
      <c r="K70" s="79">
        <v>14670.7</v>
      </c>
      <c r="L70" s="268">
        <v>5</v>
      </c>
      <c r="M70" s="81">
        <f t="shared" si="2"/>
        <v>14670.7</v>
      </c>
      <c r="N70" s="79">
        <v>14670.7</v>
      </c>
      <c r="O70" s="219"/>
      <c r="P70" s="267">
        <v>4</v>
      </c>
      <c r="Q70" s="79">
        <v>8585.01</v>
      </c>
      <c r="R70" s="268">
        <v>4</v>
      </c>
      <c r="S70" s="81">
        <f t="shared" si="3"/>
        <v>8585.01</v>
      </c>
      <c r="T70" s="79">
        <v>8585.01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6</v>
      </c>
      <c r="J71" s="130">
        <v>6</v>
      </c>
      <c r="K71" s="114">
        <v>9712.0300000000007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4</v>
      </c>
      <c r="Q71" s="114">
        <v>38897.1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12</v>
      </c>
      <c r="I74" s="203">
        <v>3</v>
      </c>
      <c r="J74" s="203">
        <v>3</v>
      </c>
      <c r="K74" s="65">
        <v>5482.32</v>
      </c>
      <c r="L74" s="224">
        <v>3</v>
      </c>
      <c r="M74" s="50">
        <f t="shared" si="2"/>
        <v>5482.32</v>
      </c>
      <c r="N74" s="65">
        <v>5482.32</v>
      </c>
      <c r="O74" s="31"/>
      <c r="P74" s="108">
        <v>20</v>
      </c>
      <c r="Q74" s="65">
        <v>89755.89</v>
      </c>
      <c r="R74" s="224">
        <v>19</v>
      </c>
      <c r="S74" s="50">
        <f t="shared" si="3"/>
        <v>88488.03</v>
      </c>
      <c r="T74" s="65">
        <v>88488.03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3</v>
      </c>
      <c r="J75" s="130">
        <v>3</v>
      </c>
      <c r="K75" s="114">
        <v>7880.4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18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7</v>
      </c>
      <c r="I77" s="37">
        <v>2</v>
      </c>
      <c r="J77" s="37">
        <v>2</v>
      </c>
      <c r="K77" s="68">
        <v>8388.7000000000007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12</v>
      </c>
      <c r="I80" s="62">
        <v>10</v>
      </c>
      <c r="J80" s="62">
        <v>15</v>
      </c>
      <c r="K80" s="30">
        <v>27866.78</v>
      </c>
      <c r="L80" s="205">
        <v>14</v>
      </c>
      <c r="M80" s="26">
        <f t="shared" si="2"/>
        <v>25458.38</v>
      </c>
      <c r="N80" s="30">
        <v>25458.38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2</v>
      </c>
      <c r="S81" s="68">
        <v>8429.4</v>
      </c>
      <c r="T81" s="68">
        <v>8429.4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13</v>
      </c>
      <c r="I82" s="203">
        <v>9</v>
      </c>
      <c r="J82" s="203">
        <v>14</v>
      </c>
      <c r="K82" s="158">
        <v>36747.9</v>
      </c>
      <c r="L82" s="224">
        <v>14</v>
      </c>
      <c r="M82" s="50">
        <f t="shared" ref="M82:M98" si="4">N82+O82</f>
        <v>36747.9</v>
      </c>
      <c r="N82" s="65">
        <v>36747.9</v>
      </c>
      <c r="O82" s="225"/>
      <c r="P82" s="108">
        <v>14</v>
      </c>
      <c r="Q82" s="65">
        <v>56372.24</v>
      </c>
      <c r="R82" s="224">
        <v>13</v>
      </c>
      <c r="S82" s="50">
        <f t="shared" ref="S82:S98" si="5">T82+U82</f>
        <v>52889.43</v>
      </c>
      <c r="T82" s="65">
        <v>52889.43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51</v>
      </c>
      <c r="I84" s="62">
        <v>50</v>
      </c>
      <c r="J84" s="62">
        <v>79</v>
      </c>
      <c r="K84" s="30">
        <v>158684.14000000001</v>
      </c>
      <c r="L84" s="205">
        <v>64</v>
      </c>
      <c r="M84" s="26">
        <f t="shared" si="4"/>
        <v>130892.7</v>
      </c>
      <c r="N84" s="30">
        <v>130892.7</v>
      </c>
      <c r="O84" s="225"/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11</v>
      </c>
      <c r="I86" s="62">
        <v>8</v>
      </c>
      <c r="J86" s="62">
        <v>8</v>
      </c>
      <c r="K86" s="30">
        <v>15378.24</v>
      </c>
      <c r="L86" s="205">
        <v>8</v>
      </c>
      <c r="M86" s="26">
        <f t="shared" si="4"/>
        <v>15378.24</v>
      </c>
      <c r="N86" s="30">
        <v>15378.24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2</v>
      </c>
      <c r="J87" s="208">
        <v>2</v>
      </c>
      <c r="K87" s="209">
        <v>8727.6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4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29</v>
      </c>
      <c r="I98" s="62">
        <v>20</v>
      </c>
      <c r="J98" s="62">
        <v>27</v>
      </c>
      <c r="K98" s="30">
        <v>46026.71</v>
      </c>
      <c r="L98" s="205">
        <v>24</v>
      </c>
      <c r="M98" s="26">
        <f t="shared" si="4"/>
        <v>42965.08</v>
      </c>
      <c r="N98" s="30">
        <v>42965.08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12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3</v>
      </c>
      <c r="M100" s="50">
        <f>N100+O100</f>
        <v>5605.94</v>
      </c>
      <c r="N100" s="65">
        <v>5605.94</v>
      </c>
      <c r="O100" s="31"/>
      <c r="P100" s="108">
        <v>11</v>
      </c>
      <c r="Q100" s="65">
        <v>118841.12</v>
      </c>
      <c r="R100" s="224">
        <v>11</v>
      </c>
      <c r="S100" s="50">
        <f t="shared" ref="S100:S106" si="6">T100+U100</f>
        <v>118841.12</v>
      </c>
      <c r="T100" s="65">
        <v>118841.12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3</v>
      </c>
      <c r="J101" s="130">
        <v>3</v>
      </c>
      <c r="K101" s="114">
        <v>3151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6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6" si="7">N102+O102</f>
        <v>8733.91</v>
      </c>
      <c r="N102" s="30">
        <v>8733.91</v>
      </c>
      <c r="O102" s="31"/>
      <c r="P102" s="53">
        <v>10</v>
      </c>
      <c r="Q102" s="30">
        <v>63373.52</v>
      </c>
      <c r="R102" s="205">
        <v>10</v>
      </c>
      <c r="S102" s="26">
        <f t="shared" si="6"/>
        <v>63373.52</v>
      </c>
      <c r="T102" s="30">
        <v>63373.52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2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57"/>
      <c r="J105" s="57"/>
      <c r="K105" s="43"/>
      <c r="L105" s="44"/>
      <c r="M105" s="43">
        <f t="shared" si="7"/>
        <v>0</v>
      </c>
      <c r="N105" s="43"/>
      <c r="O105" s="41"/>
      <c r="P105" s="103"/>
      <c r="Q105" s="43"/>
      <c r="R105" s="44"/>
      <c r="S105" s="43">
        <f t="shared" si="6"/>
        <v>0</v>
      </c>
      <c r="T105" s="43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94</v>
      </c>
      <c r="C106" s="374" t="s">
        <v>39</v>
      </c>
      <c r="D106" s="374" t="s">
        <v>95</v>
      </c>
      <c r="E106" s="374" t="s">
        <v>96</v>
      </c>
      <c r="F106" s="204" t="s">
        <v>292</v>
      </c>
      <c r="G106" s="176" t="s">
        <v>24</v>
      </c>
      <c r="H106" s="48">
        <v>8</v>
      </c>
      <c r="I106" s="62">
        <v>6</v>
      </c>
      <c r="J106" s="62">
        <v>8</v>
      </c>
      <c r="K106" s="30">
        <v>20920.14</v>
      </c>
      <c r="L106" s="205">
        <v>8</v>
      </c>
      <c r="M106" s="26">
        <f t="shared" si="7"/>
        <v>20920.14</v>
      </c>
      <c r="N106" s="30">
        <v>20920.14</v>
      </c>
      <c r="O106" s="31"/>
      <c r="P106" s="53">
        <v>28</v>
      </c>
      <c r="Q106" s="30">
        <v>97450.12</v>
      </c>
      <c r="R106" s="205">
        <v>28</v>
      </c>
      <c r="S106" s="26">
        <f t="shared" si="6"/>
        <v>97450.12</v>
      </c>
      <c r="T106" s="30">
        <v>97450.12</v>
      </c>
      <c r="U106" s="22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220" t="s">
        <v>293</v>
      </c>
      <c r="G107" s="307" t="s">
        <v>25</v>
      </c>
      <c r="H107" s="112">
        <v>10</v>
      </c>
      <c r="I107" s="130">
        <v>8</v>
      </c>
      <c r="J107" s="130">
        <v>8</v>
      </c>
      <c r="K107" s="114">
        <v>10899.4</v>
      </c>
      <c r="L107" s="270">
        <v>8</v>
      </c>
      <c r="M107" s="114">
        <v>10899.4</v>
      </c>
      <c r="N107" s="114">
        <v>10899.4</v>
      </c>
      <c r="O107" s="234"/>
      <c r="P107" s="113">
        <v>10</v>
      </c>
      <c r="Q107" s="114">
        <v>23220.94</v>
      </c>
      <c r="R107" s="270">
        <v>10</v>
      </c>
      <c r="S107" s="114">
        <v>23220.94</v>
      </c>
      <c r="T107" s="114">
        <v>23220.94</v>
      </c>
      <c r="U107" s="23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97</v>
      </c>
      <c r="C108" s="374" t="s">
        <v>22</v>
      </c>
      <c r="D108" s="374"/>
      <c r="E108" s="374" t="s">
        <v>27</v>
      </c>
      <c r="F108" s="232" t="s">
        <v>406</v>
      </c>
      <c r="G108" s="176" t="s">
        <v>24</v>
      </c>
      <c r="H108" s="248">
        <v>9</v>
      </c>
      <c r="I108" s="62">
        <v>7</v>
      </c>
      <c r="J108" s="62">
        <v>7</v>
      </c>
      <c r="K108" s="30">
        <v>6110.93</v>
      </c>
      <c r="L108" s="205">
        <v>7</v>
      </c>
      <c r="M108" s="26">
        <f t="shared" ref="M108:M123" si="8">N108+O108</f>
        <v>6110.93</v>
      </c>
      <c r="N108" s="30">
        <v>6110.93</v>
      </c>
      <c r="O108" s="225"/>
      <c r="P108" s="53">
        <v>7</v>
      </c>
      <c r="Q108" s="30">
        <v>12035.94</v>
      </c>
      <c r="R108" s="205">
        <v>7</v>
      </c>
      <c r="S108" s="26">
        <f t="shared" ref="S108:S141" si="9">T108+U108</f>
        <v>12035.94</v>
      </c>
      <c r="T108" s="30">
        <v>12035.94</v>
      </c>
      <c r="U108" s="225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294</v>
      </c>
      <c r="G109" s="229" t="s">
        <v>28</v>
      </c>
      <c r="H109" s="251">
        <v>7</v>
      </c>
      <c r="I109" s="208">
        <v>4</v>
      </c>
      <c r="J109" s="208">
        <v>4</v>
      </c>
      <c r="K109" s="209">
        <v>5955.1</v>
      </c>
      <c r="L109" s="290">
        <v>4</v>
      </c>
      <c r="M109" s="211">
        <f t="shared" si="8"/>
        <v>5955.0999999999995</v>
      </c>
      <c r="N109" s="209">
        <f>1344.7+3265.7+1344.7</f>
        <v>5955.0999999999995</v>
      </c>
      <c r="O109" s="212"/>
      <c r="P109" s="103"/>
      <c r="Q109" s="43"/>
      <c r="R109" s="270">
        <v>1</v>
      </c>
      <c r="S109" s="43">
        <f t="shared" si="9"/>
        <v>2209.15</v>
      </c>
      <c r="T109" s="114">
        <v>2209.15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6"/>
      <c r="B110" s="377" t="s">
        <v>98</v>
      </c>
      <c r="C110" s="377" t="s">
        <v>39</v>
      </c>
      <c r="D110" s="377" t="s">
        <v>270</v>
      </c>
      <c r="E110" s="377" t="s">
        <v>99</v>
      </c>
      <c r="F110" s="232" t="s">
        <v>271</v>
      </c>
      <c r="G110" s="73" t="s">
        <v>24</v>
      </c>
      <c r="H110" s="24">
        <v>17</v>
      </c>
      <c r="I110" s="62">
        <v>10</v>
      </c>
      <c r="J110" s="62">
        <v>16</v>
      </c>
      <c r="K110" s="30">
        <v>29995.7</v>
      </c>
      <c r="L110" s="205">
        <v>16</v>
      </c>
      <c r="M110" s="26">
        <f t="shared" si="8"/>
        <v>29995.7</v>
      </c>
      <c r="N110" s="30">
        <v>29995.7</v>
      </c>
      <c r="O110" s="241"/>
      <c r="P110" s="214">
        <v>14</v>
      </c>
      <c r="Q110" s="30">
        <v>75827.070000000007</v>
      </c>
      <c r="R110" s="205">
        <v>14</v>
      </c>
      <c r="S110" s="26">
        <f t="shared" si="9"/>
        <v>75827.070000000007</v>
      </c>
      <c r="T110" s="30">
        <v>75827.070000000007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295</v>
      </c>
      <c r="G111" s="215" t="s">
        <v>28</v>
      </c>
      <c r="H111" s="66">
        <v>11</v>
      </c>
      <c r="I111" s="286">
        <v>7</v>
      </c>
      <c r="J111" s="286">
        <v>7</v>
      </c>
      <c r="K111" s="287">
        <v>21767.4</v>
      </c>
      <c r="L111" s="315">
        <v>7</v>
      </c>
      <c r="M111" s="39">
        <f t="shared" si="8"/>
        <v>21767.4</v>
      </c>
      <c r="N111" s="39">
        <f>1921+3073.6+1921+3010.5+1404.9+2408.4+8028</f>
        <v>21767.4</v>
      </c>
      <c r="O111" s="41"/>
      <c r="P111" s="217">
        <v>4</v>
      </c>
      <c r="Q111" s="37">
        <v>19940.650000000001</v>
      </c>
      <c r="R111" s="285">
        <v>4</v>
      </c>
      <c r="S111" s="39">
        <f t="shared" si="9"/>
        <v>21093.25</v>
      </c>
      <c r="T111" s="68">
        <f>1056.55+3457.8+4226.2+12352.7</f>
        <v>21093.25</v>
      </c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82"/>
      <c r="B112" s="381" t="s">
        <v>100</v>
      </c>
      <c r="C112" s="374" t="s">
        <v>39</v>
      </c>
      <c r="D112" s="381" t="s">
        <v>296</v>
      </c>
      <c r="E112" s="381" t="s">
        <v>27</v>
      </c>
      <c r="F112" s="223" t="s">
        <v>297</v>
      </c>
      <c r="G112" s="47" t="s">
        <v>24</v>
      </c>
      <c r="H112" s="218"/>
      <c r="I112" s="96"/>
      <c r="J112" s="96"/>
      <c r="K112" s="81"/>
      <c r="L112" s="80"/>
      <c r="M112" s="81">
        <f t="shared" si="8"/>
        <v>0</v>
      </c>
      <c r="N112" s="81"/>
      <c r="O112" s="219"/>
      <c r="P112" s="108">
        <v>4</v>
      </c>
      <c r="Q112" s="65">
        <v>17684.7</v>
      </c>
      <c r="R112" s="224">
        <v>4</v>
      </c>
      <c r="S112" s="50">
        <f t="shared" si="9"/>
        <v>17684.7</v>
      </c>
      <c r="T112" s="65">
        <v>17684.7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298</v>
      </c>
      <c r="G113" s="35" t="s">
        <v>28</v>
      </c>
      <c r="H113" s="133">
        <v>5</v>
      </c>
      <c r="I113" s="37">
        <v>1</v>
      </c>
      <c r="J113" s="37">
        <v>1</v>
      </c>
      <c r="K113" s="68">
        <v>864.45</v>
      </c>
      <c r="L113" s="285">
        <v>1</v>
      </c>
      <c r="M113" s="39">
        <f t="shared" si="8"/>
        <v>864.15</v>
      </c>
      <c r="N113" s="39">
        <f>864.15</f>
        <v>864.15</v>
      </c>
      <c r="O113" s="41"/>
      <c r="P113" s="115">
        <v>1</v>
      </c>
      <c r="Q113" s="68">
        <v>1152.5999999999999</v>
      </c>
      <c r="R113" s="40"/>
      <c r="S113" s="39">
        <f t="shared" si="9"/>
        <v>0</v>
      </c>
      <c r="T113" s="39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102</v>
      </c>
      <c r="C114" s="381" t="s">
        <v>22</v>
      </c>
      <c r="D114" s="381"/>
      <c r="E114" s="381" t="s">
        <v>67</v>
      </c>
      <c r="F114" s="223" t="s">
        <v>272</v>
      </c>
      <c r="G114" s="23" t="s">
        <v>24</v>
      </c>
      <c r="H114" s="48">
        <v>15</v>
      </c>
      <c r="I114" s="203">
        <v>12</v>
      </c>
      <c r="J114" s="203">
        <v>13</v>
      </c>
      <c r="K114" s="65">
        <v>23143.51</v>
      </c>
      <c r="L114" s="224">
        <v>13</v>
      </c>
      <c r="M114" s="50">
        <f t="shared" si="8"/>
        <v>23143.51</v>
      </c>
      <c r="N114" s="65">
        <v>23143.51</v>
      </c>
      <c r="O114" s="225"/>
      <c r="P114" s="108">
        <v>12</v>
      </c>
      <c r="Q114" s="65">
        <v>49261.74</v>
      </c>
      <c r="R114" s="224">
        <v>12</v>
      </c>
      <c r="S114" s="50">
        <f t="shared" si="9"/>
        <v>49261.74</v>
      </c>
      <c r="T114" s="65">
        <v>49261.74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9"/>
      <c r="B115" s="380"/>
      <c r="C115" s="380"/>
      <c r="D115" s="380"/>
      <c r="E115" s="380"/>
      <c r="F115" s="220" t="s">
        <v>299</v>
      </c>
      <c r="G115" s="55" t="s">
        <v>28</v>
      </c>
      <c r="H115" s="153">
        <v>10</v>
      </c>
      <c r="I115" s="130">
        <v>6</v>
      </c>
      <c r="J115" s="130">
        <v>6</v>
      </c>
      <c r="K115" s="114">
        <v>13482.3</v>
      </c>
      <c r="L115" s="316">
        <v>6</v>
      </c>
      <c r="M115" s="50">
        <f t="shared" si="8"/>
        <v>5770.3</v>
      </c>
      <c r="N115" s="43">
        <f>1290.6+1152.6+1290.6+694.3+602.1+740.1</f>
        <v>5770.3</v>
      </c>
      <c r="O115" s="41"/>
      <c r="P115" s="113">
        <v>3</v>
      </c>
      <c r="Q115" s="114">
        <v>14347.1</v>
      </c>
      <c r="R115" s="270">
        <v>4</v>
      </c>
      <c r="S115" s="43">
        <f t="shared" si="9"/>
        <v>19149.900000000001</v>
      </c>
      <c r="T115" s="114">
        <f>4358.2+3649.9+4802.5+6339.3</f>
        <v>19149.900000000001</v>
      </c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72"/>
      <c r="B116" s="374" t="s">
        <v>103</v>
      </c>
      <c r="C116" s="374" t="s">
        <v>22</v>
      </c>
      <c r="D116" s="374"/>
      <c r="E116" s="374" t="s">
        <v>67</v>
      </c>
      <c r="F116" s="232" t="s">
        <v>407</v>
      </c>
      <c r="G116" s="23" t="s">
        <v>24</v>
      </c>
      <c r="H116" s="48">
        <v>8</v>
      </c>
      <c r="I116" s="62">
        <v>4</v>
      </c>
      <c r="J116" s="62">
        <v>5</v>
      </c>
      <c r="K116" s="30">
        <v>8528</v>
      </c>
      <c r="L116" s="205">
        <v>5</v>
      </c>
      <c r="M116" s="26">
        <f t="shared" si="8"/>
        <v>8528</v>
      </c>
      <c r="N116" s="30">
        <v>8528</v>
      </c>
      <c r="O116" s="225"/>
      <c r="P116" s="53">
        <v>6</v>
      </c>
      <c r="Q116" s="30">
        <v>12782.06</v>
      </c>
      <c r="R116" s="205">
        <v>6</v>
      </c>
      <c r="S116" s="26">
        <f t="shared" si="9"/>
        <v>12782.06</v>
      </c>
      <c r="T116" s="30">
        <v>12782.06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220" t="s">
        <v>300</v>
      </c>
      <c r="G117" s="35" t="s">
        <v>28</v>
      </c>
      <c r="H117" s="133">
        <v>7</v>
      </c>
      <c r="I117" s="37">
        <v>7</v>
      </c>
      <c r="J117" s="37">
        <v>8</v>
      </c>
      <c r="K117" s="68">
        <v>18950.099999999999</v>
      </c>
      <c r="L117" s="285">
        <v>6</v>
      </c>
      <c r="M117" s="39">
        <f t="shared" si="8"/>
        <v>17111.8</v>
      </c>
      <c r="N117" s="39">
        <f>1580.8+3353.7+4415.4+1404.9+762.1+5594.9</f>
        <v>17111.8</v>
      </c>
      <c r="O117" s="41"/>
      <c r="P117" s="115">
        <v>3</v>
      </c>
      <c r="Q117" s="68">
        <v>4092.9</v>
      </c>
      <c r="R117" s="285">
        <v>3</v>
      </c>
      <c r="S117" s="39">
        <f t="shared" si="9"/>
        <v>8836.6</v>
      </c>
      <c r="T117" s="39">
        <f>5378.8+1344.7+2113.1</f>
        <v>8836.6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104</v>
      </c>
      <c r="C118" s="374" t="s">
        <v>39</v>
      </c>
      <c r="D118" s="374" t="s">
        <v>301</v>
      </c>
      <c r="E118" s="374" t="s">
        <v>27</v>
      </c>
      <c r="F118" s="204" t="s">
        <v>302</v>
      </c>
      <c r="G118" s="176" t="s">
        <v>24</v>
      </c>
      <c r="H118" s="48">
        <v>25</v>
      </c>
      <c r="I118" s="203">
        <v>19</v>
      </c>
      <c r="J118" s="203">
        <v>23</v>
      </c>
      <c r="K118" s="65">
        <v>56337.54</v>
      </c>
      <c r="L118" s="224">
        <v>23</v>
      </c>
      <c r="M118" s="50">
        <f t="shared" si="8"/>
        <v>56337.54</v>
      </c>
      <c r="N118" s="65">
        <v>56337.54</v>
      </c>
      <c r="O118" s="225"/>
      <c r="P118" s="108">
        <v>23</v>
      </c>
      <c r="Q118" s="65">
        <v>105066.33</v>
      </c>
      <c r="R118" s="224">
        <v>22</v>
      </c>
      <c r="S118" s="50">
        <f t="shared" si="9"/>
        <v>103740.81</v>
      </c>
      <c r="T118" s="65">
        <v>103740.81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34"/>
      <c r="G119" s="229" t="s">
        <v>28</v>
      </c>
      <c r="H119" s="116"/>
      <c r="I119" s="57"/>
      <c r="J119" s="57"/>
      <c r="K119" s="43"/>
      <c r="L119" s="44"/>
      <c r="M119" s="43">
        <f t="shared" si="8"/>
        <v>0</v>
      </c>
      <c r="N119" s="43"/>
      <c r="O119" s="41"/>
      <c r="P119" s="113">
        <v>1</v>
      </c>
      <c r="Q119" s="114">
        <v>1545.39</v>
      </c>
      <c r="R119" s="44"/>
      <c r="S119" s="43">
        <f t="shared" si="9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106</v>
      </c>
      <c r="C120" s="377" t="s">
        <v>39</v>
      </c>
      <c r="D120" s="374" t="s">
        <v>107</v>
      </c>
      <c r="E120" s="374" t="s">
        <v>27</v>
      </c>
      <c r="F120" s="232" t="s">
        <v>366</v>
      </c>
      <c r="G120" s="23" t="s">
        <v>24</v>
      </c>
      <c r="H120" s="48">
        <v>10</v>
      </c>
      <c r="I120" s="62">
        <v>9</v>
      </c>
      <c r="J120" s="62">
        <v>9</v>
      </c>
      <c r="K120" s="30">
        <v>7593.07</v>
      </c>
      <c r="L120" s="205">
        <v>9</v>
      </c>
      <c r="M120" s="26">
        <f t="shared" si="8"/>
        <v>7593.07</v>
      </c>
      <c r="N120" s="30">
        <v>7593.07</v>
      </c>
      <c r="O120" s="31"/>
      <c r="P120" s="53">
        <v>12</v>
      </c>
      <c r="Q120" s="30">
        <v>83574.48</v>
      </c>
      <c r="R120" s="205">
        <v>12</v>
      </c>
      <c r="S120" s="26">
        <f t="shared" si="9"/>
        <v>83574.48</v>
      </c>
      <c r="T120" s="30">
        <v>83574.48</v>
      </c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9"/>
      <c r="B121" s="380"/>
      <c r="C121" s="380"/>
      <c r="D121" s="380"/>
      <c r="E121" s="380"/>
      <c r="F121" s="233" t="s">
        <v>233</v>
      </c>
      <c r="G121" s="227" t="s">
        <v>28</v>
      </c>
      <c r="H121" s="153">
        <v>6</v>
      </c>
      <c r="I121" s="130">
        <v>5</v>
      </c>
      <c r="J121" s="130">
        <v>5</v>
      </c>
      <c r="K121" s="114">
        <v>1535.36</v>
      </c>
      <c r="L121" s="270">
        <v>1</v>
      </c>
      <c r="M121" s="43">
        <f t="shared" si="8"/>
        <v>576.29999999999995</v>
      </c>
      <c r="N121" s="43">
        <f>576.3</f>
        <v>576.29999999999995</v>
      </c>
      <c r="O121" s="41"/>
      <c r="P121" s="113">
        <v>5</v>
      </c>
      <c r="Q121" s="114">
        <v>5892</v>
      </c>
      <c r="R121" s="270">
        <v>2</v>
      </c>
      <c r="S121" s="43">
        <f t="shared" si="9"/>
        <v>2881.5</v>
      </c>
      <c r="T121" s="57">
        <f>576.3+2305.2</f>
        <v>2881.5</v>
      </c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108</v>
      </c>
      <c r="C122" s="374" t="s">
        <v>46</v>
      </c>
      <c r="D122" s="374" t="s">
        <v>109</v>
      </c>
      <c r="E122" s="374" t="s">
        <v>27</v>
      </c>
      <c r="F122" s="204" t="s">
        <v>273</v>
      </c>
      <c r="G122" s="176" t="s">
        <v>24</v>
      </c>
      <c r="H122" s="151">
        <v>18</v>
      </c>
      <c r="I122" s="62">
        <v>14</v>
      </c>
      <c r="J122" s="62">
        <v>14</v>
      </c>
      <c r="K122" s="30">
        <v>12003.49</v>
      </c>
      <c r="L122" s="205">
        <v>14</v>
      </c>
      <c r="M122" s="26">
        <f t="shared" si="8"/>
        <v>12003.49</v>
      </c>
      <c r="N122" s="30">
        <v>12003.49</v>
      </c>
      <c r="O122" s="31"/>
      <c r="P122" s="53">
        <v>9</v>
      </c>
      <c r="Q122" s="30">
        <v>34430.15</v>
      </c>
      <c r="R122" s="205">
        <v>9</v>
      </c>
      <c r="S122" s="26">
        <f t="shared" si="9"/>
        <v>34430.15</v>
      </c>
      <c r="T122" s="30">
        <v>34430.15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87"/>
      <c r="B123" s="386"/>
      <c r="C123" s="386"/>
      <c r="D123" s="386"/>
      <c r="E123" s="386"/>
      <c r="F123" s="235" t="s">
        <v>234</v>
      </c>
      <c r="G123" s="252" t="s">
        <v>28</v>
      </c>
      <c r="H123" s="48">
        <v>8</v>
      </c>
      <c r="I123" s="246">
        <v>4</v>
      </c>
      <c r="J123" s="246">
        <v>4</v>
      </c>
      <c r="K123" s="158">
        <v>3561</v>
      </c>
      <c r="L123" s="317">
        <v>2</v>
      </c>
      <c r="M123" s="142">
        <f t="shared" si="8"/>
        <v>2583.3000000000002</v>
      </c>
      <c r="N123" s="142">
        <f>576.3+2007</f>
        <v>2583.3000000000002</v>
      </c>
      <c r="O123" s="45"/>
      <c r="P123" s="157">
        <v>8</v>
      </c>
      <c r="Q123" s="158">
        <v>15445.86</v>
      </c>
      <c r="R123" s="317">
        <v>5</v>
      </c>
      <c r="S123" s="142">
        <f t="shared" si="9"/>
        <v>13044.61</v>
      </c>
      <c r="T123" s="142">
        <f>288.15+576.3+5648.76+3649.9+2881.5</f>
        <v>13044.61</v>
      </c>
      <c r="U123" s="45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3"/>
      <c r="B124" s="375"/>
      <c r="C124" s="375"/>
      <c r="D124" s="375"/>
      <c r="E124" s="375"/>
      <c r="F124" s="359" t="s">
        <v>490</v>
      </c>
      <c r="G124" s="253" t="s">
        <v>25</v>
      </c>
      <c r="H124" s="306">
        <v>1</v>
      </c>
      <c r="I124" s="37">
        <v>1</v>
      </c>
      <c r="J124" s="37">
        <v>1</v>
      </c>
      <c r="K124" s="68">
        <v>2881.5</v>
      </c>
      <c r="L124" s="285">
        <v>1</v>
      </c>
      <c r="M124" s="68">
        <v>2881.5</v>
      </c>
      <c r="N124" s="68">
        <v>2881.5</v>
      </c>
      <c r="O124" s="41"/>
      <c r="P124" s="59"/>
      <c r="Q124" s="39"/>
      <c r="R124" s="40"/>
      <c r="S124" s="39">
        <f t="shared" si="9"/>
        <v>0</v>
      </c>
      <c r="T124" s="39"/>
      <c r="U124" s="41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6"/>
      <c r="B125" s="377" t="s">
        <v>110</v>
      </c>
      <c r="C125" s="377" t="s">
        <v>22</v>
      </c>
      <c r="D125" s="377"/>
      <c r="E125" s="377" t="s">
        <v>67</v>
      </c>
      <c r="F125" s="232" t="s">
        <v>274</v>
      </c>
      <c r="G125" s="23" t="s">
        <v>24</v>
      </c>
      <c r="H125" s="48">
        <v>5</v>
      </c>
      <c r="I125" s="203">
        <v>4</v>
      </c>
      <c r="J125" s="203">
        <v>6</v>
      </c>
      <c r="K125" s="65">
        <v>7512.06</v>
      </c>
      <c r="L125" s="224">
        <v>6</v>
      </c>
      <c r="M125" s="50">
        <f t="shared" ref="M125:M141" si="10">N125+O125</f>
        <v>7512.06</v>
      </c>
      <c r="N125" s="65">
        <v>7512.06</v>
      </c>
      <c r="O125" s="31"/>
      <c r="P125" s="108">
        <v>9</v>
      </c>
      <c r="Q125" s="65">
        <v>40341.25</v>
      </c>
      <c r="R125" s="224">
        <v>9</v>
      </c>
      <c r="S125" s="50">
        <f t="shared" si="9"/>
        <v>40341.25</v>
      </c>
      <c r="T125" s="65">
        <v>40341.25</v>
      </c>
      <c r="U125" s="22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9"/>
      <c r="B126" s="380"/>
      <c r="C126" s="380"/>
      <c r="D126" s="380"/>
      <c r="E126" s="380"/>
      <c r="F126" s="34"/>
      <c r="G126" s="55" t="s">
        <v>28</v>
      </c>
      <c r="H126" s="116"/>
      <c r="I126" s="57"/>
      <c r="J126" s="57"/>
      <c r="K126" s="43"/>
      <c r="L126" s="44"/>
      <c r="M126" s="43">
        <f t="shared" si="10"/>
        <v>0</v>
      </c>
      <c r="N126" s="43"/>
      <c r="O126" s="41"/>
      <c r="P126" s="103"/>
      <c r="Q126" s="43"/>
      <c r="R126" s="44"/>
      <c r="S126" s="43">
        <f t="shared" si="9"/>
        <v>0</v>
      </c>
      <c r="T126" s="43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2"/>
      <c r="B127" s="374" t="s">
        <v>111</v>
      </c>
      <c r="C127" s="374" t="s">
        <v>39</v>
      </c>
      <c r="D127" s="374" t="s">
        <v>435</v>
      </c>
      <c r="E127" s="374" t="s">
        <v>112</v>
      </c>
      <c r="F127" s="232" t="s">
        <v>436</v>
      </c>
      <c r="G127" s="23" t="s">
        <v>24</v>
      </c>
      <c r="H127" s="48">
        <v>14</v>
      </c>
      <c r="I127" s="62">
        <v>12</v>
      </c>
      <c r="J127" s="62">
        <v>17</v>
      </c>
      <c r="K127" s="30">
        <v>41780.9</v>
      </c>
      <c r="L127" s="205">
        <v>17</v>
      </c>
      <c r="M127" s="26">
        <f t="shared" si="10"/>
        <v>41780.9</v>
      </c>
      <c r="N127" s="30">
        <v>41780.9</v>
      </c>
      <c r="O127" s="31"/>
      <c r="P127" s="53">
        <v>5</v>
      </c>
      <c r="Q127" s="30">
        <v>19946.89</v>
      </c>
      <c r="R127" s="205">
        <v>5</v>
      </c>
      <c r="S127" s="26">
        <f t="shared" si="9"/>
        <v>19946.89</v>
      </c>
      <c r="T127" s="30">
        <v>19946.89</v>
      </c>
      <c r="U127" s="31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233" t="s">
        <v>235</v>
      </c>
      <c r="G128" s="227" t="s">
        <v>28</v>
      </c>
      <c r="H128" s="133">
        <v>1</v>
      </c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113</v>
      </c>
      <c r="C129" s="374" t="s">
        <v>39</v>
      </c>
      <c r="D129" s="374" t="s">
        <v>114</v>
      </c>
      <c r="E129" s="374" t="s">
        <v>27</v>
      </c>
      <c r="F129" s="204" t="s">
        <v>305</v>
      </c>
      <c r="G129" s="176" t="s">
        <v>24</v>
      </c>
      <c r="H129" s="48">
        <v>21</v>
      </c>
      <c r="I129" s="62">
        <v>21</v>
      </c>
      <c r="J129" s="62">
        <v>29</v>
      </c>
      <c r="K129" s="30">
        <v>70031.350000000006</v>
      </c>
      <c r="L129" s="205">
        <v>26</v>
      </c>
      <c r="M129" s="26">
        <f t="shared" si="10"/>
        <v>66481.97</v>
      </c>
      <c r="N129" s="30">
        <v>66481.97</v>
      </c>
      <c r="O129" s="225"/>
      <c r="P129" s="53">
        <v>11</v>
      </c>
      <c r="Q129" s="30">
        <v>31033.06</v>
      </c>
      <c r="R129" s="205">
        <v>11</v>
      </c>
      <c r="S129" s="26">
        <f t="shared" si="9"/>
        <v>31033.06</v>
      </c>
      <c r="T129" s="30">
        <v>31033.06</v>
      </c>
      <c r="U129" s="225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20" t="s">
        <v>306</v>
      </c>
      <c r="G130" s="229" t="s">
        <v>28</v>
      </c>
      <c r="H130" s="56">
        <v>4</v>
      </c>
      <c r="I130" s="130">
        <v>3</v>
      </c>
      <c r="J130" s="130">
        <v>3</v>
      </c>
      <c r="K130" s="114">
        <v>4816.8</v>
      </c>
      <c r="L130" s="270">
        <v>3</v>
      </c>
      <c r="M130" s="43">
        <f t="shared" si="10"/>
        <v>4905.7000000000007</v>
      </c>
      <c r="N130" s="43">
        <f>1152.6+1344.7+2408.4</f>
        <v>4905.7000000000007</v>
      </c>
      <c r="O130" s="45"/>
      <c r="P130" s="113">
        <v>2</v>
      </c>
      <c r="Q130" s="114">
        <v>5186.7</v>
      </c>
      <c r="R130" s="270">
        <v>2</v>
      </c>
      <c r="S130" s="43">
        <f t="shared" si="9"/>
        <v>5186.7</v>
      </c>
      <c r="T130" s="43">
        <f>5186.7</f>
        <v>5186.7</v>
      </c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115</v>
      </c>
      <c r="C131" s="374" t="s">
        <v>22</v>
      </c>
      <c r="D131" s="374"/>
      <c r="E131" s="374" t="s">
        <v>27</v>
      </c>
      <c r="F131" s="22"/>
      <c r="G131" s="23" t="s">
        <v>24</v>
      </c>
      <c r="H131" s="104"/>
      <c r="I131" s="25"/>
      <c r="J131" s="25"/>
      <c r="K131" s="26"/>
      <c r="L131" s="148"/>
      <c r="M131" s="149">
        <f t="shared" si="10"/>
        <v>0</v>
      </c>
      <c r="N131" s="26"/>
      <c r="O131" s="100"/>
      <c r="P131" s="120"/>
      <c r="Q131" s="26"/>
      <c r="R131" s="27"/>
      <c r="S131" s="26">
        <f t="shared" si="9"/>
        <v>0</v>
      </c>
      <c r="T131" s="26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34"/>
      <c r="G132" s="35" t="s">
        <v>28</v>
      </c>
      <c r="H132" s="106"/>
      <c r="I132" s="38"/>
      <c r="J132" s="38"/>
      <c r="K132" s="39"/>
      <c r="L132" s="40"/>
      <c r="M132" s="39">
        <f t="shared" si="10"/>
        <v>0</v>
      </c>
      <c r="N132" s="39"/>
      <c r="O132" s="41"/>
      <c r="P132" s="69"/>
      <c r="Q132" s="39"/>
      <c r="R132" s="40"/>
      <c r="S132" s="39">
        <f t="shared" si="9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116</v>
      </c>
      <c r="C133" s="381" t="s">
        <v>22</v>
      </c>
      <c r="D133" s="381"/>
      <c r="E133" s="381" t="s">
        <v>27</v>
      </c>
      <c r="F133" s="223" t="s">
        <v>307</v>
      </c>
      <c r="G133" s="47" t="s">
        <v>24</v>
      </c>
      <c r="H133" s="61">
        <v>9</v>
      </c>
      <c r="I133" s="62">
        <v>7</v>
      </c>
      <c r="J133" s="62">
        <v>11</v>
      </c>
      <c r="K133" s="30">
        <v>19669.79</v>
      </c>
      <c r="L133" s="205">
        <v>11</v>
      </c>
      <c r="M133" s="26">
        <f t="shared" si="10"/>
        <v>19669.79</v>
      </c>
      <c r="N133" s="30">
        <v>19669.79</v>
      </c>
      <c r="O133" s="243"/>
      <c r="P133" s="64">
        <v>4</v>
      </c>
      <c r="Q133" s="65">
        <v>10597.93</v>
      </c>
      <c r="R133" s="224">
        <v>4</v>
      </c>
      <c r="S133" s="50">
        <f t="shared" si="9"/>
        <v>10597.93</v>
      </c>
      <c r="T133" s="65">
        <v>10597.93</v>
      </c>
      <c r="U133" s="225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33">
        <v>6</v>
      </c>
      <c r="I134" s="38"/>
      <c r="J134" s="38"/>
      <c r="K134" s="39"/>
      <c r="L134" s="40"/>
      <c r="M134" s="39">
        <f t="shared" si="10"/>
        <v>0</v>
      </c>
      <c r="N134" s="39"/>
      <c r="O134" s="41"/>
      <c r="P134" s="67">
        <v>1</v>
      </c>
      <c r="Q134" s="68">
        <v>2305.1999999999998</v>
      </c>
      <c r="R134" s="285">
        <v>1</v>
      </c>
      <c r="S134" s="39">
        <f t="shared" si="9"/>
        <v>2305.1999999999998</v>
      </c>
      <c r="T134" s="39">
        <f>2305.2</f>
        <v>2305.1999999999998</v>
      </c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117</v>
      </c>
      <c r="C135" s="381" t="s">
        <v>22</v>
      </c>
      <c r="D135" s="381"/>
      <c r="E135" s="381" t="s">
        <v>67</v>
      </c>
      <c r="F135" s="223" t="s">
        <v>308</v>
      </c>
      <c r="G135" s="23" t="s">
        <v>24</v>
      </c>
      <c r="H135" s="48">
        <v>24</v>
      </c>
      <c r="I135" s="203">
        <v>19</v>
      </c>
      <c r="J135" s="203">
        <v>31</v>
      </c>
      <c r="K135" s="65">
        <v>81209.14</v>
      </c>
      <c r="L135" s="224">
        <v>28</v>
      </c>
      <c r="M135" s="50">
        <f t="shared" si="10"/>
        <v>74086.789999999994</v>
      </c>
      <c r="N135" s="65">
        <v>74086.789999999994</v>
      </c>
      <c r="O135" s="225"/>
      <c r="P135" s="108">
        <v>34</v>
      </c>
      <c r="Q135" s="65">
        <v>126059.69</v>
      </c>
      <c r="R135" s="224">
        <v>32</v>
      </c>
      <c r="S135" s="50">
        <f t="shared" si="9"/>
        <v>119894.49</v>
      </c>
      <c r="T135" s="65">
        <v>119894.49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226"/>
      <c r="G136" s="227" t="s">
        <v>28</v>
      </c>
      <c r="H136" s="116"/>
      <c r="I136" s="57"/>
      <c r="J136" s="57"/>
      <c r="K136" s="43"/>
      <c r="L136" s="44"/>
      <c r="M136" s="43">
        <f t="shared" si="10"/>
        <v>0</v>
      </c>
      <c r="N136" s="43"/>
      <c r="O136" s="41"/>
      <c r="P136" s="103"/>
      <c r="Q136" s="43"/>
      <c r="R136" s="44"/>
      <c r="S136" s="43">
        <f t="shared" si="9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118</v>
      </c>
      <c r="C137" s="374" t="s">
        <v>39</v>
      </c>
      <c r="D137" s="374" t="s">
        <v>309</v>
      </c>
      <c r="E137" s="374" t="s">
        <v>27</v>
      </c>
      <c r="F137" s="204" t="s">
        <v>310</v>
      </c>
      <c r="G137" s="176" t="s">
        <v>24</v>
      </c>
      <c r="H137" s="151">
        <v>20</v>
      </c>
      <c r="I137" s="62">
        <v>11</v>
      </c>
      <c r="J137" s="62">
        <v>15</v>
      </c>
      <c r="K137" s="30">
        <v>27166.73</v>
      </c>
      <c r="L137" s="205">
        <v>11</v>
      </c>
      <c r="M137" s="26">
        <f t="shared" si="10"/>
        <v>21795.34</v>
      </c>
      <c r="N137" s="30">
        <v>21795.34</v>
      </c>
      <c r="O137" s="31"/>
      <c r="P137" s="53">
        <v>13</v>
      </c>
      <c r="Q137" s="30">
        <v>52477.24</v>
      </c>
      <c r="R137" s="205">
        <v>13</v>
      </c>
      <c r="S137" s="26">
        <f t="shared" si="9"/>
        <v>52477.24</v>
      </c>
      <c r="T137" s="30">
        <v>52477.24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3"/>
      <c r="B138" s="375"/>
      <c r="C138" s="375"/>
      <c r="D138" s="375"/>
      <c r="E138" s="375"/>
      <c r="F138" s="152"/>
      <c r="G138" s="229" t="s">
        <v>28</v>
      </c>
      <c r="H138" s="116"/>
      <c r="I138" s="38"/>
      <c r="J138" s="38"/>
      <c r="K138" s="39"/>
      <c r="L138" s="40"/>
      <c r="M138" s="39">
        <f t="shared" si="10"/>
        <v>0</v>
      </c>
      <c r="N138" s="39"/>
      <c r="O138" s="41"/>
      <c r="P138" s="59"/>
      <c r="Q138" s="39"/>
      <c r="R138" s="40"/>
      <c r="S138" s="39">
        <f t="shared" si="9"/>
        <v>0</v>
      </c>
      <c r="T138" s="39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502</v>
      </c>
      <c r="C139" s="374"/>
      <c r="D139" s="374"/>
      <c r="E139" s="374"/>
      <c r="F139" s="232"/>
      <c r="G139" s="176" t="s">
        <v>24</v>
      </c>
      <c r="H139" s="151"/>
      <c r="I139" s="266"/>
      <c r="J139" s="266"/>
      <c r="K139" s="79"/>
      <c r="L139" s="268"/>
      <c r="M139" s="142">
        <f t="shared" si="10"/>
        <v>0</v>
      </c>
      <c r="N139" s="79"/>
      <c r="O139" s="82"/>
      <c r="P139" s="267"/>
      <c r="Q139" s="79"/>
      <c r="R139" s="268"/>
      <c r="S139" s="142">
        <f t="shared" si="9"/>
        <v>0</v>
      </c>
      <c r="T139" s="79"/>
      <c r="U139" s="336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86"/>
      <c r="C140" s="386"/>
      <c r="D140" s="386"/>
      <c r="E140" s="386"/>
      <c r="F140" s="356"/>
      <c r="G140" s="229" t="s">
        <v>28</v>
      </c>
      <c r="H140" s="362">
        <v>2</v>
      </c>
      <c r="I140" s="231"/>
      <c r="J140" s="231"/>
      <c r="K140" s="91"/>
      <c r="L140" s="330"/>
      <c r="M140" s="87">
        <f t="shared" si="10"/>
        <v>0</v>
      </c>
      <c r="N140" s="91"/>
      <c r="O140" s="89"/>
      <c r="P140" s="329"/>
      <c r="Q140" s="91"/>
      <c r="R140" s="330"/>
      <c r="S140" s="39">
        <f t="shared" si="9"/>
        <v>0</v>
      </c>
      <c r="T140" s="91"/>
      <c r="U140" s="342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119</v>
      </c>
      <c r="C141" s="374" t="s">
        <v>39</v>
      </c>
      <c r="D141" s="374" t="s">
        <v>311</v>
      </c>
      <c r="E141" s="374" t="s">
        <v>121</v>
      </c>
      <c r="F141" s="232" t="s">
        <v>312</v>
      </c>
      <c r="G141" s="23" t="s">
        <v>24</v>
      </c>
      <c r="H141" s="281">
        <v>50</v>
      </c>
      <c r="I141" s="62">
        <v>36</v>
      </c>
      <c r="J141" s="62">
        <v>44</v>
      </c>
      <c r="K141" s="30">
        <v>74855.87</v>
      </c>
      <c r="L141" s="205">
        <v>44</v>
      </c>
      <c r="M141" s="26">
        <f t="shared" si="10"/>
        <v>74855.87</v>
      </c>
      <c r="N141" s="30">
        <v>74855.87</v>
      </c>
      <c r="O141" s="219"/>
      <c r="P141" s="53">
        <v>27</v>
      </c>
      <c r="Q141" s="30">
        <v>47822.16</v>
      </c>
      <c r="R141" s="205">
        <v>27</v>
      </c>
      <c r="S141" s="26">
        <f t="shared" si="9"/>
        <v>47822.16</v>
      </c>
      <c r="T141" s="30">
        <v>47822.16</v>
      </c>
      <c r="U141" s="269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0"/>
      <c r="C142" s="380"/>
      <c r="D142" s="380"/>
      <c r="E142" s="380"/>
      <c r="F142" s="325" t="s">
        <v>491</v>
      </c>
      <c r="G142" s="227" t="s">
        <v>25</v>
      </c>
      <c r="H142" s="260">
        <v>11</v>
      </c>
      <c r="I142" s="208">
        <v>3</v>
      </c>
      <c r="J142" s="208">
        <v>3</v>
      </c>
      <c r="K142" s="209">
        <v>3668.91</v>
      </c>
      <c r="L142" s="290">
        <v>3</v>
      </c>
      <c r="M142" s="209">
        <v>3668.91</v>
      </c>
      <c r="N142" s="209">
        <v>3668.91</v>
      </c>
      <c r="O142" s="263"/>
      <c r="P142" s="262">
        <v>4</v>
      </c>
      <c r="Q142" s="209">
        <v>16712.7</v>
      </c>
      <c r="R142" s="290">
        <v>4</v>
      </c>
      <c r="S142" s="209">
        <v>16712.7</v>
      </c>
      <c r="T142" s="209">
        <v>16712.7</v>
      </c>
      <c r="U142" s="212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464</v>
      </c>
      <c r="C143" s="374" t="s">
        <v>22</v>
      </c>
      <c r="D143" s="374"/>
      <c r="E143" s="374" t="s">
        <v>391</v>
      </c>
      <c r="F143" s="204" t="s">
        <v>465</v>
      </c>
      <c r="G143" s="176" t="s">
        <v>24</v>
      </c>
      <c r="H143" s="61"/>
      <c r="I143" s="62"/>
      <c r="J143" s="62"/>
      <c r="K143" s="30"/>
      <c r="L143" s="27"/>
      <c r="M143" s="26">
        <f t="shared" ref="M143:M158" si="11">N143+O143</f>
        <v>0</v>
      </c>
      <c r="N143" s="26"/>
      <c r="O143" s="28"/>
      <c r="P143" s="214"/>
      <c r="Q143" s="30"/>
      <c r="R143" s="205"/>
      <c r="S143" s="26">
        <f t="shared" ref="S143:S149" si="12">T143+U143</f>
        <v>0</v>
      </c>
      <c r="T143" s="30"/>
      <c r="U143" s="241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86"/>
      <c r="C144" s="375"/>
      <c r="D144" s="386"/>
      <c r="E144" s="386"/>
      <c r="F144" s="152"/>
      <c r="G144" s="229" t="s">
        <v>28</v>
      </c>
      <c r="H144" s="344"/>
      <c r="I144" s="231"/>
      <c r="J144" s="231"/>
      <c r="K144" s="91"/>
      <c r="L144" s="92"/>
      <c r="M144" s="81">
        <f t="shared" si="11"/>
        <v>0</v>
      </c>
      <c r="N144" s="93"/>
      <c r="O144" s="94"/>
      <c r="P144" s="90"/>
      <c r="Q144" s="91"/>
      <c r="R144" s="330"/>
      <c r="S144" s="81">
        <f t="shared" si="12"/>
        <v>0</v>
      </c>
      <c r="T144" s="91"/>
      <c r="U144" s="33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367</v>
      </c>
      <c r="C145" s="374"/>
      <c r="D145" s="374"/>
      <c r="E145" s="374"/>
      <c r="F145" s="204"/>
      <c r="G145" s="213" t="s">
        <v>24</v>
      </c>
      <c r="H145" s="61"/>
      <c r="I145" s="62"/>
      <c r="J145" s="62"/>
      <c r="K145" s="30"/>
      <c r="L145" s="27"/>
      <c r="M145" s="26">
        <f t="shared" si="11"/>
        <v>0</v>
      </c>
      <c r="N145" s="26"/>
      <c r="O145" s="28"/>
      <c r="P145" s="214"/>
      <c r="Q145" s="30"/>
      <c r="R145" s="205"/>
      <c r="S145" s="26">
        <f t="shared" si="12"/>
        <v>0</v>
      </c>
      <c r="T145" s="30"/>
      <c r="U145" s="2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20"/>
      <c r="G146" s="215" t="s">
        <v>28</v>
      </c>
      <c r="H146" s="117">
        <v>6</v>
      </c>
      <c r="I146" s="37"/>
      <c r="J146" s="37"/>
      <c r="K146" s="68"/>
      <c r="L146" s="40"/>
      <c r="M146" s="39">
        <f t="shared" si="11"/>
        <v>0</v>
      </c>
      <c r="N146" s="39"/>
      <c r="O146" s="41"/>
      <c r="P146" s="217"/>
      <c r="Q146" s="68"/>
      <c r="R146" s="285"/>
      <c r="S146" s="39">
        <f t="shared" si="12"/>
        <v>0</v>
      </c>
      <c r="T146" s="68"/>
      <c r="U146" s="23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6"/>
      <c r="B147" s="377" t="s">
        <v>122</v>
      </c>
      <c r="C147" s="377" t="s">
        <v>39</v>
      </c>
      <c r="D147" s="377" t="s">
        <v>123</v>
      </c>
      <c r="E147" s="377" t="s">
        <v>55</v>
      </c>
      <c r="F147" s="232" t="s">
        <v>236</v>
      </c>
      <c r="G147" s="291" t="s">
        <v>24</v>
      </c>
      <c r="H147" s="265">
        <v>33</v>
      </c>
      <c r="I147" s="266">
        <v>24</v>
      </c>
      <c r="J147" s="266">
        <v>36</v>
      </c>
      <c r="K147" s="79">
        <v>77248.66</v>
      </c>
      <c r="L147" s="268">
        <v>36</v>
      </c>
      <c r="M147" s="81">
        <f t="shared" si="11"/>
        <v>77248.66</v>
      </c>
      <c r="N147" s="79">
        <v>77248.66</v>
      </c>
      <c r="O147" s="269"/>
      <c r="P147" s="267">
        <v>22</v>
      </c>
      <c r="Q147" s="79">
        <v>89981.45</v>
      </c>
      <c r="R147" s="268">
        <v>21</v>
      </c>
      <c r="S147" s="81">
        <f t="shared" si="12"/>
        <v>89981.45</v>
      </c>
      <c r="T147" s="79">
        <v>89981.45</v>
      </c>
      <c r="U147" s="269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34"/>
      <c r="G148" s="229" t="s">
        <v>25</v>
      </c>
      <c r="H148" s="116"/>
      <c r="I148" s="38"/>
      <c r="J148" s="38"/>
      <c r="K148" s="39"/>
      <c r="L148" s="40"/>
      <c r="M148" s="39">
        <f t="shared" si="11"/>
        <v>0</v>
      </c>
      <c r="N148" s="39"/>
      <c r="O148" s="41"/>
      <c r="P148" s="59"/>
      <c r="Q148" s="39"/>
      <c r="R148" s="40"/>
      <c r="S148" s="39">
        <f t="shared" si="12"/>
        <v>0</v>
      </c>
      <c r="T148" s="39"/>
      <c r="U148" s="41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6"/>
      <c r="B149" s="377" t="s">
        <v>124</v>
      </c>
      <c r="C149" s="377" t="s">
        <v>39</v>
      </c>
      <c r="D149" s="377" t="s">
        <v>314</v>
      </c>
      <c r="E149" s="377" t="s">
        <v>27</v>
      </c>
      <c r="F149" s="232" t="s">
        <v>237</v>
      </c>
      <c r="G149" s="23" t="s">
        <v>24</v>
      </c>
      <c r="H149" s="48">
        <v>23</v>
      </c>
      <c r="I149" s="203">
        <v>15</v>
      </c>
      <c r="J149" s="203">
        <v>18</v>
      </c>
      <c r="K149" s="65">
        <v>47249.1</v>
      </c>
      <c r="L149" s="224">
        <v>17</v>
      </c>
      <c r="M149" s="50">
        <f t="shared" si="11"/>
        <v>47249.1</v>
      </c>
      <c r="N149" s="65">
        <v>47249.1</v>
      </c>
      <c r="O149" s="225"/>
      <c r="P149" s="108">
        <v>57</v>
      </c>
      <c r="Q149" s="65">
        <v>337965.75</v>
      </c>
      <c r="R149" s="224">
        <v>57</v>
      </c>
      <c r="S149" s="50">
        <f t="shared" si="12"/>
        <v>337965.75</v>
      </c>
      <c r="T149" s="65">
        <v>337965.75</v>
      </c>
      <c r="U149" s="225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87"/>
      <c r="B150" s="386"/>
      <c r="C150" s="386"/>
      <c r="D150" s="386"/>
      <c r="E150" s="386"/>
      <c r="F150" s="237" t="s">
        <v>500</v>
      </c>
      <c r="G150" s="154" t="s">
        <v>25</v>
      </c>
      <c r="H150" s="98"/>
      <c r="I150" s="155"/>
      <c r="J150" s="155"/>
      <c r="K150" s="239" t="s">
        <v>43</v>
      </c>
      <c r="L150" s="128"/>
      <c r="M150" s="129">
        <f t="shared" si="11"/>
        <v>0</v>
      </c>
      <c r="N150" s="129"/>
      <c r="O150" s="45"/>
      <c r="P150" s="238">
        <v>1</v>
      </c>
      <c r="Q150" s="239">
        <v>2408.4</v>
      </c>
      <c r="R150" s="316">
        <v>1</v>
      </c>
      <c r="S150" s="239">
        <v>2408.4</v>
      </c>
      <c r="T150" s="239">
        <v>2408.4</v>
      </c>
      <c r="U150" s="45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9"/>
      <c r="B151" s="380"/>
      <c r="C151" s="380"/>
      <c r="D151" s="380"/>
      <c r="E151" s="380"/>
      <c r="F151" s="34"/>
      <c r="G151" s="55" t="s">
        <v>28</v>
      </c>
      <c r="H151" s="111"/>
      <c r="I151" s="57"/>
      <c r="J151" s="57"/>
      <c r="K151" s="43"/>
      <c r="L151" s="44"/>
      <c r="M151" s="43">
        <f t="shared" si="11"/>
        <v>0</v>
      </c>
      <c r="N151" s="43"/>
      <c r="O151" s="41"/>
      <c r="P151" s="113">
        <v>4</v>
      </c>
      <c r="Q151" s="114">
        <v>9722.4</v>
      </c>
      <c r="R151" s="270">
        <v>4</v>
      </c>
      <c r="S151" s="43">
        <f t="shared" ref="S151:S158" si="13">T151+U151</f>
        <v>10625.699999999999</v>
      </c>
      <c r="T151" s="114">
        <f>2305.2+4226.2+2689.4+1404.9</f>
        <v>10625.699999999999</v>
      </c>
      <c r="U151" s="41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2"/>
      <c r="B152" s="374" t="s">
        <v>126</v>
      </c>
      <c r="C152" s="374" t="s">
        <v>22</v>
      </c>
      <c r="D152" s="378"/>
      <c r="E152" s="374" t="s">
        <v>65</v>
      </c>
      <c r="F152" s="232" t="s">
        <v>443</v>
      </c>
      <c r="G152" s="23" t="s">
        <v>24</v>
      </c>
      <c r="H152" s="151">
        <v>8</v>
      </c>
      <c r="I152" s="62">
        <v>2</v>
      </c>
      <c r="J152" s="62">
        <v>2</v>
      </c>
      <c r="K152" s="30">
        <v>1267.28</v>
      </c>
      <c r="L152" s="205">
        <v>2</v>
      </c>
      <c r="M152" s="26">
        <f t="shared" si="11"/>
        <v>1267.28</v>
      </c>
      <c r="N152" s="30">
        <v>1267.28</v>
      </c>
      <c r="O152" s="225"/>
      <c r="P152" s="53">
        <v>15</v>
      </c>
      <c r="Q152" s="30">
        <v>10414.84</v>
      </c>
      <c r="R152" s="205">
        <v>4</v>
      </c>
      <c r="S152" s="26">
        <f t="shared" si="13"/>
        <v>10414.84</v>
      </c>
      <c r="T152" s="30">
        <v>10414.84</v>
      </c>
      <c r="U152" s="22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3"/>
      <c r="B153" s="375"/>
      <c r="C153" s="375"/>
      <c r="D153" s="375"/>
      <c r="E153" s="375"/>
      <c r="F153" s="254" t="s">
        <v>316</v>
      </c>
      <c r="G153" s="35" t="s">
        <v>28</v>
      </c>
      <c r="H153" s="153">
        <v>7</v>
      </c>
      <c r="I153" s="37">
        <v>5</v>
      </c>
      <c r="J153" s="37">
        <v>5</v>
      </c>
      <c r="K153" s="68">
        <v>8567.0400000000009</v>
      </c>
      <c r="L153" s="285">
        <v>3</v>
      </c>
      <c r="M153" s="39">
        <f t="shared" si="11"/>
        <v>3710.1</v>
      </c>
      <c r="N153" s="39">
        <f>2305.2+1404.9</f>
        <v>3710.1</v>
      </c>
      <c r="O153" s="41"/>
      <c r="P153" s="115">
        <v>8</v>
      </c>
      <c r="Q153" s="68">
        <v>13484.6</v>
      </c>
      <c r="R153" s="285">
        <v>3</v>
      </c>
      <c r="S153" s="39">
        <f t="shared" si="13"/>
        <v>7418.45</v>
      </c>
      <c r="T153" s="39">
        <f>1056.55+1344.4+5017.5</f>
        <v>7418.45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82"/>
      <c r="B154" s="381" t="s">
        <v>127</v>
      </c>
      <c r="C154" s="381" t="s">
        <v>22</v>
      </c>
      <c r="D154" s="381"/>
      <c r="E154" s="381" t="s">
        <v>67</v>
      </c>
      <c r="F154" s="223" t="s">
        <v>368</v>
      </c>
      <c r="G154" s="47" t="s">
        <v>24</v>
      </c>
      <c r="H154" s="48">
        <v>13</v>
      </c>
      <c r="I154" s="203">
        <v>13</v>
      </c>
      <c r="J154" s="203">
        <v>19</v>
      </c>
      <c r="K154" s="65">
        <v>37484.97</v>
      </c>
      <c r="L154" s="224">
        <v>17</v>
      </c>
      <c r="M154" s="50">
        <f t="shared" si="11"/>
        <v>33710.11</v>
      </c>
      <c r="N154" s="65">
        <v>33710.11</v>
      </c>
      <c r="O154" s="225"/>
      <c r="P154" s="108">
        <v>8</v>
      </c>
      <c r="Q154" s="65">
        <v>29582.03</v>
      </c>
      <c r="R154" s="224">
        <v>8</v>
      </c>
      <c r="S154" s="50">
        <f t="shared" si="13"/>
        <v>29582.03</v>
      </c>
      <c r="T154" s="65">
        <v>29582.03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33" t="s">
        <v>317</v>
      </c>
      <c r="G155" s="227" t="s">
        <v>28</v>
      </c>
      <c r="H155" s="153">
        <v>8</v>
      </c>
      <c r="I155" s="37">
        <v>5</v>
      </c>
      <c r="J155" s="37">
        <v>5</v>
      </c>
      <c r="K155" s="68">
        <v>5776.7</v>
      </c>
      <c r="L155" s="285">
        <v>5</v>
      </c>
      <c r="M155" s="39">
        <f t="shared" si="11"/>
        <v>5822.7</v>
      </c>
      <c r="N155" s="39">
        <f>1578.8+1152.6+1152.6+1336.6+602.1</f>
        <v>5822.7</v>
      </c>
      <c r="O155" s="41"/>
      <c r="P155" s="115">
        <v>3</v>
      </c>
      <c r="Q155" s="68">
        <v>17095</v>
      </c>
      <c r="R155" s="285">
        <v>3</v>
      </c>
      <c r="S155" s="39">
        <f t="shared" si="13"/>
        <v>17095</v>
      </c>
      <c r="T155" s="39">
        <f>4034.1+11053.9+2007</f>
        <v>17095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2"/>
      <c r="B156" s="374" t="s">
        <v>128</v>
      </c>
      <c r="C156" s="374" t="s">
        <v>39</v>
      </c>
      <c r="D156" s="374" t="s">
        <v>129</v>
      </c>
      <c r="E156" s="374" t="s">
        <v>121</v>
      </c>
      <c r="F156" s="60"/>
      <c r="G156" s="176" t="s">
        <v>24</v>
      </c>
      <c r="H156" s="107"/>
      <c r="I156" s="49"/>
      <c r="J156" s="127"/>
      <c r="K156" s="50"/>
      <c r="L156" s="51"/>
      <c r="M156" s="50">
        <f t="shared" si="11"/>
        <v>0</v>
      </c>
      <c r="N156" s="50"/>
      <c r="O156" s="31"/>
      <c r="P156" s="108"/>
      <c r="Q156" s="65"/>
      <c r="R156" s="51"/>
      <c r="S156" s="50">
        <f t="shared" si="13"/>
        <v>0</v>
      </c>
      <c r="T156" s="50"/>
      <c r="U156" s="3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20" t="s">
        <v>492</v>
      </c>
      <c r="G157" s="229" t="s">
        <v>25</v>
      </c>
      <c r="H157" s="153">
        <v>1</v>
      </c>
      <c r="I157" s="57"/>
      <c r="J157" s="57"/>
      <c r="K157" s="43"/>
      <c r="L157" s="44"/>
      <c r="M157" s="43">
        <f t="shared" si="11"/>
        <v>0</v>
      </c>
      <c r="N157" s="43"/>
      <c r="O157" s="41"/>
      <c r="P157" s="103"/>
      <c r="Q157" s="43"/>
      <c r="R157" s="44"/>
      <c r="S157" s="43">
        <f t="shared" si="13"/>
        <v>0</v>
      </c>
      <c r="T157" s="43"/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130</v>
      </c>
      <c r="C158" s="374" t="s">
        <v>22</v>
      </c>
      <c r="D158" s="374"/>
      <c r="E158" s="374" t="s">
        <v>131</v>
      </c>
      <c r="F158" s="232" t="s">
        <v>411</v>
      </c>
      <c r="G158" s="176" t="s">
        <v>24</v>
      </c>
      <c r="H158" s="48">
        <v>11</v>
      </c>
      <c r="I158" s="62">
        <v>6</v>
      </c>
      <c r="J158" s="62">
        <v>6</v>
      </c>
      <c r="K158" s="30">
        <v>9104.94</v>
      </c>
      <c r="L158" s="205">
        <v>6</v>
      </c>
      <c r="M158" s="26">
        <f t="shared" si="11"/>
        <v>9104.94</v>
      </c>
      <c r="N158" s="30">
        <v>9104.94</v>
      </c>
      <c r="O158" s="31"/>
      <c r="P158" s="53">
        <v>4</v>
      </c>
      <c r="Q158" s="30">
        <v>22885.21</v>
      </c>
      <c r="R158" s="205">
        <v>4</v>
      </c>
      <c r="S158" s="26">
        <f t="shared" si="13"/>
        <v>22885.21</v>
      </c>
      <c r="T158" s="30">
        <v>22885.21</v>
      </c>
      <c r="U158" s="225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220" t="s">
        <v>493</v>
      </c>
      <c r="G159" s="229" t="s">
        <v>25</v>
      </c>
      <c r="H159" s="112">
        <v>9</v>
      </c>
      <c r="I159" s="130">
        <v>6</v>
      </c>
      <c r="J159" s="130">
        <v>6</v>
      </c>
      <c r="K159" s="114">
        <v>10810.58</v>
      </c>
      <c r="L159" s="270">
        <v>6</v>
      </c>
      <c r="M159" s="114">
        <v>10810.58</v>
      </c>
      <c r="N159" s="114">
        <v>10810.58</v>
      </c>
      <c r="O159" s="234"/>
      <c r="P159" s="113">
        <v>3</v>
      </c>
      <c r="Q159" s="114">
        <v>7539.8</v>
      </c>
      <c r="R159" s="270">
        <v>3</v>
      </c>
      <c r="S159" s="114">
        <v>7539.8</v>
      </c>
      <c r="T159" s="114">
        <v>7539.8</v>
      </c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132</v>
      </c>
      <c r="C160" s="374" t="s">
        <v>39</v>
      </c>
      <c r="D160" s="374" t="s">
        <v>238</v>
      </c>
      <c r="E160" s="377" t="s">
        <v>136</v>
      </c>
      <c r="F160" s="232" t="s">
        <v>239</v>
      </c>
      <c r="G160" s="23" t="s">
        <v>24</v>
      </c>
      <c r="H160" s="61">
        <v>18</v>
      </c>
      <c r="I160" s="62">
        <v>14</v>
      </c>
      <c r="J160" s="62">
        <v>18</v>
      </c>
      <c r="K160" s="30">
        <v>40036.720000000001</v>
      </c>
      <c r="L160" s="205">
        <v>16</v>
      </c>
      <c r="M160" s="26">
        <f t="shared" ref="M160:M213" si="14">N160+O160</f>
        <v>28480.94</v>
      </c>
      <c r="N160" s="30">
        <v>28480.94</v>
      </c>
      <c r="O160" s="225"/>
      <c r="P160" s="53">
        <v>15</v>
      </c>
      <c r="Q160" s="30">
        <v>63876.46</v>
      </c>
      <c r="R160" s="205">
        <v>14</v>
      </c>
      <c r="S160" s="26">
        <f t="shared" ref="S160:S166" si="15">T160+U160</f>
        <v>52348.73</v>
      </c>
      <c r="T160" s="30">
        <v>52348.73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87"/>
      <c r="B161" s="386"/>
      <c r="C161" s="386"/>
      <c r="D161" s="386"/>
      <c r="E161" s="386"/>
      <c r="F161" s="237" t="s">
        <v>240</v>
      </c>
      <c r="G161" s="154" t="s">
        <v>28</v>
      </c>
      <c r="H161" s="112">
        <v>18</v>
      </c>
      <c r="I161" s="271">
        <v>12</v>
      </c>
      <c r="J161" s="271">
        <v>12</v>
      </c>
      <c r="K161" s="239">
        <v>23261.200000000001</v>
      </c>
      <c r="L161" s="316">
        <v>10</v>
      </c>
      <c r="M161" s="129">
        <f t="shared" si="14"/>
        <v>17440.899999999998</v>
      </c>
      <c r="N161" s="129">
        <f>1728.9+2305.2+576.3+4802.5+1404.9+1404.9+1404.9+1103.85+2408.4+301.05</f>
        <v>17440.899999999998</v>
      </c>
      <c r="O161" s="45"/>
      <c r="P161" s="238">
        <v>9</v>
      </c>
      <c r="Q161" s="239">
        <v>31223.56</v>
      </c>
      <c r="R161" s="316">
        <v>10</v>
      </c>
      <c r="S161" s="129">
        <f t="shared" si="15"/>
        <v>32433.79</v>
      </c>
      <c r="T161" s="239">
        <f>288.15+6934.81+3073.6+1344.7+1344.7+10837.8+8610.03</f>
        <v>32433.79</v>
      </c>
      <c r="U161" s="4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105"/>
      <c r="G162" s="55" t="s">
        <v>25</v>
      </c>
      <c r="H162" s="131"/>
      <c r="I162" s="57"/>
      <c r="J162" s="57"/>
      <c r="K162" s="43"/>
      <c r="L162" s="44"/>
      <c r="M162" s="43">
        <f t="shared" si="14"/>
        <v>0</v>
      </c>
      <c r="N162" s="43"/>
      <c r="O162" s="41"/>
      <c r="P162" s="103"/>
      <c r="Q162" s="43"/>
      <c r="R162" s="44"/>
      <c r="S162" s="43">
        <f t="shared" si="15"/>
        <v>0</v>
      </c>
      <c r="T162" s="43"/>
      <c r="U162" s="41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74" t="s">
        <v>133</v>
      </c>
      <c r="C163" s="374" t="s">
        <v>39</v>
      </c>
      <c r="D163" s="374" t="s">
        <v>448</v>
      </c>
      <c r="E163" s="381" t="s">
        <v>23</v>
      </c>
      <c r="F163" s="232" t="s">
        <v>449</v>
      </c>
      <c r="G163" s="23" t="s">
        <v>24</v>
      </c>
      <c r="H163" s="61">
        <v>12</v>
      </c>
      <c r="I163" s="62">
        <v>8</v>
      </c>
      <c r="J163" s="62">
        <v>9</v>
      </c>
      <c r="K163" s="30">
        <v>30919.360000000001</v>
      </c>
      <c r="L163" s="205">
        <v>9</v>
      </c>
      <c r="M163" s="26">
        <f t="shared" si="14"/>
        <v>30919.360000000001</v>
      </c>
      <c r="N163" s="30">
        <v>30919.360000000001</v>
      </c>
      <c r="O163" s="31"/>
      <c r="P163" s="53">
        <v>15</v>
      </c>
      <c r="Q163" s="30">
        <v>6119.32</v>
      </c>
      <c r="R163" s="205">
        <v>4</v>
      </c>
      <c r="S163" s="26">
        <f t="shared" si="15"/>
        <v>6119.32</v>
      </c>
      <c r="T163" s="30">
        <v>6119.32</v>
      </c>
      <c r="U163" s="31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34"/>
      <c r="G164" s="35" t="s">
        <v>25</v>
      </c>
      <c r="H164" s="106"/>
      <c r="I164" s="38"/>
      <c r="J164" s="38"/>
      <c r="K164" s="39"/>
      <c r="L164" s="40"/>
      <c r="M164" s="39">
        <f t="shared" si="14"/>
        <v>0</v>
      </c>
      <c r="N164" s="39"/>
      <c r="O164" s="41"/>
      <c r="P164" s="59"/>
      <c r="Q164" s="39"/>
      <c r="R164" s="40"/>
      <c r="S164" s="39">
        <f t="shared" si="15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134</v>
      </c>
      <c r="C165" s="374" t="s">
        <v>39</v>
      </c>
      <c r="D165" s="374" t="s">
        <v>280</v>
      </c>
      <c r="E165" s="374" t="s">
        <v>136</v>
      </c>
      <c r="F165" s="204" t="s">
        <v>282</v>
      </c>
      <c r="G165" s="176" t="s">
        <v>24</v>
      </c>
      <c r="H165" s="48">
        <v>15</v>
      </c>
      <c r="I165" s="203">
        <v>11</v>
      </c>
      <c r="J165" s="203">
        <v>12</v>
      </c>
      <c r="K165" s="65">
        <v>16411.849999999999</v>
      </c>
      <c r="L165" s="224">
        <v>12</v>
      </c>
      <c r="M165" s="50">
        <f t="shared" si="14"/>
        <v>16411.849999999999</v>
      </c>
      <c r="N165" s="65">
        <v>16411.849999999999</v>
      </c>
      <c r="O165" s="225"/>
      <c r="P165" s="108">
        <v>7</v>
      </c>
      <c r="Q165" s="65">
        <v>50795.35</v>
      </c>
      <c r="R165" s="224">
        <v>7</v>
      </c>
      <c r="S165" s="50">
        <f t="shared" si="15"/>
        <v>50795.35</v>
      </c>
      <c r="T165" s="65">
        <v>50795.35</v>
      </c>
      <c r="U165" s="225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87"/>
      <c r="B166" s="386"/>
      <c r="C166" s="386"/>
      <c r="D166" s="386"/>
      <c r="E166" s="386"/>
      <c r="F166" s="235" t="s">
        <v>321</v>
      </c>
      <c r="G166" s="252" t="s">
        <v>28</v>
      </c>
      <c r="H166" s="151">
        <v>15</v>
      </c>
      <c r="I166" s="246">
        <v>5</v>
      </c>
      <c r="J166" s="246">
        <v>5</v>
      </c>
      <c r="K166" s="158">
        <v>10648.6</v>
      </c>
      <c r="L166" s="317">
        <v>5</v>
      </c>
      <c r="M166" s="142">
        <f t="shared" si="14"/>
        <v>10648.599999999999</v>
      </c>
      <c r="N166" s="142">
        <f>1921+2305.2+1404.9+3211.2+1806.3</f>
        <v>10648.599999999999</v>
      </c>
      <c r="O166" s="45"/>
      <c r="P166" s="157">
        <v>4</v>
      </c>
      <c r="Q166" s="158">
        <v>8625.2900000000009</v>
      </c>
      <c r="R166" s="224">
        <v>5</v>
      </c>
      <c r="S166" s="50">
        <f t="shared" si="15"/>
        <v>9681.84</v>
      </c>
      <c r="T166" s="158">
        <f>6224.04+3457.8</f>
        <v>9681.84</v>
      </c>
      <c r="U166" s="45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3"/>
      <c r="B167" s="375"/>
      <c r="C167" s="375"/>
      <c r="D167" s="375"/>
      <c r="E167" s="375"/>
      <c r="F167" s="220" t="s">
        <v>494</v>
      </c>
      <c r="G167" s="229" t="s">
        <v>25</v>
      </c>
      <c r="H167" s="118"/>
      <c r="I167" s="57"/>
      <c r="J167" s="57"/>
      <c r="K167" s="43"/>
      <c r="L167" s="44"/>
      <c r="M167" s="43">
        <f t="shared" si="14"/>
        <v>0</v>
      </c>
      <c r="N167" s="43"/>
      <c r="O167" s="41"/>
      <c r="P167" s="113">
        <v>1</v>
      </c>
      <c r="Q167" s="114">
        <v>7024.5</v>
      </c>
      <c r="R167" s="270">
        <v>1</v>
      </c>
      <c r="S167" s="114">
        <v>7024.5</v>
      </c>
      <c r="T167" s="114">
        <v>7024.5</v>
      </c>
      <c r="U167" s="41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2"/>
      <c r="B168" s="374" t="s">
        <v>137</v>
      </c>
      <c r="C168" s="377" t="s">
        <v>39</v>
      </c>
      <c r="D168" s="374" t="s">
        <v>322</v>
      </c>
      <c r="E168" s="377" t="s">
        <v>27</v>
      </c>
      <c r="F168" s="232" t="s">
        <v>323</v>
      </c>
      <c r="G168" s="23" t="s">
        <v>24</v>
      </c>
      <c r="H168" s="24">
        <v>16</v>
      </c>
      <c r="I168" s="62">
        <v>11</v>
      </c>
      <c r="J168" s="62">
        <v>14</v>
      </c>
      <c r="K168" s="30">
        <v>23878.68</v>
      </c>
      <c r="L168" s="205">
        <v>14</v>
      </c>
      <c r="M168" s="26">
        <f t="shared" si="14"/>
        <v>23878.68</v>
      </c>
      <c r="N168" s="30">
        <v>23878.68</v>
      </c>
      <c r="O168" s="31"/>
      <c r="P168" s="53">
        <v>2</v>
      </c>
      <c r="Q168" s="30">
        <v>3779.47</v>
      </c>
      <c r="R168" s="205">
        <v>2</v>
      </c>
      <c r="S168" s="26">
        <f t="shared" ref="S168:S192" si="16">T168+U168</f>
        <v>3779.47</v>
      </c>
      <c r="T168" s="30">
        <v>3779.47</v>
      </c>
      <c r="U168" s="22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80"/>
      <c r="F169" s="220" t="s">
        <v>241</v>
      </c>
      <c r="G169" s="35" t="s">
        <v>28</v>
      </c>
      <c r="H169" s="66">
        <v>9</v>
      </c>
      <c r="I169" s="37">
        <v>6</v>
      </c>
      <c r="J169" s="37">
        <v>6</v>
      </c>
      <c r="K169" s="68">
        <v>7049.7</v>
      </c>
      <c r="L169" s="285">
        <v>7</v>
      </c>
      <c r="M169" s="39">
        <f t="shared" si="14"/>
        <v>7049.7000000000007</v>
      </c>
      <c r="N169" s="39">
        <f>576.3+1716.8+1344.7+1404.9+602.1+1404.9</f>
        <v>7049.7000000000007</v>
      </c>
      <c r="O169" s="41"/>
      <c r="P169" s="115">
        <v>3</v>
      </c>
      <c r="Q169" s="68">
        <v>5674.1</v>
      </c>
      <c r="R169" s="285">
        <v>3</v>
      </c>
      <c r="S169" s="39">
        <f t="shared" si="16"/>
        <v>9366.36</v>
      </c>
      <c r="T169" s="39">
        <f>1921+1344.7+3692.26+2408.4</f>
        <v>9366.36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138</v>
      </c>
      <c r="C170" s="374" t="s">
        <v>22</v>
      </c>
      <c r="D170" s="374"/>
      <c r="E170" s="374" t="s">
        <v>27</v>
      </c>
      <c r="F170" s="204" t="s">
        <v>324</v>
      </c>
      <c r="G170" s="176" t="s">
        <v>24</v>
      </c>
      <c r="H170" s="151">
        <v>16</v>
      </c>
      <c r="I170" s="203">
        <v>9</v>
      </c>
      <c r="J170" s="203">
        <v>10</v>
      </c>
      <c r="K170" s="65">
        <v>19508.22</v>
      </c>
      <c r="L170" s="224">
        <v>10</v>
      </c>
      <c r="M170" s="50">
        <f t="shared" si="14"/>
        <v>19508.22</v>
      </c>
      <c r="N170" s="65">
        <v>19508.22</v>
      </c>
      <c r="O170" s="31"/>
      <c r="P170" s="108">
        <v>10</v>
      </c>
      <c r="Q170" s="65">
        <v>22636.89</v>
      </c>
      <c r="R170" s="224">
        <v>10</v>
      </c>
      <c r="S170" s="50">
        <f t="shared" si="16"/>
        <v>22636.89</v>
      </c>
      <c r="T170" s="65">
        <v>22636.89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75"/>
      <c r="F171" s="220" t="s">
        <v>242</v>
      </c>
      <c r="G171" s="229" t="s">
        <v>28</v>
      </c>
      <c r="H171" s="133">
        <v>7</v>
      </c>
      <c r="I171" s="130">
        <v>7</v>
      </c>
      <c r="J171" s="130">
        <v>7</v>
      </c>
      <c r="K171" s="114">
        <v>26745.9</v>
      </c>
      <c r="L171" s="270">
        <v>7</v>
      </c>
      <c r="M171" s="43">
        <f t="shared" si="14"/>
        <v>21199.72</v>
      </c>
      <c r="N171" s="43">
        <f>3880.42+1344.7+1921+1690.48+6623.1+5740.02</f>
        <v>21199.72</v>
      </c>
      <c r="O171" s="41"/>
      <c r="P171" s="113">
        <v>5</v>
      </c>
      <c r="Q171" s="114">
        <v>11814.15</v>
      </c>
      <c r="R171" s="270">
        <v>4</v>
      </c>
      <c r="S171" s="43">
        <f t="shared" si="16"/>
        <v>9893.15</v>
      </c>
      <c r="T171" s="114">
        <f>4802.5+2401.25+2689.4</f>
        <v>9893.15</v>
      </c>
      <c r="U171" s="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139</v>
      </c>
      <c r="C172" s="374" t="s">
        <v>22</v>
      </c>
      <c r="D172" s="374"/>
      <c r="E172" s="374" t="s">
        <v>67</v>
      </c>
      <c r="F172" s="232" t="s">
        <v>325</v>
      </c>
      <c r="G172" s="23" t="s">
        <v>24</v>
      </c>
      <c r="H172" s="151">
        <v>8</v>
      </c>
      <c r="I172" s="62">
        <v>6</v>
      </c>
      <c r="J172" s="62">
        <v>7</v>
      </c>
      <c r="K172" s="30">
        <v>14388.8</v>
      </c>
      <c r="L172" s="205">
        <v>7</v>
      </c>
      <c r="M172" s="26">
        <f t="shared" si="14"/>
        <v>14388.8</v>
      </c>
      <c r="N172" s="30">
        <v>14388.8</v>
      </c>
      <c r="O172" s="225"/>
      <c r="P172" s="53">
        <v>16</v>
      </c>
      <c r="Q172" s="30">
        <v>55930.74</v>
      </c>
      <c r="R172" s="205">
        <v>16</v>
      </c>
      <c r="S172" s="26">
        <f t="shared" si="16"/>
        <v>55930.74</v>
      </c>
      <c r="T172" s="30">
        <v>55930.74</v>
      </c>
      <c r="U172" s="225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33" t="s">
        <v>326</v>
      </c>
      <c r="G173" s="227" t="s">
        <v>28</v>
      </c>
      <c r="H173" s="112">
        <v>8</v>
      </c>
      <c r="I173" s="130">
        <v>4</v>
      </c>
      <c r="J173" s="130">
        <v>4</v>
      </c>
      <c r="K173" s="114">
        <v>9138.1</v>
      </c>
      <c r="L173" s="270">
        <v>4</v>
      </c>
      <c r="M173" s="43">
        <f t="shared" si="14"/>
        <v>8335.2999999999993</v>
      </c>
      <c r="N173" s="43">
        <f>1728.9+602.1+2504.4+3499.9</f>
        <v>8335.2999999999993</v>
      </c>
      <c r="O173" s="45"/>
      <c r="P173" s="113">
        <v>9</v>
      </c>
      <c r="Q173" s="114">
        <v>35157.300000000003</v>
      </c>
      <c r="R173" s="270">
        <v>8</v>
      </c>
      <c r="S173" s="43">
        <f t="shared" si="16"/>
        <v>22769.55</v>
      </c>
      <c r="T173" s="114">
        <f>6269.7+3984+2305.2+3503.9+5602.9+1103.85</f>
        <v>22769.55</v>
      </c>
      <c r="U173" s="45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140</v>
      </c>
      <c r="C174" s="374" t="s">
        <v>39</v>
      </c>
      <c r="D174" s="374" t="s">
        <v>369</v>
      </c>
      <c r="E174" s="374" t="s">
        <v>27</v>
      </c>
      <c r="F174" s="204" t="s">
        <v>370</v>
      </c>
      <c r="G174" s="176" t="s">
        <v>24</v>
      </c>
      <c r="H174" s="24">
        <v>20</v>
      </c>
      <c r="I174" s="62">
        <v>16</v>
      </c>
      <c r="J174" s="62">
        <v>21</v>
      </c>
      <c r="K174" s="30">
        <v>48694.74</v>
      </c>
      <c r="L174" s="205">
        <v>20</v>
      </c>
      <c r="M174" s="26">
        <f t="shared" si="14"/>
        <v>44937.68</v>
      </c>
      <c r="N174" s="30">
        <v>44937.68</v>
      </c>
      <c r="O174" s="159"/>
      <c r="P174" s="53">
        <v>4</v>
      </c>
      <c r="Q174" s="30">
        <v>31835.37</v>
      </c>
      <c r="R174" s="205">
        <v>4</v>
      </c>
      <c r="S174" s="26">
        <f t="shared" si="16"/>
        <v>31835.37</v>
      </c>
      <c r="T174" s="30">
        <v>31835.37</v>
      </c>
      <c r="U174" s="2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33" t="s">
        <v>243</v>
      </c>
      <c r="G175" s="282" t="s">
        <v>28</v>
      </c>
      <c r="H175" s="207">
        <v>9</v>
      </c>
      <c r="I175" s="208">
        <v>3</v>
      </c>
      <c r="J175" s="208">
        <v>3</v>
      </c>
      <c r="K175" s="209">
        <v>7347.6</v>
      </c>
      <c r="L175" s="210"/>
      <c r="M175" s="211">
        <f t="shared" si="14"/>
        <v>1728.9</v>
      </c>
      <c r="N175" s="211">
        <f>1728.9</f>
        <v>1728.9</v>
      </c>
      <c r="O175" s="274"/>
      <c r="P175" s="262">
        <v>3</v>
      </c>
      <c r="Q175" s="209">
        <v>5494.06</v>
      </c>
      <c r="R175" s="290">
        <v>6</v>
      </c>
      <c r="S175" s="211">
        <f t="shared" si="16"/>
        <v>14023.3</v>
      </c>
      <c r="T175" s="211">
        <f>4034.1+3073.6+5071.44+1267.86+576.3</f>
        <v>14023.3</v>
      </c>
      <c r="U175" s="212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413</v>
      </c>
      <c r="C176" s="374" t="s">
        <v>22</v>
      </c>
      <c r="D176" s="374"/>
      <c r="E176" s="374" t="s">
        <v>391</v>
      </c>
      <c r="F176" s="204" t="s">
        <v>414</v>
      </c>
      <c r="G176" s="176" t="s">
        <v>24</v>
      </c>
      <c r="H176" s="24">
        <v>8</v>
      </c>
      <c r="I176" s="62">
        <v>6</v>
      </c>
      <c r="J176" s="62">
        <v>9</v>
      </c>
      <c r="K176" s="30">
        <v>23826.75</v>
      </c>
      <c r="L176" s="205">
        <v>9</v>
      </c>
      <c r="M176" s="26">
        <f t="shared" si="14"/>
        <v>23826.75</v>
      </c>
      <c r="N176" s="30">
        <v>23826.75</v>
      </c>
      <c r="O176" s="28"/>
      <c r="P176" s="214"/>
      <c r="Q176" s="30"/>
      <c r="R176" s="205"/>
      <c r="S176" s="26">
        <f t="shared" si="16"/>
        <v>0</v>
      </c>
      <c r="T176" s="30"/>
      <c r="U176" s="2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220"/>
      <c r="G177" s="229" t="s">
        <v>28</v>
      </c>
      <c r="H177" s="66"/>
      <c r="I177" s="38"/>
      <c r="J177" s="38"/>
      <c r="K177" s="39"/>
      <c r="L177" s="40"/>
      <c r="M177" s="39">
        <f t="shared" si="14"/>
        <v>0</v>
      </c>
      <c r="N177" s="39"/>
      <c r="O177" s="41"/>
      <c r="P177" s="217"/>
      <c r="Q177" s="68"/>
      <c r="R177" s="285"/>
      <c r="S177" s="39">
        <f t="shared" si="16"/>
        <v>0</v>
      </c>
      <c r="T177" s="68"/>
      <c r="U177" s="4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141</v>
      </c>
      <c r="C178" s="374" t="s">
        <v>39</v>
      </c>
      <c r="D178" s="374" t="s">
        <v>371</v>
      </c>
      <c r="E178" s="374" t="s">
        <v>27</v>
      </c>
      <c r="F178" s="204" t="s">
        <v>372</v>
      </c>
      <c r="G178" s="176" t="s">
        <v>24</v>
      </c>
      <c r="H178" s="281">
        <v>9</v>
      </c>
      <c r="I178" s="266">
        <v>6</v>
      </c>
      <c r="J178" s="266">
        <v>6</v>
      </c>
      <c r="K178" s="79">
        <v>11997.57</v>
      </c>
      <c r="L178" s="268">
        <v>5</v>
      </c>
      <c r="M178" s="81">
        <f t="shared" si="14"/>
        <v>11395.47</v>
      </c>
      <c r="N178" s="79">
        <v>11395.47</v>
      </c>
      <c r="O178" s="219"/>
      <c r="P178" s="267">
        <v>3</v>
      </c>
      <c r="Q178" s="79">
        <v>16223.5</v>
      </c>
      <c r="R178" s="268">
        <v>3</v>
      </c>
      <c r="S178" s="81">
        <f t="shared" si="16"/>
        <v>16223.5</v>
      </c>
      <c r="T178" s="79">
        <v>16223.5</v>
      </c>
      <c r="U178" s="219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34"/>
      <c r="G179" s="229" t="s">
        <v>28</v>
      </c>
      <c r="H179" s="118"/>
      <c r="I179" s="57"/>
      <c r="J179" s="57"/>
      <c r="K179" s="43"/>
      <c r="L179" s="44"/>
      <c r="M179" s="43">
        <f t="shared" si="14"/>
        <v>0</v>
      </c>
      <c r="N179" s="43"/>
      <c r="O179" s="45"/>
      <c r="P179" s="103"/>
      <c r="Q179" s="43"/>
      <c r="R179" s="44"/>
      <c r="S179" s="43">
        <f t="shared" si="16"/>
        <v>0</v>
      </c>
      <c r="T179" s="43"/>
      <c r="U179" s="45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142</v>
      </c>
      <c r="C180" s="374" t="s">
        <v>39</v>
      </c>
      <c r="D180" s="374" t="s">
        <v>415</v>
      </c>
      <c r="E180" s="374" t="s">
        <v>27</v>
      </c>
      <c r="F180" s="232" t="s">
        <v>416</v>
      </c>
      <c r="G180" s="23" t="s">
        <v>24</v>
      </c>
      <c r="H180" s="24">
        <v>5</v>
      </c>
      <c r="I180" s="62">
        <v>2</v>
      </c>
      <c r="J180" s="62">
        <v>2</v>
      </c>
      <c r="K180" s="30">
        <v>524.91</v>
      </c>
      <c r="L180" s="205">
        <v>2</v>
      </c>
      <c r="M180" s="26">
        <f t="shared" si="14"/>
        <v>524.91</v>
      </c>
      <c r="N180" s="30">
        <v>524.91</v>
      </c>
      <c r="O180" s="241"/>
      <c r="P180" s="53">
        <v>2</v>
      </c>
      <c r="Q180" s="30">
        <v>14444.79</v>
      </c>
      <c r="R180" s="205">
        <v>2</v>
      </c>
      <c r="S180" s="26">
        <f t="shared" si="16"/>
        <v>14444.79</v>
      </c>
      <c r="T180" s="30">
        <v>14444.79</v>
      </c>
      <c r="U180" s="241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105"/>
      <c r="G181" s="227" t="s">
        <v>28</v>
      </c>
      <c r="H181" s="311"/>
      <c r="I181" s="261"/>
      <c r="J181" s="261"/>
      <c r="K181" s="211"/>
      <c r="L181" s="210"/>
      <c r="M181" s="211">
        <f t="shared" si="14"/>
        <v>0</v>
      </c>
      <c r="N181" s="211"/>
      <c r="O181" s="212"/>
      <c r="P181" s="273"/>
      <c r="Q181" s="211"/>
      <c r="R181" s="210"/>
      <c r="S181" s="211">
        <f t="shared" si="16"/>
        <v>0</v>
      </c>
      <c r="T181" s="211"/>
      <c r="U181" s="21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424</v>
      </c>
      <c r="C182" s="374" t="s">
        <v>22</v>
      </c>
      <c r="D182" s="374"/>
      <c r="E182" s="374" t="s">
        <v>65</v>
      </c>
      <c r="F182" s="232" t="s">
        <v>437</v>
      </c>
      <c r="G182" s="213" t="s">
        <v>24</v>
      </c>
      <c r="H182" s="24">
        <v>8</v>
      </c>
      <c r="I182" s="62">
        <v>4</v>
      </c>
      <c r="J182" s="62">
        <v>6</v>
      </c>
      <c r="K182" s="30">
        <v>9442.35</v>
      </c>
      <c r="L182" s="205">
        <v>6</v>
      </c>
      <c r="M182" s="26">
        <f t="shared" si="14"/>
        <v>9442.35</v>
      </c>
      <c r="N182" s="30">
        <v>9442.35</v>
      </c>
      <c r="O182" s="28"/>
      <c r="P182" s="214"/>
      <c r="Q182" s="30"/>
      <c r="R182" s="205"/>
      <c r="S182" s="26">
        <f t="shared" si="16"/>
        <v>0</v>
      </c>
      <c r="T182" s="30"/>
      <c r="U182" s="2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220"/>
      <c r="G183" s="215" t="s">
        <v>28</v>
      </c>
      <c r="H183" s="66"/>
      <c r="I183" s="38"/>
      <c r="J183" s="38"/>
      <c r="K183" s="39"/>
      <c r="L183" s="40"/>
      <c r="M183" s="39">
        <f t="shared" si="14"/>
        <v>0</v>
      </c>
      <c r="N183" s="39"/>
      <c r="O183" s="41"/>
      <c r="P183" s="217"/>
      <c r="Q183" s="68"/>
      <c r="R183" s="285"/>
      <c r="S183" s="39">
        <f t="shared" si="16"/>
        <v>0</v>
      </c>
      <c r="T183" s="68"/>
      <c r="U183" s="23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6"/>
      <c r="B184" s="377" t="s">
        <v>143</v>
      </c>
      <c r="C184" s="377" t="s">
        <v>39</v>
      </c>
      <c r="D184" s="377" t="s">
        <v>327</v>
      </c>
      <c r="E184" s="377" t="s">
        <v>145</v>
      </c>
      <c r="F184" s="232" t="s">
        <v>215</v>
      </c>
      <c r="G184" s="95" t="s">
        <v>24</v>
      </c>
      <c r="H184" s="281">
        <v>10</v>
      </c>
      <c r="I184" s="266">
        <v>7</v>
      </c>
      <c r="J184" s="266">
        <v>9</v>
      </c>
      <c r="K184" s="79">
        <v>15151.29</v>
      </c>
      <c r="L184" s="268">
        <v>9</v>
      </c>
      <c r="M184" s="81">
        <f t="shared" si="14"/>
        <v>15151.29</v>
      </c>
      <c r="N184" s="79">
        <v>15151.29</v>
      </c>
      <c r="O184" s="219"/>
      <c r="P184" s="267">
        <v>18</v>
      </c>
      <c r="Q184" s="79">
        <v>50132.05</v>
      </c>
      <c r="R184" s="268">
        <v>18</v>
      </c>
      <c r="S184" s="81">
        <f t="shared" si="16"/>
        <v>50132.05</v>
      </c>
      <c r="T184" s="79">
        <v>50132.05</v>
      </c>
      <c r="U184" s="269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9"/>
      <c r="B185" s="380"/>
      <c r="C185" s="380"/>
      <c r="D185" s="380"/>
      <c r="E185" s="380"/>
      <c r="F185" s="233" t="s">
        <v>244</v>
      </c>
      <c r="G185" s="227" t="s">
        <v>28</v>
      </c>
      <c r="H185" s="133">
        <v>10</v>
      </c>
      <c r="I185" s="130">
        <v>5</v>
      </c>
      <c r="J185" s="130">
        <v>5</v>
      </c>
      <c r="K185" s="114">
        <v>21716.12</v>
      </c>
      <c r="L185" s="316">
        <v>6</v>
      </c>
      <c r="M185" s="50">
        <f t="shared" si="14"/>
        <v>21489.82</v>
      </c>
      <c r="N185" s="43">
        <f>2497.3+1152.6+5920.02+4595.4+602.1+6722.4</f>
        <v>21489.82</v>
      </c>
      <c r="O185" s="41"/>
      <c r="P185" s="113">
        <v>3</v>
      </c>
      <c r="Q185" s="114">
        <v>17758.3</v>
      </c>
      <c r="R185" s="270">
        <v>3</v>
      </c>
      <c r="S185" s="43">
        <f t="shared" si="16"/>
        <v>8500.2999999999993</v>
      </c>
      <c r="T185" s="114">
        <f>576.3+5426.7+2497.3</f>
        <v>8500.2999999999993</v>
      </c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2"/>
      <c r="B186" s="374" t="s">
        <v>146</v>
      </c>
      <c r="C186" s="374" t="s">
        <v>39</v>
      </c>
      <c r="D186" s="374" t="s">
        <v>328</v>
      </c>
      <c r="E186" s="374" t="s">
        <v>27</v>
      </c>
      <c r="F186" s="204" t="s">
        <v>329</v>
      </c>
      <c r="G186" s="176" t="s">
        <v>24</v>
      </c>
      <c r="H186" s="48">
        <v>16</v>
      </c>
      <c r="I186" s="62">
        <v>12</v>
      </c>
      <c r="J186" s="62">
        <v>13</v>
      </c>
      <c r="K186" s="30">
        <v>34160.230000000003</v>
      </c>
      <c r="L186" s="205">
        <v>13</v>
      </c>
      <c r="M186" s="26">
        <f t="shared" si="14"/>
        <v>34160.230000000003</v>
      </c>
      <c r="N186" s="30">
        <v>34160.230000000003</v>
      </c>
      <c r="O186" s="225"/>
      <c r="P186" s="53">
        <v>13</v>
      </c>
      <c r="Q186" s="30">
        <v>38649.24</v>
      </c>
      <c r="R186" s="205">
        <v>13</v>
      </c>
      <c r="S186" s="26">
        <f t="shared" si="16"/>
        <v>38649.24</v>
      </c>
      <c r="T186" s="30">
        <v>38649.24</v>
      </c>
      <c r="U186" s="225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220" t="s">
        <v>330</v>
      </c>
      <c r="G187" s="229" t="s">
        <v>28</v>
      </c>
      <c r="H187" s="153">
        <v>5</v>
      </c>
      <c r="I187" s="130">
        <v>2</v>
      </c>
      <c r="J187" s="130">
        <v>2</v>
      </c>
      <c r="K187" s="114">
        <v>7867.44</v>
      </c>
      <c r="L187" s="270">
        <v>2</v>
      </c>
      <c r="M187" s="43">
        <f t="shared" si="14"/>
        <v>7867.44</v>
      </c>
      <c r="N187" s="43">
        <f>2649.24+5218.2</f>
        <v>7867.44</v>
      </c>
      <c r="O187" s="41"/>
      <c r="P187" s="115">
        <v>8</v>
      </c>
      <c r="Q187" s="68">
        <v>30985.07</v>
      </c>
      <c r="R187" s="285">
        <v>8</v>
      </c>
      <c r="S187" s="39">
        <f t="shared" si="16"/>
        <v>30985.07</v>
      </c>
      <c r="T187" s="68">
        <f>576.3+15944.3+1479.17+1344.7+8228.7+1404.9+2007</f>
        <v>30985.07</v>
      </c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148</v>
      </c>
      <c r="C188" s="374" t="s">
        <v>39</v>
      </c>
      <c r="D188" s="374" t="s">
        <v>149</v>
      </c>
      <c r="E188" s="374" t="s">
        <v>27</v>
      </c>
      <c r="F188" s="204" t="s">
        <v>218</v>
      </c>
      <c r="G188" s="176" t="s">
        <v>24</v>
      </c>
      <c r="H188" s="48">
        <v>25</v>
      </c>
      <c r="I188" s="62">
        <v>22</v>
      </c>
      <c r="J188" s="204">
        <v>30</v>
      </c>
      <c r="K188" s="30">
        <v>49643.35</v>
      </c>
      <c r="L188" s="205">
        <v>29</v>
      </c>
      <c r="M188" s="26">
        <f t="shared" si="14"/>
        <v>49041.25</v>
      </c>
      <c r="N188" s="30">
        <v>49041.25</v>
      </c>
      <c r="O188" s="225"/>
      <c r="P188" s="108">
        <v>23</v>
      </c>
      <c r="Q188" s="65">
        <v>84634.18</v>
      </c>
      <c r="R188" s="224">
        <v>23</v>
      </c>
      <c r="S188" s="50">
        <f t="shared" si="16"/>
        <v>84634.18</v>
      </c>
      <c r="T188" s="65">
        <v>84634.18</v>
      </c>
      <c r="U188" s="225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34"/>
      <c r="G189" s="229" t="s">
        <v>28</v>
      </c>
      <c r="H189" s="292">
        <v>4</v>
      </c>
      <c r="I189" s="208">
        <v>1</v>
      </c>
      <c r="J189" s="208">
        <v>1</v>
      </c>
      <c r="K189" s="209">
        <v>3010.5</v>
      </c>
      <c r="L189" s="290">
        <v>1</v>
      </c>
      <c r="M189" s="211">
        <f t="shared" si="14"/>
        <v>3010.5</v>
      </c>
      <c r="N189" s="211">
        <f>3010.5</f>
        <v>3010.5</v>
      </c>
      <c r="O189" s="212"/>
      <c r="P189" s="262">
        <v>2</v>
      </c>
      <c r="Q189" s="209">
        <v>10069.41</v>
      </c>
      <c r="R189" s="290">
        <v>3</v>
      </c>
      <c r="S189" s="211">
        <f t="shared" si="16"/>
        <v>3902.2000000000003</v>
      </c>
      <c r="T189" s="209">
        <f>1921+576.3+1404.9</f>
        <v>3902.2000000000003</v>
      </c>
      <c r="U189" s="21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373</v>
      </c>
      <c r="C190" s="374" t="s">
        <v>22</v>
      </c>
      <c r="D190" s="374"/>
      <c r="E190" s="374" t="s">
        <v>27</v>
      </c>
      <c r="F190" s="232" t="s">
        <v>417</v>
      </c>
      <c r="G190" s="213" t="s">
        <v>24</v>
      </c>
      <c r="H190" s="61">
        <v>2</v>
      </c>
      <c r="I190" s="62">
        <v>2</v>
      </c>
      <c r="J190" s="62">
        <v>3</v>
      </c>
      <c r="K190" s="326">
        <v>2669.31</v>
      </c>
      <c r="L190" s="327">
        <v>3</v>
      </c>
      <c r="M190" s="162">
        <f t="shared" si="14"/>
        <v>2669.31</v>
      </c>
      <c r="N190" s="326">
        <v>2669.31</v>
      </c>
      <c r="O190" s="28"/>
      <c r="P190" s="275"/>
      <c r="Q190" s="26"/>
      <c r="R190" s="27"/>
      <c r="S190" s="26">
        <f t="shared" si="16"/>
        <v>0</v>
      </c>
      <c r="T190" s="26"/>
      <c r="U190" s="28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105"/>
      <c r="G191" s="215" t="s">
        <v>28</v>
      </c>
      <c r="H191" s="117">
        <v>6</v>
      </c>
      <c r="I191" s="37">
        <v>2</v>
      </c>
      <c r="J191" s="37">
        <v>2</v>
      </c>
      <c r="K191" s="318">
        <v>1658.32</v>
      </c>
      <c r="L191" s="343">
        <v>2</v>
      </c>
      <c r="M191" s="164">
        <f t="shared" si="14"/>
        <v>1658.65</v>
      </c>
      <c r="N191" s="164">
        <f>1056.55+602.1</f>
        <v>1658.65</v>
      </c>
      <c r="O191" s="41"/>
      <c r="P191" s="276"/>
      <c r="Q191" s="39"/>
      <c r="R191" s="40"/>
      <c r="S191" s="39">
        <f t="shared" si="16"/>
        <v>0</v>
      </c>
      <c r="T191" s="39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6"/>
      <c r="B192" s="402" t="s">
        <v>150</v>
      </c>
      <c r="C192" s="377" t="s">
        <v>39</v>
      </c>
      <c r="D192" s="377" t="s">
        <v>151</v>
      </c>
      <c r="E192" s="377" t="s">
        <v>152</v>
      </c>
      <c r="F192" s="72"/>
      <c r="G192" s="95" t="s">
        <v>24</v>
      </c>
      <c r="H192" s="74"/>
      <c r="I192" s="96"/>
      <c r="J192" s="96"/>
      <c r="K192" s="293"/>
      <c r="L192" s="294"/>
      <c r="M192" s="293">
        <f t="shared" si="14"/>
        <v>0</v>
      </c>
      <c r="N192" s="293"/>
      <c r="O192" s="82"/>
      <c r="P192" s="295"/>
      <c r="Q192" s="81"/>
      <c r="R192" s="80"/>
      <c r="S192" s="81">
        <f t="shared" si="16"/>
        <v>0</v>
      </c>
      <c r="T192" s="81"/>
      <c r="U192" s="8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89"/>
      <c r="C193" s="375"/>
      <c r="D193" s="375"/>
      <c r="E193" s="375"/>
      <c r="F193" s="220" t="s">
        <v>331</v>
      </c>
      <c r="G193" s="35" t="s">
        <v>25</v>
      </c>
      <c r="H193" s="117">
        <v>4</v>
      </c>
      <c r="I193" s="38"/>
      <c r="J193" s="38"/>
      <c r="K193" s="164"/>
      <c r="L193" s="165"/>
      <c r="M193" s="164">
        <f t="shared" si="14"/>
        <v>0</v>
      </c>
      <c r="N193" s="164"/>
      <c r="O193" s="41"/>
      <c r="P193" s="67">
        <v>5</v>
      </c>
      <c r="Q193" s="68">
        <v>32446.01</v>
      </c>
      <c r="R193" s="285">
        <v>5</v>
      </c>
      <c r="S193" s="68">
        <v>32446.01</v>
      </c>
      <c r="T193" s="68">
        <v>32446.01</v>
      </c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153</v>
      </c>
      <c r="C194" s="374" t="s">
        <v>39</v>
      </c>
      <c r="D194" s="381" t="s">
        <v>332</v>
      </c>
      <c r="E194" s="381" t="s">
        <v>27</v>
      </c>
      <c r="F194" s="223" t="s">
        <v>333</v>
      </c>
      <c r="G194" s="47" t="s">
        <v>24</v>
      </c>
      <c r="H194" s="48">
        <v>25</v>
      </c>
      <c r="I194" s="203">
        <v>23</v>
      </c>
      <c r="J194" s="203">
        <v>38</v>
      </c>
      <c r="K194" s="242">
        <v>84037.54</v>
      </c>
      <c r="L194" s="320">
        <v>38</v>
      </c>
      <c r="M194" s="166">
        <f t="shared" si="14"/>
        <v>84037.54</v>
      </c>
      <c r="N194" s="242">
        <v>84037.54</v>
      </c>
      <c r="O194" s="225"/>
      <c r="P194" s="108">
        <v>8</v>
      </c>
      <c r="Q194" s="65">
        <v>44672.93</v>
      </c>
      <c r="R194" s="224">
        <v>8</v>
      </c>
      <c r="S194" s="50">
        <f t="shared" ref="S194:S213" si="17">T194+U194</f>
        <v>44672.93</v>
      </c>
      <c r="T194" s="65">
        <v>44672.93</v>
      </c>
      <c r="U194" s="225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75"/>
      <c r="D195" s="380"/>
      <c r="E195" s="380"/>
      <c r="F195" s="34"/>
      <c r="G195" s="35" t="s">
        <v>28</v>
      </c>
      <c r="H195" s="153">
        <v>4</v>
      </c>
      <c r="I195" s="130">
        <v>3</v>
      </c>
      <c r="J195" s="130">
        <v>3</v>
      </c>
      <c r="K195" s="114">
        <v>5166.6000000000004</v>
      </c>
      <c r="L195" s="270">
        <v>1</v>
      </c>
      <c r="M195" s="43">
        <f t="shared" si="14"/>
        <v>1152.5999999999999</v>
      </c>
      <c r="N195" s="43">
        <f>1152.6</f>
        <v>1152.5999999999999</v>
      </c>
      <c r="O195" s="41"/>
      <c r="P195" s="113">
        <v>4</v>
      </c>
      <c r="Q195" s="114">
        <v>21119.5</v>
      </c>
      <c r="R195" s="270">
        <v>5</v>
      </c>
      <c r="S195" s="43">
        <f t="shared" si="17"/>
        <v>23040.5</v>
      </c>
      <c r="T195" s="114">
        <f>1921+11718.1+5186.7+2809.8+1404.9</f>
        <v>23040.5</v>
      </c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155</v>
      </c>
      <c r="C196" s="374" t="s">
        <v>22</v>
      </c>
      <c r="D196" s="374"/>
      <c r="E196" s="374" t="s">
        <v>37</v>
      </c>
      <c r="F196" s="223" t="s">
        <v>245</v>
      </c>
      <c r="G196" s="23" t="s">
        <v>24</v>
      </c>
      <c r="H196" s="48">
        <v>9</v>
      </c>
      <c r="I196" s="62">
        <v>5</v>
      </c>
      <c r="J196" s="62">
        <v>6</v>
      </c>
      <c r="K196" s="30">
        <v>8463.7199999999993</v>
      </c>
      <c r="L196" s="205">
        <v>6</v>
      </c>
      <c r="M196" s="26">
        <f t="shared" si="14"/>
        <v>8463.7199999999993</v>
      </c>
      <c r="N196" s="30">
        <v>8463.7199999999993</v>
      </c>
      <c r="O196" s="31"/>
      <c r="P196" s="53">
        <v>9</v>
      </c>
      <c r="Q196" s="30">
        <v>23074.77</v>
      </c>
      <c r="R196" s="205">
        <v>9</v>
      </c>
      <c r="S196" s="26">
        <f t="shared" si="17"/>
        <v>23074.77</v>
      </c>
      <c r="T196" s="30">
        <v>23074.77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105"/>
      <c r="G197" s="35" t="s">
        <v>28</v>
      </c>
      <c r="H197" s="116"/>
      <c r="I197" s="38"/>
      <c r="J197" s="38"/>
      <c r="K197" s="39"/>
      <c r="L197" s="40"/>
      <c r="M197" s="39">
        <f t="shared" si="14"/>
        <v>0</v>
      </c>
      <c r="N197" s="39"/>
      <c r="O197" s="41"/>
      <c r="P197" s="59"/>
      <c r="Q197" s="39"/>
      <c r="R197" s="40"/>
      <c r="S197" s="39">
        <f t="shared" si="17"/>
        <v>0</v>
      </c>
      <c r="T197" s="39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82"/>
      <c r="B198" s="381" t="s">
        <v>156</v>
      </c>
      <c r="C198" s="381" t="s">
        <v>46</v>
      </c>
      <c r="D198" s="385" t="s">
        <v>418</v>
      </c>
      <c r="E198" s="381" t="s">
        <v>27</v>
      </c>
      <c r="F198" s="223" t="s">
        <v>419</v>
      </c>
      <c r="G198" s="23" t="s">
        <v>24</v>
      </c>
      <c r="H198" s="98"/>
      <c r="I198" s="49"/>
      <c r="J198" s="49"/>
      <c r="K198" s="50"/>
      <c r="L198" s="51"/>
      <c r="M198" s="50">
        <f t="shared" si="14"/>
        <v>0</v>
      </c>
      <c r="N198" s="50"/>
      <c r="O198" s="31"/>
      <c r="P198" s="108">
        <v>2</v>
      </c>
      <c r="Q198" s="65">
        <v>14241.9</v>
      </c>
      <c r="R198" s="224">
        <v>2</v>
      </c>
      <c r="S198" s="50">
        <f t="shared" si="17"/>
        <v>14241.9</v>
      </c>
      <c r="T198" s="65">
        <v>14241.9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9"/>
      <c r="B199" s="380"/>
      <c r="C199" s="380"/>
      <c r="D199" s="380"/>
      <c r="E199" s="380"/>
      <c r="F199" s="54"/>
      <c r="G199" s="55" t="s">
        <v>28</v>
      </c>
      <c r="H199" s="56">
        <v>4</v>
      </c>
      <c r="I199" s="57"/>
      <c r="J199" s="57"/>
      <c r="K199" s="43"/>
      <c r="L199" s="44"/>
      <c r="M199" s="43">
        <f t="shared" si="14"/>
        <v>0</v>
      </c>
      <c r="N199" s="43"/>
      <c r="O199" s="41"/>
      <c r="P199" s="113">
        <v>1</v>
      </c>
      <c r="Q199" s="114">
        <v>0</v>
      </c>
      <c r="R199" s="44"/>
      <c r="S199" s="43">
        <f t="shared" si="17"/>
        <v>0</v>
      </c>
      <c r="T199" s="43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157</v>
      </c>
      <c r="C200" s="390"/>
      <c r="D200" s="374"/>
      <c r="E200" s="374"/>
      <c r="F200" s="22"/>
      <c r="G200" s="23" t="s">
        <v>24</v>
      </c>
      <c r="H200" s="104"/>
      <c r="I200" s="25"/>
      <c r="J200" s="25"/>
      <c r="K200" s="26"/>
      <c r="L200" s="27"/>
      <c r="M200" s="26">
        <f t="shared" si="14"/>
        <v>0</v>
      </c>
      <c r="N200" s="26"/>
      <c r="O200" s="31"/>
      <c r="P200" s="120"/>
      <c r="Q200" s="26"/>
      <c r="R200" s="27"/>
      <c r="S200" s="26">
        <f t="shared" si="17"/>
        <v>0</v>
      </c>
      <c r="T200" s="26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34"/>
      <c r="G201" s="35" t="s">
        <v>28</v>
      </c>
      <c r="H201" s="106"/>
      <c r="I201" s="38"/>
      <c r="J201" s="38"/>
      <c r="K201" s="39"/>
      <c r="L201" s="40"/>
      <c r="M201" s="39">
        <f t="shared" si="14"/>
        <v>0</v>
      </c>
      <c r="N201" s="39"/>
      <c r="O201" s="41"/>
      <c r="P201" s="69"/>
      <c r="Q201" s="39"/>
      <c r="R201" s="40"/>
      <c r="S201" s="39">
        <f t="shared" si="17"/>
        <v>0</v>
      </c>
      <c r="T201" s="39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158</v>
      </c>
      <c r="C202" s="374" t="s">
        <v>39</v>
      </c>
      <c r="D202" s="374" t="s">
        <v>288</v>
      </c>
      <c r="E202" s="374" t="s">
        <v>27</v>
      </c>
      <c r="F202" s="204" t="s">
        <v>289</v>
      </c>
      <c r="G202" s="176" t="s">
        <v>24</v>
      </c>
      <c r="H202" s="48">
        <v>11</v>
      </c>
      <c r="I202" s="203">
        <v>10</v>
      </c>
      <c r="J202" s="203">
        <v>12</v>
      </c>
      <c r="K202" s="65">
        <v>28819.85</v>
      </c>
      <c r="L202" s="224">
        <v>12</v>
      </c>
      <c r="M202" s="50">
        <f t="shared" si="14"/>
        <v>28819.85</v>
      </c>
      <c r="N202" s="65">
        <v>28819.85</v>
      </c>
      <c r="O202" s="225"/>
      <c r="P202" s="108">
        <v>11</v>
      </c>
      <c r="Q202" s="65">
        <v>24722.32</v>
      </c>
      <c r="R202" s="224">
        <v>11</v>
      </c>
      <c r="S202" s="50">
        <f t="shared" si="17"/>
        <v>24722.32</v>
      </c>
      <c r="T202" s="65">
        <v>24722.32</v>
      </c>
      <c r="U202" s="225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220" t="s">
        <v>334</v>
      </c>
      <c r="G203" s="229" t="s">
        <v>28</v>
      </c>
      <c r="H203" s="117">
        <v>5</v>
      </c>
      <c r="I203" s="37">
        <v>4</v>
      </c>
      <c r="J203" s="37">
        <v>4</v>
      </c>
      <c r="K203" s="68">
        <v>5874.79</v>
      </c>
      <c r="L203" s="285">
        <v>3</v>
      </c>
      <c r="M203" s="39">
        <f t="shared" si="14"/>
        <v>4329.3999999999996</v>
      </c>
      <c r="N203" s="39">
        <f>1921+1204.2+1204.2</f>
        <v>4329.3999999999996</v>
      </c>
      <c r="O203" s="41"/>
      <c r="P203" s="59"/>
      <c r="Q203" s="39"/>
      <c r="R203" s="40"/>
      <c r="S203" s="39">
        <f t="shared" si="17"/>
        <v>1152.5999999999999</v>
      </c>
      <c r="T203" s="68">
        <v>1152.5999999999999</v>
      </c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6"/>
      <c r="B204" s="377" t="s">
        <v>159</v>
      </c>
      <c r="C204" s="377" t="s">
        <v>22</v>
      </c>
      <c r="D204" s="377"/>
      <c r="E204" s="377" t="s">
        <v>160</v>
      </c>
      <c r="F204" s="232" t="s">
        <v>246</v>
      </c>
      <c r="G204" s="95" t="s">
        <v>24</v>
      </c>
      <c r="H204" s="48">
        <v>31</v>
      </c>
      <c r="I204" s="203">
        <v>26</v>
      </c>
      <c r="J204" s="203">
        <v>41</v>
      </c>
      <c r="K204" s="65">
        <v>73501.649999999994</v>
      </c>
      <c r="L204" s="224">
        <v>41</v>
      </c>
      <c r="M204" s="50">
        <f t="shared" si="14"/>
        <v>73501.649999999994</v>
      </c>
      <c r="N204" s="65">
        <v>73501.649999999994</v>
      </c>
      <c r="O204" s="225"/>
      <c r="P204" s="108">
        <v>27</v>
      </c>
      <c r="Q204" s="65">
        <v>44164.37</v>
      </c>
      <c r="R204" s="224">
        <v>27</v>
      </c>
      <c r="S204" s="50">
        <f t="shared" si="17"/>
        <v>44164.37</v>
      </c>
      <c r="T204" s="65">
        <v>44164.37</v>
      </c>
      <c r="U204" s="22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54"/>
      <c r="G205" s="55" t="s">
        <v>28</v>
      </c>
      <c r="H205" s="112">
        <v>7</v>
      </c>
      <c r="I205" s="130">
        <v>2</v>
      </c>
      <c r="J205" s="130">
        <v>2</v>
      </c>
      <c r="K205" s="114">
        <v>2401.25</v>
      </c>
      <c r="L205" s="316">
        <v>2</v>
      </c>
      <c r="M205" s="50">
        <f t="shared" si="14"/>
        <v>2401.25</v>
      </c>
      <c r="N205" s="43">
        <f>1056.55+1344.7</f>
        <v>2401.25</v>
      </c>
      <c r="O205" s="41"/>
      <c r="P205" s="113">
        <v>3</v>
      </c>
      <c r="Q205" s="114">
        <v>5551.69</v>
      </c>
      <c r="R205" s="270">
        <v>3</v>
      </c>
      <c r="S205" s="43">
        <f t="shared" si="17"/>
        <v>5551.69</v>
      </c>
      <c r="T205" s="43">
        <f>5551.69</f>
        <v>5551.69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161</v>
      </c>
      <c r="C206" s="377" t="s">
        <v>22</v>
      </c>
      <c r="D206" s="374"/>
      <c r="E206" s="374" t="s">
        <v>450</v>
      </c>
      <c r="F206" s="204" t="s">
        <v>451</v>
      </c>
      <c r="G206" s="23" t="s">
        <v>24</v>
      </c>
      <c r="H206" s="24">
        <v>17</v>
      </c>
      <c r="I206" s="62">
        <v>5</v>
      </c>
      <c r="J206" s="62">
        <v>10</v>
      </c>
      <c r="K206" s="30">
        <v>14946.76</v>
      </c>
      <c r="L206" s="205">
        <v>10</v>
      </c>
      <c r="M206" s="26">
        <f t="shared" si="14"/>
        <v>14946.76</v>
      </c>
      <c r="N206" s="30">
        <v>14946.76</v>
      </c>
      <c r="O206" s="31"/>
      <c r="P206" s="53">
        <v>12</v>
      </c>
      <c r="Q206" s="30">
        <v>42909.61</v>
      </c>
      <c r="R206" s="205">
        <v>12</v>
      </c>
      <c r="S206" s="26">
        <f t="shared" si="17"/>
        <v>42909.61</v>
      </c>
      <c r="T206" s="30">
        <v>42909.61</v>
      </c>
      <c r="U206" s="31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92"/>
      <c r="F207" s="34"/>
      <c r="G207" s="35" t="s">
        <v>28</v>
      </c>
      <c r="H207" s="66">
        <v>8</v>
      </c>
      <c r="I207" s="37">
        <v>2</v>
      </c>
      <c r="J207" s="37">
        <v>2</v>
      </c>
      <c r="K207" s="68">
        <v>1103.8499999999999</v>
      </c>
      <c r="L207" s="40"/>
      <c r="M207" s="39">
        <f t="shared" si="14"/>
        <v>0</v>
      </c>
      <c r="N207" s="39"/>
      <c r="O207" s="41"/>
      <c r="P207" s="115">
        <v>1</v>
      </c>
      <c r="Q207" s="68">
        <v>0</v>
      </c>
      <c r="R207" s="40"/>
      <c r="S207" s="39">
        <f t="shared" si="17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162</v>
      </c>
      <c r="C208" s="381" t="s">
        <v>39</v>
      </c>
      <c r="D208" s="381" t="s">
        <v>163</v>
      </c>
      <c r="E208" s="374" t="s">
        <v>27</v>
      </c>
      <c r="F208" s="135"/>
      <c r="G208" s="47" t="s">
        <v>24</v>
      </c>
      <c r="H208" s="98"/>
      <c r="I208" s="49"/>
      <c r="J208" s="49"/>
      <c r="K208" s="50"/>
      <c r="L208" s="51"/>
      <c r="M208" s="50">
        <f t="shared" si="14"/>
        <v>0</v>
      </c>
      <c r="N208" s="50"/>
      <c r="O208" s="31"/>
      <c r="P208" s="123"/>
      <c r="Q208" s="50"/>
      <c r="R208" s="51"/>
      <c r="S208" s="50">
        <f t="shared" si="17"/>
        <v>0</v>
      </c>
      <c r="T208" s="50"/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87"/>
      <c r="B209" s="386"/>
      <c r="C209" s="386"/>
      <c r="D209" s="386"/>
      <c r="E209" s="386"/>
      <c r="F209" s="54"/>
      <c r="G209" s="47" t="s">
        <v>25</v>
      </c>
      <c r="H209" s="98"/>
      <c r="I209" s="49"/>
      <c r="J209" s="49"/>
      <c r="K209" s="50"/>
      <c r="L209" s="51"/>
      <c r="M209" s="50">
        <f t="shared" si="14"/>
        <v>0</v>
      </c>
      <c r="N209" s="50"/>
      <c r="O209" s="45"/>
      <c r="P209" s="123"/>
      <c r="Q209" s="50"/>
      <c r="R209" s="51"/>
      <c r="S209" s="50">
        <f t="shared" si="17"/>
        <v>0</v>
      </c>
      <c r="T209" s="50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79"/>
      <c r="B210" s="380"/>
      <c r="C210" s="380"/>
      <c r="D210" s="380"/>
      <c r="E210" s="380"/>
      <c r="F210" s="54"/>
      <c r="G210" s="55" t="s">
        <v>28</v>
      </c>
      <c r="H210" s="116"/>
      <c r="I210" s="57"/>
      <c r="J210" s="57"/>
      <c r="K210" s="43"/>
      <c r="L210" s="44"/>
      <c r="M210" s="43">
        <f t="shared" si="14"/>
        <v>0</v>
      </c>
      <c r="N210" s="43"/>
      <c r="O210" s="41"/>
      <c r="P210" s="113">
        <v>1</v>
      </c>
      <c r="Q210" s="114">
        <v>4602.5</v>
      </c>
      <c r="R210" s="270">
        <v>1</v>
      </c>
      <c r="S210" s="43">
        <f t="shared" si="17"/>
        <v>4602.5</v>
      </c>
      <c r="T210" s="114">
        <v>4602.5</v>
      </c>
      <c r="U210" s="23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72"/>
      <c r="B211" s="374" t="s">
        <v>164</v>
      </c>
      <c r="C211" s="374" t="s">
        <v>22</v>
      </c>
      <c r="D211" s="374"/>
      <c r="E211" s="374" t="s">
        <v>27</v>
      </c>
      <c r="F211" s="22"/>
      <c r="G211" s="23" t="s">
        <v>24</v>
      </c>
      <c r="H211" s="98"/>
      <c r="I211" s="25"/>
      <c r="J211" s="25"/>
      <c r="K211" s="26"/>
      <c r="L211" s="27"/>
      <c r="M211" s="26">
        <f t="shared" si="14"/>
        <v>0</v>
      </c>
      <c r="N211" s="26"/>
      <c r="O211" s="31"/>
      <c r="P211" s="99"/>
      <c r="Q211" s="26"/>
      <c r="R211" s="27"/>
      <c r="S211" s="26">
        <f t="shared" si="17"/>
        <v>0</v>
      </c>
      <c r="T211" s="26"/>
      <c r="U211" s="3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3"/>
      <c r="B212" s="375"/>
      <c r="C212" s="375"/>
      <c r="D212" s="375"/>
      <c r="E212" s="375"/>
      <c r="F212" s="221" t="s">
        <v>335</v>
      </c>
      <c r="G212" s="55" t="s">
        <v>28</v>
      </c>
      <c r="H212" s="56">
        <v>5</v>
      </c>
      <c r="I212" s="130">
        <v>2</v>
      </c>
      <c r="J212" s="130">
        <v>2</v>
      </c>
      <c r="K212" s="114">
        <v>3813.3</v>
      </c>
      <c r="L212" s="270">
        <v>2</v>
      </c>
      <c r="M212" s="43">
        <f t="shared" si="14"/>
        <v>3813.3</v>
      </c>
      <c r="N212" s="43">
        <f>2007+1806.3</f>
        <v>3813.3</v>
      </c>
      <c r="O212" s="41"/>
      <c r="P212" s="113">
        <v>4</v>
      </c>
      <c r="Q212" s="114">
        <v>7395.85</v>
      </c>
      <c r="R212" s="270">
        <v>5</v>
      </c>
      <c r="S212" s="43">
        <f t="shared" si="17"/>
        <v>8452.4000000000015</v>
      </c>
      <c r="T212" s="114">
        <f>4034.1+1921+2497.3</f>
        <v>8452.4000000000015</v>
      </c>
      <c r="U212" s="4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2"/>
      <c r="B213" s="374" t="s">
        <v>165</v>
      </c>
      <c r="C213" s="374"/>
      <c r="D213" s="374"/>
      <c r="E213" s="374"/>
      <c r="F213" s="22"/>
      <c r="G213" s="23" t="s">
        <v>24</v>
      </c>
      <c r="H213" s="119"/>
      <c r="I213" s="25"/>
      <c r="J213" s="25"/>
      <c r="K213" s="26"/>
      <c r="L213" s="27"/>
      <c r="M213" s="26">
        <f t="shared" si="14"/>
        <v>0</v>
      </c>
      <c r="N213" s="26"/>
      <c r="O213" s="31"/>
      <c r="P213" s="99"/>
      <c r="Q213" s="26"/>
      <c r="R213" s="27"/>
      <c r="S213" s="26">
        <f t="shared" si="17"/>
        <v>0</v>
      </c>
      <c r="T213" s="26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0" t="s">
        <v>495</v>
      </c>
      <c r="G214" s="35" t="s">
        <v>25</v>
      </c>
      <c r="H214" s="66">
        <v>2</v>
      </c>
      <c r="I214" s="37">
        <v>1</v>
      </c>
      <c r="J214" s="37">
        <v>1</v>
      </c>
      <c r="K214" s="68">
        <v>2408.4</v>
      </c>
      <c r="L214" s="285">
        <v>1</v>
      </c>
      <c r="M214" s="68">
        <v>2408.4</v>
      </c>
      <c r="N214" s="68">
        <v>2408.4</v>
      </c>
      <c r="O214" s="41"/>
      <c r="P214" s="115">
        <v>2</v>
      </c>
      <c r="Q214" s="68">
        <v>288.14999999999998</v>
      </c>
      <c r="R214" s="285">
        <v>1</v>
      </c>
      <c r="S214" s="68">
        <v>288.14999999999998</v>
      </c>
      <c r="T214" s="68">
        <v>288.14999999999998</v>
      </c>
      <c r="U214" s="4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6"/>
      <c r="B215" s="377" t="s">
        <v>454</v>
      </c>
      <c r="C215" s="377" t="s">
        <v>39</v>
      </c>
      <c r="D215" s="405" t="s">
        <v>455</v>
      </c>
      <c r="E215" s="381" t="s">
        <v>27</v>
      </c>
      <c r="F215" s="204" t="s">
        <v>467</v>
      </c>
      <c r="G215" s="23" t="s">
        <v>24</v>
      </c>
      <c r="H215" s="328">
        <v>4</v>
      </c>
      <c r="I215" s="231">
        <v>4</v>
      </c>
      <c r="J215" s="231">
        <v>4</v>
      </c>
      <c r="K215" s="91">
        <v>5611.73</v>
      </c>
      <c r="L215" s="330">
        <v>4</v>
      </c>
      <c r="M215" s="26">
        <f t="shared" ref="M215:M231" si="18">N215+O215</f>
        <v>5611.73</v>
      </c>
      <c r="N215" s="91">
        <v>5611.73</v>
      </c>
      <c r="O215" s="94"/>
      <c r="P215" s="329"/>
      <c r="Q215" s="91"/>
      <c r="R215" s="330"/>
      <c r="S215" s="26">
        <f t="shared" ref="S215:S231" si="19">T215+U215</f>
        <v>0</v>
      </c>
      <c r="T215" s="79"/>
      <c r="U215" s="336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406"/>
      <c r="E216" s="375"/>
      <c r="F216" s="220"/>
      <c r="G216" s="345" t="s">
        <v>28</v>
      </c>
      <c r="H216" s="346">
        <v>9</v>
      </c>
      <c r="I216" s="37">
        <v>7</v>
      </c>
      <c r="J216" s="37">
        <v>7</v>
      </c>
      <c r="K216" s="68">
        <v>15554.25</v>
      </c>
      <c r="L216" s="285">
        <v>5</v>
      </c>
      <c r="M216" s="87">
        <f t="shared" si="18"/>
        <v>11540.25</v>
      </c>
      <c r="N216" s="39">
        <f>3211.2+2609.1+2609.1+2007+1103.85</f>
        <v>11540.25</v>
      </c>
      <c r="O216" s="41"/>
      <c r="P216" s="217"/>
      <c r="Q216" s="68"/>
      <c r="R216" s="285"/>
      <c r="S216" s="87">
        <f t="shared" si="19"/>
        <v>0</v>
      </c>
      <c r="T216" s="339"/>
      <c r="U216" s="34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82"/>
      <c r="B217" s="381" t="s">
        <v>166</v>
      </c>
      <c r="C217" s="381" t="s">
        <v>22</v>
      </c>
      <c r="D217" s="377"/>
      <c r="E217" s="381" t="s">
        <v>27</v>
      </c>
      <c r="F217" s="232" t="s">
        <v>420</v>
      </c>
      <c r="G217" s="347" t="s">
        <v>24</v>
      </c>
      <c r="H217" s="348">
        <v>1</v>
      </c>
      <c r="I217" s="96"/>
      <c r="J217" s="96"/>
      <c r="K217" s="81"/>
      <c r="L217" s="80"/>
      <c r="M217" s="81">
        <f t="shared" si="18"/>
        <v>0</v>
      </c>
      <c r="N217" s="81"/>
      <c r="O217" s="82"/>
      <c r="P217" s="78">
        <v>4</v>
      </c>
      <c r="Q217" s="79">
        <v>17868.150000000001</v>
      </c>
      <c r="R217" s="268">
        <v>4</v>
      </c>
      <c r="S217" s="81">
        <f t="shared" si="19"/>
        <v>17868.150000000001</v>
      </c>
      <c r="T217" s="79">
        <v>17868.150000000001</v>
      </c>
      <c r="U217" s="269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375"/>
      <c r="E218" s="375"/>
      <c r="F218" s="226"/>
      <c r="G218" s="227" t="s">
        <v>28</v>
      </c>
      <c r="H218" s="334"/>
      <c r="I218" s="57"/>
      <c r="J218" s="57"/>
      <c r="K218" s="43"/>
      <c r="L218" s="44"/>
      <c r="M218" s="43">
        <f t="shared" si="18"/>
        <v>0</v>
      </c>
      <c r="N218" s="43"/>
      <c r="O218" s="45"/>
      <c r="P218" s="273"/>
      <c r="Q218" s="211"/>
      <c r="R218" s="210"/>
      <c r="S218" s="211">
        <f t="shared" si="19"/>
        <v>0</v>
      </c>
      <c r="T218" s="211"/>
      <c r="U218" s="21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2"/>
      <c r="B219" s="374" t="s">
        <v>167</v>
      </c>
      <c r="C219" s="374" t="s">
        <v>46</v>
      </c>
      <c r="D219" s="374" t="s">
        <v>168</v>
      </c>
      <c r="E219" s="374" t="s">
        <v>27</v>
      </c>
      <c r="F219" s="204" t="s">
        <v>421</v>
      </c>
      <c r="G219" s="176" t="s">
        <v>24</v>
      </c>
      <c r="H219" s="248">
        <v>5</v>
      </c>
      <c r="I219" s="62">
        <v>5</v>
      </c>
      <c r="J219" s="62">
        <v>5</v>
      </c>
      <c r="K219" s="30">
        <v>7982.3</v>
      </c>
      <c r="L219" s="205">
        <v>4</v>
      </c>
      <c r="M219" s="26">
        <f t="shared" si="18"/>
        <v>6502.43</v>
      </c>
      <c r="N219" s="30">
        <v>6502.43</v>
      </c>
      <c r="O219" s="308"/>
      <c r="P219" s="99"/>
      <c r="Q219" s="26"/>
      <c r="R219" s="27"/>
      <c r="S219" s="26">
        <f t="shared" si="19"/>
        <v>0</v>
      </c>
      <c r="T219" s="26"/>
      <c r="U219" s="28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0" t="s">
        <v>247</v>
      </c>
      <c r="G220" s="229" t="s">
        <v>28</v>
      </c>
      <c r="H220" s="258">
        <v>9</v>
      </c>
      <c r="I220" s="37">
        <v>6</v>
      </c>
      <c r="J220" s="37">
        <v>6</v>
      </c>
      <c r="K220" s="68">
        <v>14608.15</v>
      </c>
      <c r="L220" s="285">
        <v>5</v>
      </c>
      <c r="M220" s="39">
        <f t="shared" si="18"/>
        <v>19304.88</v>
      </c>
      <c r="N220" s="39">
        <f>1985.09+7101.24+2689.4+4418.3+1705.95+1404.9</f>
        <v>19304.88</v>
      </c>
      <c r="O220" s="309"/>
      <c r="P220" s="310">
        <v>7</v>
      </c>
      <c r="Q220" s="245">
        <v>33570.1</v>
      </c>
      <c r="R220" s="285">
        <v>7</v>
      </c>
      <c r="S220" s="39">
        <f t="shared" si="19"/>
        <v>24543.769999999997</v>
      </c>
      <c r="T220" s="68">
        <f>4034.1+1152.6+2881.5+2497.3+1921+6638.37+5418.9</f>
        <v>24543.769999999997</v>
      </c>
      <c r="U220" s="4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6"/>
      <c r="B221" s="377" t="s">
        <v>169</v>
      </c>
      <c r="C221" s="377" t="s">
        <v>39</v>
      </c>
      <c r="D221" s="377"/>
      <c r="E221" s="377" t="s">
        <v>27</v>
      </c>
      <c r="F221" s="72"/>
      <c r="G221" s="291" t="s">
        <v>24</v>
      </c>
      <c r="H221" s="98"/>
      <c r="I221" s="49"/>
      <c r="J221" s="49"/>
      <c r="K221" s="50"/>
      <c r="L221" s="51"/>
      <c r="M221" s="50">
        <f t="shared" si="18"/>
        <v>0</v>
      </c>
      <c r="N221" s="50"/>
      <c r="O221" s="31"/>
      <c r="P221" s="277"/>
      <c r="Q221" s="81"/>
      <c r="R221" s="80"/>
      <c r="S221" s="81">
        <f t="shared" si="19"/>
        <v>0</v>
      </c>
      <c r="T221" s="81"/>
      <c r="U221" s="219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336</v>
      </c>
      <c r="G222" s="229" t="s">
        <v>28</v>
      </c>
      <c r="H222" s="153">
        <v>5</v>
      </c>
      <c r="I222" s="130">
        <v>2</v>
      </c>
      <c r="J222" s="130">
        <v>2</v>
      </c>
      <c r="K222" s="114">
        <v>2611.9</v>
      </c>
      <c r="L222" s="270">
        <v>1</v>
      </c>
      <c r="M222" s="43">
        <f t="shared" si="18"/>
        <v>1404.9</v>
      </c>
      <c r="N222" s="43">
        <f>1404.9</f>
        <v>1404.9</v>
      </c>
      <c r="O222" s="41"/>
      <c r="P222" s="113">
        <v>1</v>
      </c>
      <c r="Q222" s="114">
        <v>3842</v>
      </c>
      <c r="R222" s="316">
        <v>1</v>
      </c>
      <c r="S222" s="50">
        <f t="shared" si="19"/>
        <v>3842</v>
      </c>
      <c r="T222" s="43">
        <f>3842</f>
        <v>3842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2"/>
      <c r="B223" s="374" t="s">
        <v>170</v>
      </c>
      <c r="C223" s="374" t="s">
        <v>22</v>
      </c>
      <c r="D223" s="374"/>
      <c r="E223" s="374" t="s">
        <v>160</v>
      </c>
      <c r="F223" s="232" t="s">
        <v>248</v>
      </c>
      <c r="G223" s="23" t="s">
        <v>24</v>
      </c>
      <c r="H223" s="48">
        <v>31</v>
      </c>
      <c r="I223" s="62">
        <v>30</v>
      </c>
      <c r="J223" s="62">
        <v>39</v>
      </c>
      <c r="K223" s="30">
        <v>79827.37</v>
      </c>
      <c r="L223" s="205">
        <v>39</v>
      </c>
      <c r="M223" s="26">
        <f t="shared" si="18"/>
        <v>79827.37</v>
      </c>
      <c r="N223" s="30">
        <v>79827.37</v>
      </c>
      <c r="O223" s="225"/>
      <c r="P223" s="53">
        <v>25</v>
      </c>
      <c r="Q223" s="30">
        <v>74173.19</v>
      </c>
      <c r="R223" s="205">
        <v>25</v>
      </c>
      <c r="S223" s="26">
        <f t="shared" si="19"/>
        <v>74173.19</v>
      </c>
      <c r="T223" s="30">
        <v>74173.19</v>
      </c>
      <c r="U223" s="225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105"/>
      <c r="G224" s="35" t="s">
        <v>28</v>
      </c>
      <c r="H224" s="116"/>
      <c r="I224" s="38"/>
      <c r="J224" s="38"/>
      <c r="K224" s="39"/>
      <c r="L224" s="40"/>
      <c r="M224" s="39">
        <f t="shared" si="18"/>
        <v>0</v>
      </c>
      <c r="N224" s="39"/>
      <c r="O224" s="41"/>
      <c r="P224" s="59"/>
      <c r="Q224" s="39"/>
      <c r="R224" s="40"/>
      <c r="S224" s="39">
        <f t="shared" si="19"/>
        <v>0</v>
      </c>
      <c r="T224" s="39"/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171</v>
      </c>
      <c r="C225" s="374" t="s">
        <v>39</v>
      </c>
      <c r="D225" s="374" t="s">
        <v>374</v>
      </c>
      <c r="E225" s="374" t="s">
        <v>27</v>
      </c>
      <c r="F225" s="223" t="s">
        <v>375</v>
      </c>
      <c r="G225" s="176" t="s">
        <v>24</v>
      </c>
      <c r="H225" s="48">
        <v>5</v>
      </c>
      <c r="I225" s="203">
        <v>3</v>
      </c>
      <c r="J225" s="203">
        <v>3</v>
      </c>
      <c r="K225" s="65">
        <v>6059.73</v>
      </c>
      <c r="L225" s="224">
        <v>3</v>
      </c>
      <c r="M225" s="50">
        <f t="shared" si="18"/>
        <v>6059.73</v>
      </c>
      <c r="N225" s="65">
        <v>6059.73</v>
      </c>
      <c r="O225" s="31"/>
      <c r="P225" s="108">
        <v>7</v>
      </c>
      <c r="Q225" s="65">
        <v>19784.07</v>
      </c>
      <c r="R225" s="224">
        <v>7</v>
      </c>
      <c r="S225" s="50">
        <f t="shared" si="19"/>
        <v>19784.07</v>
      </c>
      <c r="T225" s="65">
        <v>19784.07</v>
      </c>
      <c r="U225" s="3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220" t="s">
        <v>337</v>
      </c>
      <c r="G226" s="229" t="s">
        <v>28</v>
      </c>
      <c r="H226" s="133">
        <v>5</v>
      </c>
      <c r="I226" s="37">
        <v>1</v>
      </c>
      <c r="J226" s="37">
        <v>1</v>
      </c>
      <c r="K226" s="68">
        <v>3457.8</v>
      </c>
      <c r="L226" s="350">
        <v>1</v>
      </c>
      <c r="M226" s="351">
        <f t="shared" si="18"/>
        <v>3457.8</v>
      </c>
      <c r="N226" s="39">
        <f>3457.8</f>
        <v>3457.8</v>
      </c>
      <c r="O226" s="41"/>
      <c r="P226" s="115">
        <v>3</v>
      </c>
      <c r="Q226" s="68">
        <v>12518</v>
      </c>
      <c r="R226" s="285">
        <v>3</v>
      </c>
      <c r="S226" s="39">
        <f t="shared" si="19"/>
        <v>12518</v>
      </c>
      <c r="T226" s="39">
        <f>3073.6+4226.2+5218.2</f>
        <v>12518</v>
      </c>
      <c r="U226" s="4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477</v>
      </c>
      <c r="C227" s="374"/>
      <c r="D227" s="374"/>
      <c r="E227" s="374"/>
      <c r="F227" s="232"/>
      <c r="G227" s="176" t="s">
        <v>24</v>
      </c>
      <c r="H227" s="260"/>
      <c r="I227" s="231"/>
      <c r="J227" s="231"/>
      <c r="K227" s="91"/>
      <c r="L227" s="330"/>
      <c r="M227" s="50">
        <f t="shared" si="18"/>
        <v>0</v>
      </c>
      <c r="N227" s="91"/>
      <c r="O227" s="331"/>
      <c r="P227" s="329"/>
      <c r="Q227" s="91"/>
      <c r="R227" s="330"/>
      <c r="S227" s="142">
        <f t="shared" si="19"/>
        <v>0</v>
      </c>
      <c r="T227" s="91"/>
      <c r="U227" s="3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305"/>
      <c r="G228" s="229" t="s">
        <v>28</v>
      </c>
      <c r="H228" s="117">
        <v>1</v>
      </c>
      <c r="I228" s="208"/>
      <c r="J228" s="208"/>
      <c r="K228" s="209"/>
      <c r="L228" s="290"/>
      <c r="M228" s="87">
        <f t="shared" si="18"/>
        <v>0</v>
      </c>
      <c r="N228" s="209"/>
      <c r="O228" s="234"/>
      <c r="P228" s="262"/>
      <c r="Q228" s="209"/>
      <c r="R228" s="290"/>
      <c r="S228" s="87">
        <f t="shared" si="19"/>
        <v>0</v>
      </c>
      <c r="T228" s="209"/>
      <c r="U228" s="263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172</v>
      </c>
      <c r="C229" s="374" t="s">
        <v>39</v>
      </c>
      <c r="D229" s="374" t="s">
        <v>303</v>
      </c>
      <c r="E229" s="374" t="s">
        <v>121</v>
      </c>
      <c r="F229" s="204" t="s">
        <v>304</v>
      </c>
      <c r="G229" s="176" t="s">
        <v>24</v>
      </c>
      <c r="H229" s="265">
        <v>41</v>
      </c>
      <c r="I229" s="62">
        <v>27</v>
      </c>
      <c r="J229" s="62">
        <v>28</v>
      </c>
      <c r="K229" s="30">
        <v>25358.09</v>
      </c>
      <c r="L229" s="205">
        <v>28</v>
      </c>
      <c r="M229" s="26">
        <f t="shared" si="18"/>
        <v>25358.09</v>
      </c>
      <c r="N229" s="30">
        <v>25358.09</v>
      </c>
      <c r="O229" s="269"/>
      <c r="P229" s="53">
        <v>34</v>
      </c>
      <c r="Q229" s="30">
        <v>98961.54</v>
      </c>
      <c r="R229" s="205">
        <v>33</v>
      </c>
      <c r="S229" s="26">
        <f t="shared" si="19"/>
        <v>98961.54</v>
      </c>
      <c r="T229" s="30">
        <v>98961.54</v>
      </c>
      <c r="U229" s="2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220" t="s">
        <v>496</v>
      </c>
      <c r="G230" s="229" t="s">
        <v>25</v>
      </c>
      <c r="H230" s="102"/>
      <c r="I230" s="57"/>
      <c r="J230" s="57"/>
      <c r="K230" s="43"/>
      <c r="L230" s="44"/>
      <c r="M230" s="43">
        <f t="shared" si="18"/>
        <v>0</v>
      </c>
      <c r="N230" s="43"/>
      <c r="O230" s="41"/>
      <c r="P230" s="113">
        <v>1</v>
      </c>
      <c r="Q230" s="114">
        <v>1728.9</v>
      </c>
      <c r="R230" s="270">
        <v>1</v>
      </c>
      <c r="S230" s="43">
        <f t="shared" si="19"/>
        <v>1728.9</v>
      </c>
      <c r="T230" s="114">
        <v>1728.9</v>
      </c>
      <c r="U230" s="23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173</v>
      </c>
      <c r="C231" s="374" t="s">
        <v>39</v>
      </c>
      <c r="D231" s="374" t="s">
        <v>338</v>
      </c>
      <c r="E231" s="374" t="s">
        <v>121</v>
      </c>
      <c r="F231" s="232" t="s">
        <v>376</v>
      </c>
      <c r="G231" s="23" t="s">
        <v>24</v>
      </c>
      <c r="H231" s="61">
        <v>60</v>
      </c>
      <c r="I231" s="62">
        <v>25</v>
      </c>
      <c r="J231" s="62">
        <v>25</v>
      </c>
      <c r="K231" s="30">
        <v>29688.26</v>
      </c>
      <c r="L231" s="205">
        <v>25</v>
      </c>
      <c r="M231" s="26">
        <f t="shared" si="18"/>
        <v>29688.26</v>
      </c>
      <c r="N231" s="30">
        <v>29688.26</v>
      </c>
      <c r="O231" s="31"/>
      <c r="P231" s="53">
        <v>9</v>
      </c>
      <c r="Q231" s="30">
        <v>5292.88</v>
      </c>
      <c r="R231" s="205">
        <v>5</v>
      </c>
      <c r="S231" s="26">
        <f t="shared" si="19"/>
        <v>4887.8599999999997</v>
      </c>
      <c r="T231" s="30">
        <v>4887.8599999999997</v>
      </c>
      <c r="U231" s="3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339</v>
      </c>
      <c r="G232" s="35" t="s">
        <v>25</v>
      </c>
      <c r="H232" s="117">
        <v>17</v>
      </c>
      <c r="I232" s="37">
        <v>8</v>
      </c>
      <c r="J232" s="37">
        <v>8</v>
      </c>
      <c r="K232" s="68">
        <v>5939.36</v>
      </c>
      <c r="L232" s="285">
        <v>8</v>
      </c>
      <c r="M232" s="68">
        <v>5939.36</v>
      </c>
      <c r="N232" s="68">
        <v>5939.36</v>
      </c>
      <c r="O232" s="234"/>
      <c r="P232" s="115">
        <v>4</v>
      </c>
      <c r="Q232" s="68">
        <v>14877.15</v>
      </c>
      <c r="R232" s="285">
        <v>4</v>
      </c>
      <c r="S232" s="68">
        <v>14877.15</v>
      </c>
      <c r="T232" s="68">
        <v>14877.15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174</v>
      </c>
      <c r="C233" s="374" t="s">
        <v>39</v>
      </c>
      <c r="D233" s="374" t="s">
        <v>175</v>
      </c>
      <c r="E233" s="374" t="s">
        <v>176</v>
      </c>
      <c r="F233" s="204" t="s">
        <v>377</v>
      </c>
      <c r="G233" s="176" t="s">
        <v>24</v>
      </c>
      <c r="H233" s="48">
        <v>30</v>
      </c>
      <c r="I233" s="203">
        <v>24</v>
      </c>
      <c r="J233" s="203">
        <v>29</v>
      </c>
      <c r="K233" s="65">
        <v>59152.57</v>
      </c>
      <c r="L233" s="224">
        <v>29</v>
      </c>
      <c r="M233" s="50">
        <f>N233+O233</f>
        <v>59152.57</v>
      </c>
      <c r="N233" s="65">
        <v>59152.57</v>
      </c>
      <c r="O233" s="225"/>
      <c r="P233" s="108">
        <v>22</v>
      </c>
      <c r="Q233" s="65">
        <v>80070.350000000006</v>
      </c>
      <c r="R233" s="224">
        <v>22</v>
      </c>
      <c r="S233" s="50">
        <f>T233+U233</f>
        <v>80070.350000000006</v>
      </c>
      <c r="T233" s="65">
        <v>80070.350000000006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220" t="s">
        <v>340</v>
      </c>
      <c r="G234" s="229" t="s">
        <v>25</v>
      </c>
      <c r="H234" s="153">
        <v>2</v>
      </c>
      <c r="I234" s="130">
        <v>2</v>
      </c>
      <c r="J234" s="130">
        <v>2</v>
      </c>
      <c r="K234" s="114">
        <v>11239.2</v>
      </c>
      <c r="L234" s="270">
        <v>2</v>
      </c>
      <c r="M234" s="114">
        <v>11239.2</v>
      </c>
      <c r="N234" s="114">
        <v>11239.2</v>
      </c>
      <c r="O234" s="41"/>
      <c r="P234" s="113">
        <v>11</v>
      </c>
      <c r="Q234" s="114">
        <v>54930.46</v>
      </c>
      <c r="R234" s="270">
        <v>11</v>
      </c>
      <c r="S234" s="114">
        <v>54930.46</v>
      </c>
      <c r="T234" s="114">
        <v>54930.46</v>
      </c>
      <c r="U234" s="23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177</v>
      </c>
      <c r="C235" s="377" t="s">
        <v>39</v>
      </c>
      <c r="D235" s="374" t="s">
        <v>226</v>
      </c>
      <c r="E235" s="374" t="s">
        <v>27</v>
      </c>
      <c r="F235" s="204" t="s">
        <v>227</v>
      </c>
      <c r="G235" s="23" t="s">
        <v>24</v>
      </c>
      <c r="H235" s="48">
        <v>14</v>
      </c>
      <c r="I235" s="62">
        <v>11</v>
      </c>
      <c r="J235" s="62">
        <v>11</v>
      </c>
      <c r="K235" s="30">
        <v>15789.33</v>
      </c>
      <c r="L235" s="205">
        <v>5</v>
      </c>
      <c r="M235" s="26">
        <f t="shared" ref="M235:M261" si="20">N235+O235</f>
        <v>8372.27</v>
      </c>
      <c r="N235" s="30">
        <v>8372.27</v>
      </c>
      <c r="O235" s="225"/>
      <c r="P235" s="53">
        <v>16</v>
      </c>
      <c r="Q235" s="30">
        <v>53460.74</v>
      </c>
      <c r="R235" s="205">
        <v>16</v>
      </c>
      <c r="S235" s="26">
        <f t="shared" ref="S235:S261" si="21">T235+U235</f>
        <v>53460.74</v>
      </c>
      <c r="T235" s="30">
        <v>53460.74</v>
      </c>
      <c r="U235" s="22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80"/>
      <c r="D236" s="375"/>
      <c r="E236" s="375"/>
      <c r="F236" s="105"/>
      <c r="G236" s="55" t="s">
        <v>28</v>
      </c>
      <c r="H236" s="118"/>
      <c r="I236" s="57"/>
      <c r="J236" s="57"/>
      <c r="K236" s="43"/>
      <c r="L236" s="44"/>
      <c r="M236" s="43">
        <f t="shared" si="20"/>
        <v>0</v>
      </c>
      <c r="N236" s="43"/>
      <c r="O236" s="41"/>
      <c r="P236" s="103"/>
      <c r="Q236" s="43"/>
      <c r="R236" s="44"/>
      <c r="S236" s="43">
        <f t="shared" si="21"/>
        <v>0</v>
      </c>
      <c r="T236" s="43"/>
      <c r="U236" s="4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178</v>
      </c>
      <c r="C237" s="374" t="s">
        <v>22</v>
      </c>
      <c r="D237" s="374"/>
      <c r="E237" s="374" t="s">
        <v>27</v>
      </c>
      <c r="F237" s="232" t="s">
        <v>452</v>
      </c>
      <c r="G237" s="176" t="s">
        <v>24</v>
      </c>
      <c r="H237" s="61">
        <v>9</v>
      </c>
      <c r="I237" s="62">
        <v>8</v>
      </c>
      <c r="J237" s="62">
        <v>10</v>
      </c>
      <c r="K237" s="30">
        <v>14011.64</v>
      </c>
      <c r="L237" s="205">
        <v>10</v>
      </c>
      <c r="M237" s="26">
        <f t="shared" si="20"/>
        <v>14011.64</v>
      </c>
      <c r="N237" s="30">
        <v>14011.64</v>
      </c>
      <c r="O237" s="31"/>
      <c r="P237" s="29">
        <v>1</v>
      </c>
      <c r="Q237" s="30">
        <v>2466.56</v>
      </c>
      <c r="R237" s="205">
        <v>1</v>
      </c>
      <c r="S237" s="26">
        <f t="shared" si="21"/>
        <v>2466.56</v>
      </c>
      <c r="T237" s="30">
        <v>2466.56</v>
      </c>
      <c r="U237" s="3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75"/>
      <c r="D238" s="375"/>
      <c r="E238" s="375"/>
      <c r="F238" s="105"/>
      <c r="G238" s="252" t="s">
        <v>28</v>
      </c>
      <c r="H238" s="106"/>
      <c r="I238" s="38"/>
      <c r="J238" s="38"/>
      <c r="K238" s="39"/>
      <c r="L238" s="40"/>
      <c r="M238" s="39">
        <f t="shared" si="20"/>
        <v>0</v>
      </c>
      <c r="N238" s="39"/>
      <c r="O238" s="41"/>
      <c r="P238" s="69"/>
      <c r="Q238" s="39"/>
      <c r="R238" s="40"/>
      <c r="S238" s="39">
        <f t="shared" si="21"/>
        <v>0</v>
      </c>
      <c r="T238" s="39"/>
      <c r="U238" s="4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445</v>
      </c>
      <c r="C239" s="374"/>
      <c r="D239" s="374"/>
      <c r="E239" s="374" t="s">
        <v>484</v>
      </c>
      <c r="F239" s="72"/>
      <c r="G239" s="176" t="s">
        <v>24</v>
      </c>
      <c r="H239" s="265"/>
      <c r="I239" s="266"/>
      <c r="J239" s="96"/>
      <c r="K239" s="81"/>
      <c r="L239" s="80"/>
      <c r="M239" s="142">
        <f t="shared" si="20"/>
        <v>0</v>
      </c>
      <c r="N239" s="81"/>
      <c r="O239" s="82"/>
      <c r="P239" s="295"/>
      <c r="Q239" s="81"/>
      <c r="R239" s="80"/>
      <c r="S239" s="142">
        <f t="shared" si="21"/>
        <v>0</v>
      </c>
      <c r="T239" s="81"/>
      <c r="U239" s="8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226"/>
      <c r="G240" s="252" t="s">
        <v>28</v>
      </c>
      <c r="H240" s="302">
        <v>1</v>
      </c>
      <c r="I240" s="261"/>
      <c r="J240" s="261"/>
      <c r="K240" s="211"/>
      <c r="L240" s="210"/>
      <c r="M240" s="39">
        <f t="shared" si="20"/>
        <v>0</v>
      </c>
      <c r="N240" s="211"/>
      <c r="O240" s="212"/>
      <c r="P240" s="284"/>
      <c r="Q240" s="211"/>
      <c r="R240" s="210"/>
      <c r="S240" s="39">
        <f t="shared" si="21"/>
        <v>0</v>
      </c>
      <c r="T240" s="211"/>
      <c r="U240" s="21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179</v>
      </c>
      <c r="C241" s="374" t="s">
        <v>471</v>
      </c>
      <c r="D241" s="374" t="s">
        <v>472</v>
      </c>
      <c r="E241" s="374" t="s">
        <v>27</v>
      </c>
      <c r="F241" s="204" t="s">
        <v>473</v>
      </c>
      <c r="G241" s="176" t="s">
        <v>24</v>
      </c>
      <c r="H241" s="61">
        <v>2</v>
      </c>
      <c r="I241" s="25"/>
      <c r="J241" s="25"/>
      <c r="K241" s="26"/>
      <c r="L241" s="27"/>
      <c r="M241" s="26">
        <f t="shared" si="20"/>
        <v>0</v>
      </c>
      <c r="N241" s="26"/>
      <c r="O241" s="28"/>
      <c r="P241" s="29">
        <v>4</v>
      </c>
      <c r="Q241" s="30">
        <v>0</v>
      </c>
      <c r="R241" s="27"/>
      <c r="S241" s="26">
        <f t="shared" si="21"/>
        <v>0</v>
      </c>
      <c r="T241" s="26"/>
      <c r="U241" s="28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105"/>
      <c r="G242" s="229" t="s">
        <v>28</v>
      </c>
      <c r="H242" s="298"/>
      <c r="I242" s="261"/>
      <c r="J242" s="261"/>
      <c r="K242" s="211"/>
      <c r="L242" s="210"/>
      <c r="M242" s="211">
        <f t="shared" si="20"/>
        <v>0</v>
      </c>
      <c r="N242" s="211"/>
      <c r="O242" s="212"/>
      <c r="P242" s="284"/>
      <c r="Q242" s="211"/>
      <c r="R242" s="210"/>
      <c r="S242" s="211">
        <f t="shared" si="21"/>
        <v>0</v>
      </c>
      <c r="T242" s="211"/>
      <c r="U242" s="21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2"/>
      <c r="B243" s="374" t="s">
        <v>378</v>
      </c>
      <c r="C243" s="374" t="s">
        <v>46</v>
      </c>
      <c r="D243" s="374" t="s">
        <v>422</v>
      </c>
      <c r="E243" s="374" t="s">
        <v>27</v>
      </c>
      <c r="F243" s="232" t="s">
        <v>423</v>
      </c>
      <c r="G243" s="213" t="s">
        <v>24</v>
      </c>
      <c r="H243" s="61">
        <v>25</v>
      </c>
      <c r="I243" s="62">
        <v>18</v>
      </c>
      <c r="J243" s="62">
        <v>22</v>
      </c>
      <c r="K243" s="30">
        <v>42558.96</v>
      </c>
      <c r="L243" s="205">
        <v>21</v>
      </c>
      <c r="M243" s="26">
        <f t="shared" si="20"/>
        <v>38410.49</v>
      </c>
      <c r="N243" s="30">
        <v>38410.49</v>
      </c>
      <c r="O243" s="28"/>
      <c r="P243" s="214"/>
      <c r="Q243" s="30"/>
      <c r="R243" s="205"/>
      <c r="S243" s="26">
        <f t="shared" si="21"/>
        <v>0</v>
      </c>
      <c r="T243" s="30"/>
      <c r="U243" s="241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3"/>
      <c r="B244" s="375"/>
      <c r="C244" s="375"/>
      <c r="D244" s="375"/>
      <c r="E244" s="375"/>
      <c r="F244" s="220"/>
      <c r="G244" s="215" t="s">
        <v>28</v>
      </c>
      <c r="H244" s="117">
        <v>6</v>
      </c>
      <c r="I244" s="37">
        <v>1</v>
      </c>
      <c r="J244" s="37">
        <v>1</v>
      </c>
      <c r="K244" s="68">
        <v>1152.5999999999999</v>
      </c>
      <c r="L244" s="285">
        <v>1</v>
      </c>
      <c r="M244" s="39">
        <f t="shared" si="20"/>
        <v>1152.5999999999999</v>
      </c>
      <c r="N244" s="39">
        <f>1152.6</f>
        <v>1152.5999999999999</v>
      </c>
      <c r="O244" s="41"/>
      <c r="P244" s="217"/>
      <c r="Q244" s="68"/>
      <c r="R244" s="285"/>
      <c r="S244" s="39">
        <f t="shared" si="21"/>
        <v>0</v>
      </c>
      <c r="T244" s="68"/>
      <c r="U244" s="23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6"/>
      <c r="B245" s="377" t="s">
        <v>180</v>
      </c>
      <c r="C245" s="377" t="s">
        <v>46</v>
      </c>
      <c r="D245" s="377" t="s">
        <v>181</v>
      </c>
      <c r="E245" s="377" t="s">
        <v>27</v>
      </c>
      <c r="F245" s="232" t="s">
        <v>228</v>
      </c>
      <c r="G245" s="95" t="s">
        <v>24</v>
      </c>
      <c r="H245" s="265">
        <v>20</v>
      </c>
      <c r="I245" s="266">
        <v>11</v>
      </c>
      <c r="J245" s="266">
        <v>12</v>
      </c>
      <c r="K245" s="79">
        <v>21720.67</v>
      </c>
      <c r="L245" s="268">
        <v>12</v>
      </c>
      <c r="M245" s="81">
        <f t="shared" si="20"/>
        <v>21720.67</v>
      </c>
      <c r="N245" s="79">
        <v>21720.67</v>
      </c>
      <c r="O245" s="219"/>
      <c r="P245" s="267">
        <v>17</v>
      </c>
      <c r="Q245" s="79">
        <v>74693.53</v>
      </c>
      <c r="R245" s="268">
        <v>17</v>
      </c>
      <c r="S245" s="26">
        <f t="shared" si="21"/>
        <v>74693.53</v>
      </c>
      <c r="T245" s="79">
        <v>74693.53</v>
      </c>
      <c r="U245" s="269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9"/>
      <c r="B246" s="380"/>
      <c r="C246" s="380"/>
      <c r="D246" s="380"/>
      <c r="E246" s="380"/>
      <c r="F246" s="54"/>
      <c r="G246" s="55" t="s">
        <v>28</v>
      </c>
      <c r="H246" s="116"/>
      <c r="I246" s="57"/>
      <c r="J246" s="57"/>
      <c r="K246" s="43"/>
      <c r="L246" s="128"/>
      <c r="M246" s="50">
        <f t="shared" si="20"/>
        <v>0</v>
      </c>
      <c r="N246" s="43"/>
      <c r="O246" s="41"/>
      <c r="P246" s="113">
        <v>3</v>
      </c>
      <c r="Q246" s="114">
        <v>15175.95</v>
      </c>
      <c r="R246" s="270">
        <v>3</v>
      </c>
      <c r="S246" s="43">
        <f t="shared" si="21"/>
        <v>2881.5499999999997</v>
      </c>
      <c r="T246" s="114">
        <f>2209.2+672.35</f>
        <v>2881.5499999999997</v>
      </c>
      <c r="U246" s="45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6.5" customHeight="1">
      <c r="A247" s="372"/>
      <c r="B247" s="374" t="s">
        <v>182</v>
      </c>
      <c r="C247" s="374" t="s">
        <v>46</v>
      </c>
      <c r="D247" s="374" t="s">
        <v>181</v>
      </c>
      <c r="E247" s="374" t="s">
        <v>27</v>
      </c>
      <c r="F247" s="204" t="s">
        <v>379</v>
      </c>
      <c r="G247" s="23" t="s">
        <v>24</v>
      </c>
      <c r="H247" s="48">
        <v>19</v>
      </c>
      <c r="I247" s="62">
        <v>19</v>
      </c>
      <c r="J247" s="62">
        <v>21</v>
      </c>
      <c r="K247" s="30">
        <v>30857.77</v>
      </c>
      <c r="L247" s="205">
        <v>21</v>
      </c>
      <c r="M247" s="26">
        <f t="shared" si="20"/>
        <v>30857.77</v>
      </c>
      <c r="N247" s="30">
        <v>30857.77</v>
      </c>
      <c r="O247" s="31"/>
      <c r="P247" s="53">
        <v>13</v>
      </c>
      <c r="Q247" s="30">
        <v>80512.5</v>
      </c>
      <c r="R247" s="205">
        <v>13</v>
      </c>
      <c r="S247" s="26">
        <f t="shared" si="21"/>
        <v>80512.5</v>
      </c>
      <c r="T247" s="30">
        <v>80512.5</v>
      </c>
      <c r="U247" s="100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6.5" customHeight="1">
      <c r="A248" s="373"/>
      <c r="B248" s="375"/>
      <c r="C248" s="375"/>
      <c r="D248" s="375"/>
      <c r="E248" s="375"/>
      <c r="F248" s="34"/>
      <c r="G248" s="35" t="s">
        <v>28</v>
      </c>
      <c r="H248" s="116"/>
      <c r="I248" s="38"/>
      <c r="J248" s="38"/>
      <c r="K248" s="39"/>
      <c r="L248" s="40"/>
      <c r="M248" s="39">
        <f t="shared" si="20"/>
        <v>0</v>
      </c>
      <c r="N248" s="39"/>
      <c r="O248" s="41"/>
      <c r="P248" s="115">
        <v>2</v>
      </c>
      <c r="Q248" s="68">
        <v>4418.3</v>
      </c>
      <c r="R248" s="285">
        <v>2</v>
      </c>
      <c r="S248" s="39">
        <f t="shared" si="21"/>
        <v>4418.3</v>
      </c>
      <c r="T248" s="39">
        <f>3073.6+1344.7</f>
        <v>4418.3</v>
      </c>
      <c r="U248" s="41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70"/>
      <c r="B249" s="377" t="s">
        <v>480</v>
      </c>
      <c r="C249" s="377" t="s">
        <v>39</v>
      </c>
      <c r="D249" s="377" t="s">
        <v>481</v>
      </c>
      <c r="E249" s="377"/>
      <c r="F249" s="232"/>
      <c r="G249" s="23" t="s">
        <v>24</v>
      </c>
      <c r="H249" s="48"/>
      <c r="I249" s="266"/>
      <c r="J249" s="266"/>
      <c r="K249" s="79"/>
      <c r="L249" s="268"/>
      <c r="M249" s="142">
        <f t="shared" si="20"/>
        <v>0</v>
      </c>
      <c r="N249" s="79"/>
      <c r="O249" s="82"/>
      <c r="P249" s="267"/>
      <c r="Q249" s="79"/>
      <c r="R249" s="268"/>
      <c r="S249" s="142">
        <f t="shared" si="21"/>
        <v>0</v>
      </c>
      <c r="T249" s="79"/>
      <c r="U249" s="336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55"/>
      <c r="B250" s="375"/>
      <c r="C250" s="375"/>
      <c r="D250" s="375"/>
      <c r="E250" s="375"/>
      <c r="F250" s="356"/>
      <c r="G250" s="35" t="s">
        <v>28</v>
      </c>
      <c r="H250" s="353">
        <v>7</v>
      </c>
      <c r="I250" s="338">
        <v>1</v>
      </c>
      <c r="J250" s="338">
        <v>1</v>
      </c>
      <c r="K250" s="339">
        <v>1324.62</v>
      </c>
      <c r="L250" s="340">
        <v>1</v>
      </c>
      <c r="M250" s="39">
        <f t="shared" si="20"/>
        <v>1324.62</v>
      </c>
      <c r="N250" s="339">
        <v>1324.62</v>
      </c>
      <c r="O250" s="89"/>
      <c r="P250" s="357"/>
      <c r="Q250" s="339"/>
      <c r="R250" s="340"/>
      <c r="S250" s="39">
        <f t="shared" si="21"/>
        <v>0</v>
      </c>
      <c r="T250" s="339"/>
      <c r="U250" s="34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376"/>
      <c r="B251" s="377" t="s">
        <v>183</v>
      </c>
      <c r="C251" s="377" t="s">
        <v>22</v>
      </c>
      <c r="D251" s="377"/>
      <c r="E251" s="377" t="s">
        <v>99</v>
      </c>
      <c r="F251" s="232" t="s">
        <v>380</v>
      </c>
      <c r="G251" s="23" t="s">
        <v>24</v>
      </c>
      <c r="H251" s="265">
        <v>20</v>
      </c>
      <c r="I251" s="266">
        <v>14</v>
      </c>
      <c r="J251" s="266">
        <v>20</v>
      </c>
      <c r="K251" s="79">
        <v>26305.98</v>
      </c>
      <c r="L251" s="268">
        <v>17</v>
      </c>
      <c r="M251" s="81">
        <f t="shared" si="20"/>
        <v>23506.21</v>
      </c>
      <c r="N251" s="79">
        <v>23506.21</v>
      </c>
      <c r="O251" s="219"/>
      <c r="P251" s="267">
        <v>14</v>
      </c>
      <c r="Q251" s="79">
        <v>53584.26</v>
      </c>
      <c r="R251" s="268">
        <v>14</v>
      </c>
      <c r="S251" s="81">
        <f t="shared" si="21"/>
        <v>53584.26</v>
      </c>
      <c r="T251" s="79">
        <v>53584.26</v>
      </c>
      <c r="U251" s="269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79"/>
      <c r="B252" s="380"/>
      <c r="C252" s="380"/>
      <c r="D252" s="380"/>
      <c r="E252" s="380"/>
      <c r="F252" s="233" t="s">
        <v>252</v>
      </c>
      <c r="G252" s="227" t="s">
        <v>28</v>
      </c>
      <c r="H252" s="292">
        <v>12</v>
      </c>
      <c r="I252" s="208">
        <v>7</v>
      </c>
      <c r="J252" s="208">
        <v>7</v>
      </c>
      <c r="K252" s="209">
        <v>16319.8</v>
      </c>
      <c r="L252" s="290">
        <v>5</v>
      </c>
      <c r="M252" s="211">
        <f t="shared" si="20"/>
        <v>11101.599999999999</v>
      </c>
      <c r="N252" s="211">
        <f>1806.3+3073.6+2408.4+2408.4+1404.9</f>
        <v>11101.599999999999</v>
      </c>
      <c r="O252" s="212"/>
      <c r="P252" s="262">
        <v>4</v>
      </c>
      <c r="Q252" s="209">
        <v>25850.2</v>
      </c>
      <c r="R252" s="290">
        <v>2</v>
      </c>
      <c r="S252" s="211">
        <f t="shared" si="21"/>
        <v>5378.8</v>
      </c>
      <c r="T252" s="211">
        <f>4034.1+1344.7</f>
        <v>5378.8</v>
      </c>
      <c r="U252" s="212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2"/>
      <c r="B253" s="374" t="s">
        <v>425</v>
      </c>
      <c r="C253" s="374" t="s">
        <v>22</v>
      </c>
      <c r="D253" s="374"/>
      <c r="E253" s="374" t="s">
        <v>131</v>
      </c>
      <c r="F253" s="204" t="s">
        <v>426</v>
      </c>
      <c r="G253" s="176" t="s">
        <v>24</v>
      </c>
      <c r="H253" s="61">
        <v>18</v>
      </c>
      <c r="I253" s="62">
        <v>9</v>
      </c>
      <c r="J253" s="62">
        <v>14</v>
      </c>
      <c r="K253" s="30">
        <v>17695.5</v>
      </c>
      <c r="L253" s="205">
        <v>14</v>
      </c>
      <c r="M253" s="26">
        <f t="shared" si="20"/>
        <v>17695.5</v>
      </c>
      <c r="N253" s="30">
        <v>17695.5</v>
      </c>
      <c r="O253" s="28"/>
      <c r="P253" s="275"/>
      <c r="Q253" s="26"/>
      <c r="R253" s="27"/>
      <c r="S253" s="26">
        <f t="shared" si="21"/>
        <v>0</v>
      </c>
      <c r="T253" s="26"/>
      <c r="U253" s="28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3"/>
      <c r="B254" s="375"/>
      <c r="C254" s="375"/>
      <c r="D254" s="375"/>
      <c r="E254" s="375"/>
      <c r="F254" s="34"/>
      <c r="G254" s="229" t="s">
        <v>25</v>
      </c>
      <c r="H254" s="106"/>
      <c r="I254" s="38"/>
      <c r="J254" s="38"/>
      <c r="K254" s="39"/>
      <c r="L254" s="40"/>
      <c r="M254" s="39">
        <f t="shared" si="20"/>
        <v>0</v>
      </c>
      <c r="N254" s="39"/>
      <c r="O254" s="41"/>
      <c r="P254" s="276"/>
      <c r="Q254" s="39"/>
      <c r="R254" s="40"/>
      <c r="S254" s="39">
        <f t="shared" si="21"/>
        <v>0</v>
      </c>
      <c r="T254" s="39"/>
      <c r="U254" s="41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6"/>
      <c r="B255" s="377" t="s">
        <v>184</v>
      </c>
      <c r="C255" s="377" t="s">
        <v>22</v>
      </c>
      <c r="D255" s="377"/>
      <c r="E255" s="377" t="s">
        <v>27</v>
      </c>
      <c r="F255" s="223" t="s">
        <v>453</v>
      </c>
      <c r="G255" s="95" t="s">
        <v>24</v>
      </c>
      <c r="H255" s="265">
        <v>5</v>
      </c>
      <c r="I255" s="266">
        <v>2</v>
      </c>
      <c r="J255" s="266">
        <v>2</v>
      </c>
      <c r="K255" s="79">
        <v>3158.6</v>
      </c>
      <c r="L255" s="268">
        <v>2</v>
      </c>
      <c r="M255" s="81">
        <f t="shared" si="20"/>
        <v>3158.6</v>
      </c>
      <c r="N255" s="79">
        <v>3158.6</v>
      </c>
      <c r="O255" s="219"/>
      <c r="P255" s="277"/>
      <c r="Q255" s="81"/>
      <c r="R255" s="80"/>
      <c r="S255" s="81">
        <f t="shared" si="21"/>
        <v>0</v>
      </c>
      <c r="T255" s="81"/>
      <c r="U255" s="219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6.5" customHeight="1">
      <c r="A256" s="379"/>
      <c r="B256" s="380"/>
      <c r="C256" s="380"/>
      <c r="D256" s="380"/>
      <c r="E256" s="380"/>
      <c r="F256" s="233" t="s">
        <v>253</v>
      </c>
      <c r="G256" s="227" t="s">
        <v>28</v>
      </c>
      <c r="H256" s="153">
        <v>7</v>
      </c>
      <c r="I256" s="130">
        <v>4</v>
      </c>
      <c r="J256" s="130">
        <v>4</v>
      </c>
      <c r="K256" s="114">
        <v>10482.120000000001</v>
      </c>
      <c r="L256" s="270">
        <v>3</v>
      </c>
      <c r="M256" s="43">
        <f t="shared" si="20"/>
        <v>9275.82</v>
      </c>
      <c r="N256" s="43">
        <f>1921+3380.96+3973.86</f>
        <v>9275.82</v>
      </c>
      <c r="O256" s="41"/>
      <c r="P256" s="113">
        <v>5</v>
      </c>
      <c r="Q256" s="114">
        <v>10565.5</v>
      </c>
      <c r="R256" s="270">
        <v>4</v>
      </c>
      <c r="S256" s="43">
        <f t="shared" si="21"/>
        <v>9989.2000000000007</v>
      </c>
      <c r="T256" s="114">
        <f>2958.34+3457.8+1267.86+2305.2</f>
        <v>9989.2000000000007</v>
      </c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6.5" customHeight="1">
      <c r="A257" s="372"/>
      <c r="B257" s="374" t="s">
        <v>185</v>
      </c>
      <c r="C257" s="374" t="s">
        <v>22</v>
      </c>
      <c r="D257" s="374"/>
      <c r="E257" s="374" t="s">
        <v>27</v>
      </c>
      <c r="F257" s="204" t="s">
        <v>341</v>
      </c>
      <c r="G257" s="176" t="s">
        <v>24</v>
      </c>
      <c r="H257" s="98"/>
      <c r="I257" s="25"/>
      <c r="J257" s="25"/>
      <c r="K257" s="26"/>
      <c r="L257" s="27"/>
      <c r="M257" s="26">
        <f t="shared" si="20"/>
        <v>0</v>
      </c>
      <c r="N257" s="26"/>
      <c r="O257" s="31"/>
      <c r="P257" s="53">
        <v>2</v>
      </c>
      <c r="Q257" s="30">
        <v>2633.4</v>
      </c>
      <c r="R257" s="205">
        <v>2</v>
      </c>
      <c r="S257" s="26">
        <f t="shared" si="21"/>
        <v>2633.4</v>
      </c>
      <c r="T257" s="30">
        <v>2633.4</v>
      </c>
      <c r="U257" s="225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373"/>
      <c r="B258" s="375"/>
      <c r="C258" s="375"/>
      <c r="D258" s="375"/>
      <c r="E258" s="375"/>
      <c r="F258" s="220" t="s">
        <v>342</v>
      </c>
      <c r="G258" s="229" t="s">
        <v>28</v>
      </c>
      <c r="H258" s="133">
        <v>8</v>
      </c>
      <c r="I258" s="130">
        <v>1</v>
      </c>
      <c r="J258" s="130">
        <v>1</v>
      </c>
      <c r="K258" s="114">
        <v>2007</v>
      </c>
      <c r="L258" s="44"/>
      <c r="M258" s="43">
        <f t="shared" si="20"/>
        <v>0</v>
      </c>
      <c r="N258" s="43"/>
      <c r="O258" s="41"/>
      <c r="P258" s="113">
        <v>5</v>
      </c>
      <c r="Q258" s="114">
        <v>25755.33</v>
      </c>
      <c r="R258" s="270">
        <v>3</v>
      </c>
      <c r="S258" s="43">
        <f t="shared" si="21"/>
        <v>15773.67</v>
      </c>
      <c r="T258" s="43">
        <f>2994.47+1204.2+11575</f>
        <v>15773.67</v>
      </c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372"/>
      <c r="B259" s="374" t="s">
        <v>186</v>
      </c>
      <c r="C259" s="374" t="s">
        <v>22</v>
      </c>
      <c r="D259" s="374"/>
      <c r="E259" s="374" t="s">
        <v>99</v>
      </c>
      <c r="F259" s="232" t="s">
        <v>315</v>
      </c>
      <c r="G259" s="23" t="s">
        <v>24</v>
      </c>
      <c r="H259" s="48">
        <v>23</v>
      </c>
      <c r="I259" s="62">
        <v>15</v>
      </c>
      <c r="J259" s="62">
        <v>21</v>
      </c>
      <c r="K259" s="30">
        <v>40898</v>
      </c>
      <c r="L259" s="205">
        <v>17</v>
      </c>
      <c r="M259" s="26">
        <f t="shared" si="20"/>
        <v>35760.379999999997</v>
      </c>
      <c r="N259" s="30">
        <v>35760.379999999997</v>
      </c>
      <c r="O259" s="31"/>
      <c r="P259" s="53">
        <v>15</v>
      </c>
      <c r="Q259" s="30">
        <v>46212.56</v>
      </c>
      <c r="R259" s="205">
        <v>15</v>
      </c>
      <c r="S259" s="26">
        <f t="shared" si="21"/>
        <v>46212.56</v>
      </c>
      <c r="T259" s="30">
        <v>46212.56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 t="s">
        <v>254</v>
      </c>
      <c r="G260" s="35" t="s">
        <v>28</v>
      </c>
      <c r="H260" s="153">
        <v>14</v>
      </c>
      <c r="I260" s="37">
        <v>4</v>
      </c>
      <c r="J260" s="37">
        <v>4</v>
      </c>
      <c r="K260" s="68">
        <v>6622.6</v>
      </c>
      <c r="L260" s="285">
        <v>1</v>
      </c>
      <c r="M260" s="39">
        <f t="shared" si="20"/>
        <v>3010.5</v>
      </c>
      <c r="N260" s="39">
        <f>3010.5</f>
        <v>3010.5</v>
      </c>
      <c r="O260" s="41"/>
      <c r="P260" s="59"/>
      <c r="Q260" s="39"/>
      <c r="R260" s="40"/>
      <c r="S260" s="39">
        <f t="shared" si="21"/>
        <v>0</v>
      </c>
      <c r="T260" s="39"/>
      <c r="U260" s="4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82"/>
      <c r="B261" s="381" t="s">
        <v>187</v>
      </c>
      <c r="C261" s="381" t="s">
        <v>22</v>
      </c>
      <c r="D261" s="381"/>
      <c r="E261" s="381" t="s">
        <v>131</v>
      </c>
      <c r="F261" s="223" t="s">
        <v>343</v>
      </c>
      <c r="G261" s="23" t="s">
        <v>24</v>
      </c>
      <c r="H261" s="48">
        <v>18</v>
      </c>
      <c r="I261" s="203">
        <v>16</v>
      </c>
      <c r="J261" s="203">
        <v>24</v>
      </c>
      <c r="K261" s="65">
        <v>43817.02</v>
      </c>
      <c r="L261" s="224">
        <v>24</v>
      </c>
      <c r="M261" s="50">
        <f t="shared" si="20"/>
        <v>43817.02</v>
      </c>
      <c r="N261" s="65">
        <v>43817.02</v>
      </c>
      <c r="O261" s="225"/>
      <c r="P261" s="108">
        <v>20</v>
      </c>
      <c r="Q261" s="65">
        <v>57368.51</v>
      </c>
      <c r="R261" s="224">
        <v>20</v>
      </c>
      <c r="S261" s="50">
        <f t="shared" si="21"/>
        <v>57368.51</v>
      </c>
      <c r="T261" s="65">
        <v>57368.51</v>
      </c>
      <c r="U261" s="225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9"/>
      <c r="B262" s="380"/>
      <c r="C262" s="380"/>
      <c r="D262" s="380"/>
      <c r="E262" s="380"/>
      <c r="F262" s="233" t="s">
        <v>497</v>
      </c>
      <c r="G262" s="227" t="s">
        <v>25</v>
      </c>
      <c r="H262" s="153">
        <v>5</v>
      </c>
      <c r="I262" s="130">
        <v>3</v>
      </c>
      <c r="J262" s="130">
        <v>3</v>
      </c>
      <c r="K262" s="114">
        <v>6545.7</v>
      </c>
      <c r="L262" s="270">
        <v>3</v>
      </c>
      <c r="M262" s="114">
        <v>6545.7</v>
      </c>
      <c r="N262" s="114">
        <v>6545.7</v>
      </c>
      <c r="O262" s="41"/>
      <c r="P262" s="113">
        <v>4</v>
      </c>
      <c r="Q262" s="114">
        <v>30582.32</v>
      </c>
      <c r="R262" s="270">
        <v>4</v>
      </c>
      <c r="S262" s="114">
        <v>30582.32</v>
      </c>
      <c r="T262" s="114">
        <v>30582.32</v>
      </c>
      <c r="U262" s="2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72"/>
      <c r="B263" s="374" t="s">
        <v>429</v>
      </c>
      <c r="C263" s="374" t="s">
        <v>22</v>
      </c>
      <c r="D263" s="374"/>
      <c r="E263" s="374" t="s">
        <v>27</v>
      </c>
      <c r="F263" s="204" t="s">
        <v>446</v>
      </c>
      <c r="G263" s="176" t="s">
        <v>24</v>
      </c>
      <c r="H263" s="151"/>
      <c r="I263" s="25"/>
      <c r="J263" s="25"/>
      <c r="K263" s="26"/>
      <c r="L263" s="27"/>
      <c r="M263" s="26">
        <f t="shared" ref="M263:M289" si="22">N263+O263</f>
        <v>0</v>
      </c>
      <c r="N263" s="30"/>
      <c r="O263" s="31"/>
      <c r="P263" s="53">
        <v>1</v>
      </c>
      <c r="Q263" s="30">
        <v>36784.050000000003</v>
      </c>
      <c r="R263" s="205">
        <v>1</v>
      </c>
      <c r="S263" s="26">
        <f t="shared" ref="S263:S289" si="23">T263+U263</f>
        <v>36784.050000000003</v>
      </c>
      <c r="T263" s="30">
        <v>36784.050000000003</v>
      </c>
      <c r="U263" s="31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3"/>
      <c r="B264" s="375"/>
      <c r="C264" s="375"/>
      <c r="D264" s="375"/>
      <c r="E264" s="375"/>
      <c r="F264" s="220"/>
      <c r="G264" s="229" t="s">
        <v>28</v>
      </c>
      <c r="H264" s="133"/>
      <c r="I264" s="57"/>
      <c r="J264" s="57"/>
      <c r="K264" s="43"/>
      <c r="L264" s="44"/>
      <c r="M264" s="43">
        <f t="shared" si="22"/>
        <v>0</v>
      </c>
      <c r="N264" s="43"/>
      <c r="O264" s="41"/>
      <c r="P264" s="113"/>
      <c r="Q264" s="114"/>
      <c r="R264" s="44"/>
      <c r="S264" s="43">
        <f t="shared" si="23"/>
        <v>0</v>
      </c>
      <c r="T264" s="114"/>
      <c r="U264" s="2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188</v>
      </c>
      <c r="C265" s="374" t="s">
        <v>39</v>
      </c>
      <c r="D265" s="374" t="s">
        <v>474</v>
      </c>
      <c r="E265" s="374" t="s">
        <v>27</v>
      </c>
      <c r="F265" s="358" t="s">
        <v>482</v>
      </c>
      <c r="G265" s="176" t="s">
        <v>24</v>
      </c>
      <c r="H265" s="281">
        <v>4</v>
      </c>
      <c r="I265" s="62">
        <v>2</v>
      </c>
      <c r="J265" s="62">
        <v>3</v>
      </c>
      <c r="K265" s="30">
        <v>3778.21</v>
      </c>
      <c r="L265" s="205">
        <v>1</v>
      </c>
      <c r="M265" s="26">
        <f t="shared" si="22"/>
        <v>1646.5</v>
      </c>
      <c r="N265" s="30">
        <v>1646.5</v>
      </c>
      <c r="O265" s="219"/>
      <c r="P265" s="53">
        <v>3</v>
      </c>
      <c r="Q265" s="30">
        <v>8065.3</v>
      </c>
      <c r="R265" s="205">
        <v>2</v>
      </c>
      <c r="S265" s="26">
        <f t="shared" si="23"/>
        <v>8065.3</v>
      </c>
      <c r="T265" s="30">
        <v>8065.3</v>
      </c>
      <c r="U265" s="219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20.25" customHeight="1">
      <c r="A266" s="373"/>
      <c r="B266" s="375"/>
      <c r="C266" s="375"/>
      <c r="D266" s="375"/>
      <c r="E266" s="375"/>
      <c r="F266" s="220" t="s">
        <v>344</v>
      </c>
      <c r="G266" s="229" t="s">
        <v>28</v>
      </c>
      <c r="H266" s="56">
        <v>9</v>
      </c>
      <c r="I266" s="130">
        <v>1</v>
      </c>
      <c r="J266" s="130">
        <v>1</v>
      </c>
      <c r="K266" s="114">
        <v>1052.5999999999999</v>
      </c>
      <c r="L266" s="44"/>
      <c r="M266" s="43">
        <f t="shared" si="22"/>
        <v>0</v>
      </c>
      <c r="N266" s="43"/>
      <c r="O266" s="222">
        <v>0</v>
      </c>
      <c r="P266" s="113">
        <v>18</v>
      </c>
      <c r="Q266" s="114">
        <v>28406.3</v>
      </c>
      <c r="R266" s="270">
        <v>11</v>
      </c>
      <c r="S266" s="43">
        <f t="shared" si="23"/>
        <v>24068.65</v>
      </c>
      <c r="T266" s="114">
        <f>4050.2+4802.5+4415.4+3311.55+3073.6+4415.4</f>
        <v>24068.65</v>
      </c>
      <c r="U266" s="222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189</v>
      </c>
      <c r="C267" s="374" t="s">
        <v>39</v>
      </c>
      <c r="D267" s="374" t="s">
        <v>427</v>
      </c>
      <c r="E267" s="374" t="s">
        <v>27</v>
      </c>
      <c r="F267" s="232" t="s">
        <v>428</v>
      </c>
      <c r="G267" s="23" t="s">
        <v>24</v>
      </c>
      <c r="H267" s="24">
        <v>19</v>
      </c>
      <c r="I267" s="62">
        <v>15</v>
      </c>
      <c r="J267" s="62">
        <v>19</v>
      </c>
      <c r="K267" s="30">
        <v>38520.519999999997</v>
      </c>
      <c r="L267" s="205">
        <v>18</v>
      </c>
      <c r="M267" s="26">
        <f t="shared" si="22"/>
        <v>38219.47</v>
      </c>
      <c r="N267" s="30">
        <v>38219.47</v>
      </c>
      <c r="O267" s="241"/>
      <c r="P267" s="29">
        <v>3</v>
      </c>
      <c r="Q267" s="30">
        <v>23366.85</v>
      </c>
      <c r="R267" s="205">
        <v>3</v>
      </c>
      <c r="S267" s="26">
        <f t="shared" si="23"/>
        <v>23366.85</v>
      </c>
      <c r="T267" s="30">
        <v>23366.85</v>
      </c>
      <c r="U267" s="241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373"/>
      <c r="B268" s="375"/>
      <c r="C268" s="375"/>
      <c r="D268" s="375"/>
      <c r="E268" s="375"/>
      <c r="F268" s="220" t="s">
        <v>256</v>
      </c>
      <c r="G268" s="35" t="s">
        <v>28</v>
      </c>
      <c r="H268" s="66">
        <v>7</v>
      </c>
      <c r="I268" s="37">
        <v>2</v>
      </c>
      <c r="J268" s="37">
        <v>2</v>
      </c>
      <c r="K268" s="68">
        <v>5456.32</v>
      </c>
      <c r="L268" s="285">
        <v>2</v>
      </c>
      <c r="M268" s="39">
        <f t="shared" si="22"/>
        <v>5453.32</v>
      </c>
      <c r="N268" s="39">
        <f>1921+3532.32</f>
        <v>5453.32</v>
      </c>
      <c r="O268" s="41"/>
      <c r="P268" s="69"/>
      <c r="Q268" s="39"/>
      <c r="R268" s="40"/>
      <c r="S268" s="39">
        <f t="shared" si="23"/>
        <v>0</v>
      </c>
      <c r="T268" s="39"/>
      <c r="U268" s="41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82"/>
      <c r="B269" s="381" t="s">
        <v>190</v>
      </c>
      <c r="C269" s="381" t="s">
        <v>39</v>
      </c>
      <c r="D269" s="381" t="s">
        <v>191</v>
      </c>
      <c r="E269" s="381" t="s">
        <v>27</v>
      </c>
      <c r="F269" s="46"/>
      <c r="G269" s="47" t="s">
        <v>24</v>
      </c>
      <c r="H269" s="98"/>
      <c r="I269" s="49"/>
      <c r="J269" s="49"/>
      <c r="K269" s="50"/>
      <c r="L269" s="51"/>
      <c r="M269" s="50">
        <f t="shared" si="22"/>
        <v>0</v>
      </c>
      <c r="N269" s="50"/>
      <c r="O269" s="31"/>
      <c r="P269" s="123"/>
      <c r="Q269" s="50"/>
      <c r="R269" s="51"/>
      <c r="S269" s="50">
        <f t="shared" si="23"/>
        <v>0</v>
      </c>
      <c r="T269" s="50"/>
      <c r="U269" s="3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345</v>
      </c>
      <c r="G270" s="35" t="s">
        <v>28</v>
      </c>
      <c r="H270" s="112">
        <v>2</v>
      </c>
      <c r="I270" s="57"/>
      <c r="J270" s="57"/>
      <c r="K270" s="43"/>
      <c r="L270" s="44"/>
      <c r="M270" s="43">
        <f t="shared" si="22"/>
        <v>0</v>
      </c>
      <c r="N270" s="43"/>
      <c r="O270" s="45"/>
      <c r="P270" s="115">
        <v>4</v>
      </c>
      <c r="Q270" s="68">
        <v>5106.7</v>
      </c>
      <c r="R270" s="285">
        <v>6</v>
      </c>
      <c r="S270" s="39">
        <f t="shared" si="23"/>
        <v>8028.28</v>
      </c>
      <c r="T270" s="68">
        <f>3818+2921.58+1288.7</f>
        <v>8028.28</v>
      </c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72"/>
      <c r="B271" s="374" t="s">
        <v>192</v>
      </c>
      <c r="C271" s="374" t="s">
        <v>22</v>
      </c>
      <c r="D271" s="374"/>
      <c r="E271" s="374" t="s">
        <v>193</v>
      </c>
      <c r="F271" s="204" t="s">
        <v>318</v>
      </c>
      <c r="G271" s="176" t="s">
        <v>24</v>
      </c>
      <c r="H271" s="61">
        <v>24</v>
      </c>
      <c r="I271" s="62">
        <v>22</v>
      </c>
      <c r="J271" s="62">
        <v>27</v>
      </c>
      <c r="K271" s="30">
        <v>41646.25</v>
      </c>
      <c r="L271" s="205">
        <v>27</v>
      </c>
      <c r="M271" s="26">
        <f t="shared" si="22"/>
        <v>41646.25</v>
      </c>
      <c r="N271" s="30">
        <v>41646.25</v>
      </c>
      <c r="O271" s="100"/>
      <c r="P271" s="64">
        <v>20</v>
      </c>
      <c r="Q271" s="65">
        <v>52584.43</v>
      </c>
      <c r="R271" s="224">
        <v>20</v>
      </c>
      <c r="S271" s="50">
        <f t="shared" si="23"/>
        <v>52584.43</v>
      </c>
      <c r="T271" s="65">
        <v>52584.43</v>
      </c>
      <c r="U271" s="225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346</v>
      </c>
      <c r="G272" s="229" t="s">
        <v>28</v>
      </c>
      <c r="H272" s="133">
        <v>1</v>
      </c>
      <c r="I272" s="37">
        <v>1</v>
      </c>
      <c r="J272" s="37">
        <v>1</v>
      </c>
      <c r="K272" s="68">
        <v>1728.9</v>
      </c>
      <c r="L272" s="285">
        <v>1</v>
      </c>
      <c r="M272" s="39">
        <f t="shared" si="22"/>
        <v>1728.9</v>
      </c>
      <c r="N272" s="39">
        <f>1728.9</f>
        <v>1728.9</v>
      </c>
      <c r="O272" s="41"/>
      <c r="P272" s="42"/>
      <c r="Q272" s="43"/>
      <c r="R272" s="44"/>
      <c r="S272" s="43">
        <f t="shared" si="23"/>
        <v>0</v>
      </c>
      <c r="T272" s="43"/>
      <c r="U272" s="41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194</v>
      </c>
      <c r="C273" s="377" t="s">
        <v>39</v>
      </c>
      <c r="D273" s="377" t="s">
        <v>319</v>
      </c>
      <c r="E273" s="374" t="s">
        <v>160</v>
      </c>
      <c r="F273" s="232" t="s">
        <v>320</v>
      </c>
      <c r="G273" s="23" t="s">
        <v>24</v>
      </c>
      <c r="H273" s="48">
        <v>7</v>
      </c>
      <c r="I273" s="203">
        <v>6</v>
      </c>
      <c r="J273" s="203">
        <v>6</v>
      </c>
      <c r="K273" s="65">
        <v>6526.74</v>
      </c>
      <c r="L273" s="316">
        <v>6</v>
      </c>
      <c r="M273" s="129">
        <f t="shared" si="22"/>
        <v>6526.74</v>
      </c>
      <c r="N273" s="65">
        <v>6526.74</v>
      </c>
      <c r="O273" s="225"/>
      <c r="P273" s="29">
        <v>3</v>
      </c>
      <c r="Q273" s="30">
        <v>6107.21</v>
      </c>
      <c r="R273" s="205">
        <v>3</v>
      </c>
      <c r="S273" s="26">
        <f t="shared" si="23"/>
        <v>6107.21</v>
      </c>
      <c r="T273" s="30">
        <v>6107.21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347</v>
      </c>
      <c r="G274" s="35" t="s">
        <v>28</v>
      </c>
      <c r="H274" s="117">
        <v>6</v>
      </c>
      <c r="I274" s="37">
        <v>1</v>
      </c>
      <c r="J274" s="37">
        <v>1</v>
      </c>
      <c r="K274" s="68">
        <v>602.1</v>
      </c>
      <c r="L274" s="44"/>
      <c r="M274" s="43">
        <f t="shared" si="22"/>
        <v>0</v>
      </c>
      <c r="N274" s="39"/>
      <c r="O274" s="41"/>
      <c r="P274" s="37">
        <v>8</v>
      </c>
      <c r="Q274" s="37">
        <v>21038.49</v>
      </c>
      <c r="R274" s="285">
        <v>8</v>
      </c>
      <c r="S274" s="39">
        <f t="shared" si="23"/>
        <v>16625.88</v>
      </c>
      <c r="T274" s="68">
        <f>576.3+4045.34+3273.6+633.93+602.1+2709.45+4454+331.16</f>
        <v>16625.88</v>
      </c>
      <c r="U274" s="2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82"/>
      <c r="B275" s="381" t="s">
        <v>195</v>
      </c>
      <c r="C275" s="377" t="s">
        <v>39</v>
      </c>
      <c r="D275" s="377" t="s">
        <v>231</v>
      </c>
      <c r="E275" s="381" t="s">
        <v>27</v>
      </c>
      <c r="F275" s="204" t="s">
        <v>232</v>
      </c>
      <c r="G275" s="47" t="s">
        <v>24</v>
      </c>
      <c r="H275" s="61">
        <v>4</v>
      </c>
      <c r="I275" s="62">
        <v>1</v>
      </c>
      <c r="J275" s="62">
        <v>1</v>
      </c>
      <c r="K275" s="30">
        <v>2185.62</v>
      </c>
      <c r="L275" s="205">
        <v>1</v>
      </c>
      <c r="M275" s="26">
        <f t="shared" si="22"/>
        <v>2185.62</v>
      </c>
      <c r="N275" s="30">
        <v>2185.62</v>
      </c>
      <c r="O275" s="31"/>
      <c r="P275" s="64">
        <v>7</v>
      </c>
      <c r="Q275" s="65">
        <v>46859.35</v>
      </c>
      <c r="R275" s="224">
        <v>7</v>
      </c>
      <c r="S275" s="50">
        <f t="shared" si="23"/>
        <v>46859.35</v>
      </c>
      <c r="T275" s="65">
        <v>46859.35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1" t="s">
        <v>260</v>
      </c>
      <c r="G276" s="55" t="s">
        <v>28</v>
      </c>
      <c r="H276" s="178">
        <v>11</v>
      </c>
      <c r="I276" s="130">
        <v>4</v>
      </c>
      <c r="J276" s="130">
        <v>4</v>
      </c>
      <c r="K276" s="114">
        <v>9825.14</v>
      </c>
      <c r="L276" s="270">
        <v>3</v>
      </c>
      <c r="M276" s="43">
        <f t="shared" si="22"/>
        <v>8620.94</v>
      </c>
      <c r="N276" s="43">
        <f>1152.6+845.24+6623.1</f>
        <v>8620.94</v>
      </c>
      <c r="O276" s="222"/>
      <c r="P276" s="130">
        <v>9</v>
      </c>
      <c r="Q276" s="130">
        <v>29523.25</v>
      </c>
      <c r="R276" s="270">
        <v>12</v>
      </c>
      <c r="S276" s="43">
        <f t="shared" si="23"/>
        <v>39586.9</v>
      </c>
      <c r="T276" s="114">
        <f>4994.6+12678.6+576.3+6915.6+6915.6+576.3+2113.1+2809.8+2007</f>
        <v>39586.9</v>
      </c>
      <c r="U276" s="222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72"/>
      <c r="B277" s="374" t="s">
        <v>196</v>
      </c>
      <c r="C277" s="381" t="s">
        <v>22</v>
      </c>
      <c r="D277" s="374"/>
      <c r="E277" s="381" t="s">
        <v>27</v>
      </c>
      <c r="F277" s="22"/>
      <c r="G277" s="23" t="s">
        <v>24</v>
      </c>
      <c r="H277" s="119"/>
      <c r="I277" s="25"/>
      <c r="J277" s="25"/>
      <c r="K277" s="26"/>
      <c r="L277" s="27"/>
      <c r="M277" s="26">
        <f t="shared" si="22"/>
        <v>0</v>
      </c>
      <c r="N277" s="26"/>
      <c r="O277" s="28"/>
      <c r="P277" s="120"/>
      <c r="Q277" s="26"/>
      <c r="R277" s="27"/>
      <c r="S277" s="26">
        <f t="shared" si="23"/>
        <v>0</v>
      </c>
      <c r="T277" s="26"/>
      <c r="U277" s="28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0" t="s">
        <v>348</v>
      </c>
      <c r="G278" s="35" t="s">
        <v>28</v>
      </c>
      <c r="H278" s="66">
        <v>12</v>
      </c>
      <c r="I278" s="37">
        <v>6</v>
      </c>
      <c r="J278" s="37">
        <v>6</v>
      </c>
      <c r="K278" s="68">
        <v>13045.5</v>
      </c>
      <c r="L278" s="285">
        <v>5</v>
      </c>
      <c r="M278" s="39">
        <f t="shared" si="22"/>
        <v>12042</v>
      </c>
      <c r="N278" s="39">
        <f>1806.3+3211.2+2007+1806.3+3211.2</f>
        <v>12042</v>
      </c>
      <c r="O278" s="41"/>
      <c r="P278" s="67">
        <v>4</v>
      </c>
      <c r="Q278" s="68">
        <v>11282.42</v>
      </c>
      <c r="R278" s="285">
        <v>4</v>
      </c>
      <c r="S278" s="39">
        <f t="shared" si="23"/>
        <v>11576</v>
      </c>
      <c r="T278" s="39">
        <f>2547.3+4226.2+2881.5+1921</f>
        <v>11576</v>
      </c>
      <c r="U278" s="41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82"/>
      <c r="B279" s="381" t="s">
        <v>197</v>
      </c>
      <c r="C279" s="381" t="s">
        <v>39</v>
      </c>
      <c r="D279" s="381" t="s">
        <v>381</v>
      </c>
      <c r="E279" s="381" t="s">
        <v>27</v>
      </c>
      <c r="F279" s="204" t="s">
        <v>382</v>
      </c>
      <c r="G279" s="47" t="s">
        <v>24</v>
      </c>
      <c r="H279" s="151">
        <v>1</v>
      </c>
      <c r="I279" s="49"/>
      <c r="J279" s="49"/>
      <c r="K279" s="50"/>
      <c r="L279" s="51"/>
      <c r="M279" s="50">
        <f t="shared" si="22"/>
        <v>0</v>
      </c>
      <c r="N279" s="50"/>
      <c r="O279" s="31"/>
      <c r="P279" s="108">
        <v>1</v>
      </c>
      <c r="Q279" s="65">
        <v>748.24</v>
      </c>
      <c r="R279" s="224">
        <v>1</v>
      </c>
      <c r="S279" s="50">
        <f t="shared" si="23"/>
        <v>748.24</v>
      </c>
      <c r="T279" s="65">
        <v>748.24</v>
      </c>
      <c r="U279" s="225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9"/>
      <c r="B280" s="380"/>
      <c r="C280" s="380"/>
      <c r="D280" s="380"/>
      <c r="E280" s="380"/>
      <c r="F280" s="221" t="s">
        <v>349</v>
      </c>
      <c r="G280" s="55" t="s">
        <v>28</v>
      </c>
      <c r="H280" s="153">
        <v>6</v>
      </c>
      <c r="I280" s="130">
        <v>4</v>
      </c>
      <c r="J280" s="130">
        <v>4</v>
      </c>
      <c r="K280" s="114">
        <v>6506.1</v>
      </c>
      <c r="L280" s="270">
        <v>4</v>
      </c>
      <c r="M280" s="43">
        <f t="shared" si="22"/>
        <v>6389.4500000000007</v>
      </c>
      <c r="N280" s="43">
        <f>1056.55+1921+1404.9+2007</f>
        <v>6389.4500000000007</v>
      </c>
      <c r="O280" s="41"/>
      <c r="P280" s="103"/>
      <c r="Q280" s="43"/>
      <c r="R280" s="270">
        <v>2</v>
      </c>
      <c r="S280" s="43">
        <f t="shared" si="23"/>
        <v>3765.16</v>
      </c>
      <c r="T280" s="114">
        <f>1440.75+2324.41</f>
        <v>3765.16</v>
      </c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72"/>
      <c r="B281" s="374" t="s">
        <v>198</v>
      </c>
      <c r="C281" s="374" t="s">
        <v>39</v>
      </c>
      <c r="D281" s="374" t="s">
        <v>469</v>
      </c>
      <c r="E281" s="374" t="s">
        <v>112</v>
      </c>
      <c r="F281" s="204" t="s">
        <v>470</v>
      </c>
      <c r="G281" s="23" t="s">
        <v>24</v>
      </c>
      <c r="H281" s="48">
        <v>15</v>
      </c>
      <c r="I281" s="62">
        <v>10</v>
      </c>
      <c r="J281" s="62">
        <v>12</v>
      </c>
      <c r="K281" s="30">
        <v>14515.85</v>
      </c>
      <c r="L281" s="205">
        <v>12</v>
      </c>
      <c r="M281" s="26">
        <f t="shared" si="22"/>
        <v>14515.85</v>
      </c>
      <c r="N281" s="30">
        <v>14515.85</v>
      </c>
      <c r="O281" s="31"/>
      <c r="P281" s="53">
        <v>15</v>
      </c>
      <c r="Q281" s="30">
        <v>53553.03</v>
      </c>
      <c r="R281" s="205">
        <v>15</v>
      </c>
      <c r="S281" s="26">
        <f t="shared" si="23"/>
        <v>53553.03</v>
      </c>
      <c r="T281" s="30">
        <v>53553.03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3"/>
      <c r="B282" s="375"/>
      <c r="C282" s="375"/>
      <c r="D282" s="375"/>
      <c r="E282" s="375"/>
      <c r="F282" s="220" t="s">
        <v>350</v>
      </c>
      <c r="G282" s="35" t="s">
        <v>28</v>
      </c>
      <c r="H282" s="153">
        <v>4</v>
      </c>
      <c r="I282" s="37">
        <v>2</v>
      </c>
      <c r="J282" s="37">
        <v>2</v>
      </c>
      <c r="K282" s="68">
        <v>1926.72</v>
      </c>
      <c r="L282" s="285">
        <v>2</v>
      </c>
      <c r="M282" s="39">
        <f t="shared" si="22"/>
        <v>1926.7199999999998</v>
      </c>
      <c r="N282" s="360">
        <f>602.1+1324.62</f>
        <v>1926.7199999999998</v>
      </c>
      <c r="O282" s="41"/>
      <c r="P282" s="59"/>
      <c r="Q282" s="39"/>
      <c r="R282" s="40"/>
      <c r="S282" s="39">
        <f t="shared" si="23"/>
        <v>0</v>
      </c>
      <c r="T282" s="39"/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82"/>
      <c r="B283" s="381" t="s">
        <v>199</v>
      </c>
      <c r="C283" s="381" t="s">
        <v>22</v>
      </c>
      <c r="D283" s="381"/>
      <c r="E283" s="381" t="s">
        <v>131</v>
      </c>
      <c r="F283" s="46"/>
      <c r="G283" s="23" t="s">
        <v>24</v>
      </c>
      <c r="H283" s="98"/>
      <c r="I283" s="49"/>
      <c r="J283" s="49"/>
      <c r="K283" s="50"/>
      <c r="L283" s="51"/>
      <c r="M283" s="50">
        <f t="shared" si="22"/>
        <v>0</v>
      </c>
      <c r="N283" s="50"/>
      <c r="O283" s="31"/>
      <c r="P283" s="123"/>
      <c r="Q283" s="50"/>
      <c r="R283" s="51"/>
      <c r="S283" s="50">
        <f t="shared" si="23"/>
        <v>0</v>
      </c>
      <c r="T283" s="50"/>
      <c r="U283" s="31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9"/>
      <c r="B284" s="380"/>
      <c r="C284" s="380"/>
      <c r="D284" s="380"/>
      <c r="E284" s="380"/>
      <c r="F284" s="126"/>
      <c r="G284" s="55" t="s">
        <v>25</v>
      </c>
      <c r="H284" s="118"/>
      <c r="I284" s="57"/>
      <c r="J284" s="57"/>
      <c r="K284" s="43"/>
      <c r="L284" s="44"/>
      <c r="M284" s="43">
        <f t="shared" si="22"/>
        <v>0</v>
      </c>
      <c r="N284" s="43"/>
      <c r="O284" s="41"/>
      <c r="P284" s="103"/>
      <c r="Q284" s="43"/>
      <c r="R284" s="44"/>
      <c r="S284" s="43">
        <f t="shared" si="23"/>
        <v>0</v>
      </c>
      <c r="T284" s="43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72"/>
      <c r="B285" s="374" t="s">
        <v>200</v>
      </c>
      <c r="C285" s="374" t="s">
        <v>39</v>
      </c>
      <c r="D285" s="374" t="s">
        <v>456</v>
      </c>
      <c r="E285" s="374" t="s">
        <v>27</v>
      </c>
      <c r="F285" s="204" t="s">
        <v>457</v>
      </c>
      <c r="G285" s="23" t="s">
        <v>24</v>
      </c>
      <c r="H285" s="61">
        <v>8</v>
      </c>
      <c r="I285" s="62">
        <v>6</v>
      </c>
      <c r="J285" s="62">
        <v>7</v>
      </c>
      <c r="K285" s="30">
        <v>9746.11</v>
      </c>
      <c r="L285" s="205">
        <v>6</v>
      </c>
      <c r="M285" s="26">
        <f t="shared" si="22"/>
        <v>9017.57</v>
      </c>
      <c r="N285" s="30">
        <v>9017.57</v>
      </c>
      <c r="O285" s="31"/>
      <c r="P285" s="29">
        <v>7</v>
      </c>
      <c r="Q285" s="30">
        <v>28873.11</v>
      </c>
      <c r="R285" s="205">
        <v>7</v>
      </c>
      <c r="S285" s="26">
        <f t="shared" si="23"/>
        <v>28873.11</v>
      </c>
      <c r="T285" s="30">
        <v>28873.11</v>
      </c>
      <c r="U285" s="225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3"/>
      <c r="B286" s="375"/>
      <c r="C286" s="375"/>
      <c r="D286" s="375"/>
      <c r="E286" s="375"/>
      <c r="F286" s="233" t="s">
        <v>466</v>
      </c>
      <c r="G286" s="227" t="s">
        <v>28</v>
      </c>
      <c r="H286" s="207">
        <v>4</v>
      </c>
      <c r="I286" s="208">
        <v>4</v>
      </c>
      <c r="J286" s="208">
        <v>4</v>
      </c>
      <c r="K286" s="209">
        <v>5170.8999999999996</v>
      </c>
      <c r="L286" s="290">
        <v>4</v>
      </c>
      <c r="M286" s="211">
        <f t="shared" si="22"/>
        <v>5170.9000000000005</v>
      </c>
      <c r="N286" s="211">
        <f>1056.55+2308.05+1204.2+602.1</f>
        <v>5170.9000000000005</v>
      </c>
      <c r="O286" s="212"/>
      <c r="P286" s="284"/>
      <c r="Q286" s="211"/>
      <c r="R286" s="290">
        <v>1</v>
      </c>
      <c r="S286" s="211">
        <f t="shared" si="23"/>
        <v>1921</v>
      </c>
      <c r="T286" s="209">
        <v>1921</v>
      </c>
      <c r="U286" s="212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2"/>
      <c r="B287" s="374" t="s">
        <v>430</v>
      </c>
      <c r="C287" s="374" t="s">
        <v>39</v>
      </c>
      <c r="D287" s="374" t="s">
        <v>439</v>
      </c>
      <c r="E287" s="374" t="s">
        <v>27</v>
      </c>
      <c r="F287" s="204" t="s">
        <v>440</v>
      </c>
      <c r="G287" s="213" t="s">
        <v>24</v>
      </c>
      <c r="H287" s="61">
        <v>4</v>
      </c>
      <c r="I287" s="62"/>
      <c r="J287" s="62"/>
      <c r="K287" s="30"/>
      <c r="L287" s="27"/>
      <c r="M287" s="26">
        <f t="shared" si="22"/>
        <v>0</v>
      </c>
      <c r="N287" s="26"/>
      <c r="O287" s="241"/>
      <c r="P287" s="214"/>
      <c r="Q287" s="30"/>
      <c r="R287" s="205"/>
      <c r="S287" s="26">
        <f t="shared" si="23"/>
        <v>0</v>
      </c>
      <c r="T287" s="30"/>
      <c r="U287" s="28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20"/>
      <c r="G288" s="215" t="s">
        <v>28</v>
      </c>
      <c r="H288" s="117"/>
      <c r="I288" s="37"/>
      <c r="J288" s="37"/>
      <c r="K288" s="68"/>
      <c r="L288" s="40"/>
      <c r="M288" s="39">
        <f t="shared" si="22"/>
        <v>0</v>
      </c>
      <c r="N288" s="39"/>
      <c r="O288" s="234"/>
      <c r="P288" s="217"/>
      <c r="Q288" s="68"/>
      <c r="R288" s="285"/>
      <c r="S288" s="39">
        <f t="shared" si="23"/>
        <v>0</v>
      </c>
      <c r="T288" s="68"/>
      <c r="U288" s="41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6"/>
      <c r="B289" s="377" t="s">
        <v>201</v>
      </c>
      <c r="C289" s="377" t="s">
        <v>39</v>
      </c>
      <c r="D289" s="377" t="s">
        <v>385</v>
      </c>
      <c r="E289" s="377" t="s">
        <v>386</v>
      </c>
      <c r="F289" s="232" t="s">
        <v>387</v>
      </c>
      <c r="G289" s="95" t="s">
        <v>24</v>
      </c>
      <c r="H289" s="265">
        <v>23</v>
      </c>
      <c r="I289" s="266">
        <v>20</v>
      </c>
      <c r="J289" s="266">
        <v>31</v>
      </c>
      <c r="K289" s="79">
        <v>46679.24</v>
      </c>
      <c r="L289" s="268">
        <v>31</v>
      </c>
      <c r="M289" s="81">
        <f t="shared" si="22"/>
        <v>46679.24</v>
      </c>
      <c r="N289" s="79">
        <v>46679.24</v>
      </c>
      <c r="O289" s="313"/>
      <c r="P289" s="267">
        <v>2</v>
      </c>
      <c r="Q289" s="79">
        <v>4356.83</v>
      </c>
      <c r="R289" s="268">
        <v>2</v>
      </c>
      <c r="S289" s="81">
        <f t="shared" si="23"/>
        <v>4356.83</v>
      </c>
      <c r="T289" s="79">
        <v>4356.83</v>
      </c>
      <c r="U289" s="82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0" t="s">
        <v>498</v>
      </c>
      <c r="G290" s="35" t="s">
        <v>25</v>
      </c>
      <c r="H290" s="117">
        <v>1</v>
      </c>
      <c r="I290" s="37">
        <v>1</v>
      </c>
      <c r="J290" s="37">
        <v>1</v>
      </c>
      <c r="K290" s="68">
        <v>551.92999999999995</v>
      </c>
      <c r="L290" s="285">
        <v>1</v>
      </c>
      <c r="M290" s="68">
        <v>551.92999999999995</v>
      </c>
      <c r="N290" s="68">
        <v>551.92999999999995</v>
      </c>
      <c r="O290" s="58"/>
      <c r="P290" s="115">
        <v>2</v>
      </c>
      <c r="Q290" s="68">
        <v>4418.3</v>
      </c>
      <c r="R290" s="285">
        <v>2</v>
      </c>
      <c r="S290" s="68">
        <v>4418.3</v>
      </c>
      <c r="T290" s="68">
        <v>4418.3</v>
      </c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82"/>
      <c r="B291" s="381" t="s">
        <v>202</v>
      </c>
      <c r="C291" s="381" t="s">
        <v>39</v>
      </c>
      <c r="D291" s="377" t="s">
        <v>441</v>
      </c>
      <c r="E291" s="381" t="s">
        <v>27</v>
      </c>
      <c r="F291" s="204" t="s">
        <v>442</v>
      </c>
      <c r="G291" s="47" t="s">
        <v>24</v>
      </c>
      <c r="H291" s="48">
        <v>5</v>
      </c>
      <c r="I291" s="203">
        <v>2</v>
      </c>
      <c r="J291" s="203">
        <v>2</v>
      </c>
      <c r="K291" s="65">
        <v>2382.04</v>
      </c>
      <c r="L291" s="224">
        <v>2</v>
      </c>
      <c r="M291" s="50">
        <f t="shared" ref="M291:M296" si="24">N291+O291</f>
        <v>2382.04</v>
      </c>
      <c r="N291" s="65">
        <v>2382.04</v>
      </c>
      <c r="O291" s="31"/>
      <c r="P291" s="108">
        <v>2</v>
      </c>
      <c r="Q291" s="65">
        <v>4082.51</v>
      </c>
      <c r="R291" s="224">
        <v>2</v>
      </c>
      <c r="S291" s="50">
        <f t="shared" ref="S291:S295" si="25">T291+U291</f>
        <v>4082.51</v>
      </c>
      <c r="T291" s="65">
        <v>4082.51</v>
      </c>
      <c r="U291" s="225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221" t="s">
        <v>262</v>
      </c>
      <c r="G292" s="55" t="s">
        <v>28</v>
      </c>
      <c r="H292" s="112">
        <v>6</v>
      </c>
      <c r="I292" s="130">
        <v>1</v>
      </c>
      <c r="J292" s="130">
        <v>1</v>
      </c>
      <c r="K292" s="114">
        <v>1479.17</v>
      </c>
      <c r="L292" s="316">
        <v>1</v>
      </c>
      <c r="M292" s="129">
        <f t="shared" si="24"/>
        <v>1479.17</v>
      </c>
      <c r="N292" s="43">
        <f>1479.17</f>
        <v>1479.17</v>
      </c>
      <c r="O292" s="45"/>
      <c r="P292" s="113">
        <v>4</v>
      </c>
      <c r="Q292" s="114">
        <v>17905.400000000001</v>
      </c>
      <c r="R292" s="316">
        <v>5</v>
      </c>
      <c r="S292" s="129">
        <f t="shared" si="25"/>
        <v>21555.3</v>
      </c>
      <c r="T292" s="114">
        <f>3649.9+1344.7+7107.7+4034.1+5418.9</f>
        <v>21555.3</v>
      </c>
      <c r="U292" s="45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72"/>
      <c r="B293" s="374" t="s">
        <v>203</v>
      </c>
      <c r="C293" s="377" t="s">
        <v>46</v>
      </c>
      <c r="D293" s="377" t="s">
        <v>459</v>
      </c>
      <c r="E293" s="374" t="s">
        <v>27</v>
      </c>
      <c r="F293" s="204" t="s">
        <v>475</v>
      </c>
      <c r="G293" s="23" t="s">
        <v>24</v>
      </c>
      <c r="H293" s="61">
        <v>3</v>
      </c>
      <c r="I293" s="62">
        <v>1</v>
      </c>
      <c r="J293" s="62">
        <v>2</v>
      </c>
      <c r="K293" s="30">
        <v>2954.31</v>
      </c>
      <c r="L293" s="205">
        <v>2</v>
      </c>
      <c r="M293" s="26">
        <f t="shared" si="24"/>
        <v>2954.31</v>
      </c>
      <c r="N293" s="30">
        <v>2954.31</v>
      </c>
      <c r="O293" s="28"/>
      <c r="P293" s="29">
        <v>6</v>
      </c>
      <c r="Q293" s="30">
        <v>3137.95</v>
      </c>
      <c r="R293" s="205">
        <v>1</v>
      </c>
      <c r="S293" s="26">
        <f t="shared" si="25"/>
        <v>3137.95</v>
      </c>
      <c r="T293" s="30">
        <v>3137.95</v>
      </c>
      <c r="U293" s="28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34"/>
      <c r="G294" s="35" t="s">
        <v>28</v>
      </c>
      <c r="H294" s="117"/>
      <c r="I294" s="38"/>
      <c r="J294" s="38"/>
      <c r="K294" s="39"/>
      <c r="L294" s="40"/>
      <c r="M294" s="39">
        <f t="shared" si="24"/>
        <v>0</v>
      </c>
      <c r="N294" s="39"/>
      <c r="O294" s="41"/>
      <c r="P294" s="69"/>
      <c r="Q294" s="39"/>
      <c r="R294" s="40"/>
      <c r="S294" s="39">
        <f t="shared" si="25"/>
        <v>0</v>
      </c>
      <c r="T294" s="39"/>
      <c r="U294" s="41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382"/>
      <c r="B295" s="381" t="s">
        <v>204</v>
      </c>
      <c r="C295" s="377" t="s">
        <v>22</v>
      </c>
      <c r="D295" s="377"/>
      <c r="E295" s="381" t="s">
        <v>23</v>
      </c>
      <c r="F295" s="204" t="s">
        <v>431</v>
      </c>
      <c r="G295" s="47" t="s">
        <v>24</v>
      </c>
      <c r="H295" s="48">
        <v>12</v>
      </c>
      <c r="I295" s="203">
        <v>10</v>
      </c>
      <c r="J295" s="203">
        <v>13</v>
      </c>
      <c r="K295" s="65">
        <v>17554.009999999998</v>
      </c>
      <c r="L295" s="224">
        <v>13</v>
      </c>
      <c r="M295" s="50">
        <f t="shared" si="24"/>
        <v>17554.009999999998</v>
      </c>
      <c r="N295" s="65">
        <v>17554.009999999998</v>
      </c>
      <c r="O295" s="225"/>
      <c r="P295" s="108">
        <v>4</v>
      </c>
      <c r="Q295" s="65">
        <v>3363.11</v>
      </c>
      <c r="R295" s="224">
        <v>4</v>
      </c>
      <c r="S295" s="50">
        <f t="shared" si="25"/>
        <v>3363.11</v>
      </c>
      <c r="T295" s="65">
        <v>3363.11</v>
      </c>
      <c r="U295" s="225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373"/>
      <c r="B296" s="375"/>
      <c r="C296" s="375"/>
      <c r="D296" s="375"/>
      <c r="E296" s="375"/>
      <c r="F296" s="220" t="s">
        <v>499</v>
      </c>
      <c r="G296" s="35" t="s">
        <v>25</v>
      </c>
      <c r="H296" s="111"/>
      <c r="I296" s="38"/>
      <c r="J296" s="38"/>
      <c r="K296" s="39"/>
      <c r="L296" s="40"/>
      <c r="M296" s="39">
        <f t="shared" si="24"/>
        <v>0</v>
      </c>
      <c r="N296" s="39"/>
      <c r="O296" s="41"/>
      <c r="P296" s="115">
        <v>2</v>
      </c>
      <c r="Q296" s="68">
        <v>2305.1999999999998</v>
      </c>
      <c r="R296" s="285">
        <v>1</v>
      </c>
      <c r="S296" s="68">
        <v>2305.1999999999998</v>
      </c>
      <c r="T296" s="68">
        <v>2305.1999999999998</v>
      </c>
      <c r="U296" s="41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179"/>
      <c r="B297" s="180" t="s">
        <v>205</v>
      </c>
      <c r="C297" s="180"/>
      <c r="D297" s="180"/>
      <c r="E297" s="180"/>
      <c r="F297" s="180"/>
      <c r="G297" s="181"/>
      <c r="H297" s="182">
        <f t="shared" ref="H297:U297" si="26">SUM(H9:H296)</f>
        <v>2276</v>
      </c>
      <c r="I297" s="183">
        <f t="shared" si="26"/>
        <v>1468</v>
      </c>
      <c r="J297" s="183">
        <f t="shared" si="26"/>
        <v>1862</v>
      </c>
      <c r="K297" s="184">
        <f t="shared" si="26"/>
        <v>3517775.5100000012</v>
      </c>
      <c r="L297" s="185">
        <f t="shared" si="26"/>
        <v>1749</v>
      </c>
      <c r="M297" s="184">
        <f t="shared" si="26"/>
        <v>3304033.8800000004</v>
      </c>
      <c r="N297" s="184">
        <f t="shared" si="26"/>
        <v>3305238.08</v>
      </c>
      <c r="O297" s="186">
        <f t="shared" si="26"/>
        <v>0</v>
      </c>
      <c r="P297" s="187">
        <f t="shared" si="26"/>
        <v>1465</v>
      </c>
      <c r="Q297" s="188">
        <f t="shared" si="26"/>
        <v>5291856.7300000004</v>
      </c>
      <c r="R297" s="185">
        <f t="shared" si="26"/>
        <v>1405</v>
      </c>
      <c r="S297" s="188">
        <f t="shared" si="26"/>
        <v>5206481.4100000011</v>
      </c>
      <c r="T297" s="188">
        <f t="shared" si="26"/>
        <v>5206481.4100000011</v>
      </c>
      <c r="U297" s="189">
        <f t="shared" si="26"/>
        <v>0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I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H300" s="4" t="s">
        <v>206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27.75" customHeight="1">
      <c r="A301" s="4"/>
      <c r="B301" s="4"/>
      <c r="C301" s="4"/>
      <c r="D301" s="4"/>
      <c r="E301" s="4"/>
      <c r="F301" s="394"/>
      <c r="G301" s="395" t="s">
        <v>5</v>
      </c>
      <c r="H301" s="396"/>
      <c r="I301" s="396"/>
      <c r="J301" s="396"/>
      <c r="K301" s="396"/>
      <c r="L301" s="396"/>
      <c r="M301" s="396"/>
      <c r="N301" s="397"/>
      <c r="O301" s="395" t="s">
        <v>6</v>
      </c>
      <c r="P301" s="396"/>
      <c r="Q301" s="396"/>
      <c r="R301" s="396"/>
      <c r="S301" s="396"/>
      <c r="T301" s="397"/>
      <c r="U301" s="393" t="s">
        <v>207</v>
      </c>
      <c r="V301" s="393" t="s">
        <v>208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386"/>
      <c r="G302" s="190" t="s">
        <v>13</v>
      </c>
      <c r="H302" s="190" t="s">
        <v>14</v>
      </c>
      <c r="I302" s="190" t="s">
        <v>15</v>
      </c>
      <c r="J302" s="190" t="s">
        <v>16</v>
      </c>
      <c r="K302" s="191" t="s">
        <v>17</v>
      </c>
      <c r="L302" s="190" t="s">
        <v>18</v>
      </c>
      <c r="M302" s="190" t="s">
        <v>19</v>
      </c>
      <c r="N302" s="190" t="s">
        <v>20</v>
      </c>
      <c r="O302" s="190" t="s">
        <v>15</v>
      </c>
      <c r="P302" s="190" t="s">
        <v>16</v>
      </c>
      <c r="Q302" s="191" t="s">
        <v>17</v>
      </c>
      <c r="R302" s="190" t="s">
        <v>18</v>
      </c>
      <c r="S302" s="190" t="s">
        <v>19</v>
      </c>
      <c r="T302" s="190" t="s">
        <v>20</v>
      </c>
      <c r="U302" s="392"/>
      <c r="V302" s="392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192" t="s">
        <v>24</v>
      </c>
      <c r="G303" s="193">
        <f t="shared" ref="G303:I303" si="27">SUMIF($G$9:$G$296,$F$303,H9:H296)</f>
        <v>1664</v>
      </c>
      <c r="H303" s="193">
        <f t="shared" si="27"/>
        <v>1200</v>
      </c>
      <c r="I303" s="193">
        <f t="shared" si="27"/>
        <v>1593</v>
      </c>
      <c r="J303" s="194">
        <f t="shared" ref="J303:J305" si="28">SUMIF($G$9:$G$296,F303,$K$9:$K$296)</f>
        <v>2984709.3099999996</v>
      </c>
      <c r="K303" s="195">
        <f t="shared" ref="K303:K305" si="29">SUMIF($G$9:$G$296,F303,$L$9:$L$296)</f>
        <v>1523</v>
      </c>
      <c r="L303" s="194">
        <f t="shared" ref="L303:L305" si="30">SUMIF($G$9:$G$296,F303,$M$9:$M$296)</f>
        <v>2859465.6400000006</v>
      </c>
      <c r="M303" s="194">
        <f t="shared" ref="M303:O303" si="31">SUMIF($G$9:$G$296,$F$303,N9:N296)</f>
        <v>2859465.6400000006</v>
      </c>
      <c r="N303" s="194">
        <f t="shared" si="31"/>
        <v>0</v>
      </c>
      <c r="O303" s="193">
        <f t="shared" si="31"/>
        <v>1159</v>
      </c>
      <c r="P303" s="194">
        <f t="shared" ref="P303:P305" si="32">SUMIF($G$9:$G$296,F303,$Q$9:$Q$296)</f>
        <v>4226337.05</v>
      </c>
      <c r="Q303" s="195">
        <f t="shared" ref="Q303:Q305" si="33">SUMIF($G$9:$G$296,F303,$R$9:$R$296)</f>
        <v>1103</v>
      </c>
      <c r="R303" s="194">
        <f t="shared" ref="R303:R305" si="34">SUMIF($G$9:$G$296,F303,$S$9:$S$296)</f>
        <v>4194391.3399999989</v>
      </c>
      <c r="S303" s="194">
        <f t="shared" ref="S303:T303" si="35">SUMIF($G$9:$G$296,$F$303,T9:T296)</f>
        <v>4194391.3399999989</v>
      </c>
      <c r="T303" s="194">
        <f t="shared" si="35"/>
        <v>0</v>
      </c>
      <c r="U303" s="194">
        <f t="shared" ref="U303:U305" si="36">S303+M303</f>
        <v>7053856.9799999995</v>
      </c>
      <c r="V303" s="196">
        <f t="shared" ref="V303:V305" si="37">J303-M303+P303-S303</f>
        <v>157189.37999999989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192" t="s">
        <v>28</v>
      </c>
      <c r="G304" s="236">
        <f t="shared" ref="G304:I304" si="38">SUMIF($G$9:$G$296,$F$304,H9:H296)</f>
        <v>506</v>
      </c>
      <c r="H304" s="193">
        <f t="shared" si="38"/>
        <v>220</v>
      </c>
      <c r="I304" s="193">
        <f t="shared" si="38"/>
        <v>221</v>
      </c>
      <c r="J304" s="194">
        <f t="shared" si="28"/>
        <v>449950.80999999982</v>
      </c>
      <c r="K304" s="195">
        <f t="shared" si="29"/>
        <v>178</v>
      </c>
      <c r="L304" s="194">
        <f t="shared" si="30"/>
        <v>361452.85000000003</v>
      </c>
      <c r="M304" s="194">
        <f t="shared" ref="M304:O304" si="39">SUMIF($G$9:$G$296,$F$304,N9:N296)</f>
        <v>362657.05000000005</v>
      </c>
      <c r="N304" s="194">
        <f t="shared" si="39"/>
        <v>0</v>
      </c>
      <c r="O304" s="193">
        <f t="shared" si="39"/>
        <v>238</v>
      </c>
      <c r="P304" s="194">
        <f t="shared" si="32"/>
        <v>800298.02999999991</v>
      </c>
      <c r="Q304" s="195">
        <f t="shared" si="33"/>
        <v>236</v>
      </c>
      <c r="R304" s="194">
        <f t="shared" si="34"/>
        <v>746868.42000000039</v>
      </c>
      <c r="S304" s="194">
        <f t="shared" ref="S304:T304" si="40">SUMIF($G$9:$G$296,$F$304,T9:T296)</f>
        <v>746868.42000000039</v>
      </c>
      <c r="T304" s="194">
        <f t="shared" si="40"/>
        <v>0</v>
      </c>
      <c r="U304" s="194">
        <f t="shared" si="36"/>
        <v>1109525.4700000004</v>
      </c>
      <c r="V304" s="196">
        <f t="shared" si="37"/>
        <v>140723.3699999993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192" t="s">
        <v>25</v>
      </c>
      <c r="G305" s="193">
        <f t="shared" ref="G305:I305" si="41">SUMIF($G$9:$G$296,$F$305,H9:H296)</f>
        <v>106</v>
      </c>
      <c r="H305" s="193">
        <f t="shared" si="41"/>
        <v>48</v>
      </c>
      <c r="I305" s="193">
        <f t="shared" si="41"/>
        <v>48</v>
      </c>
      <c r="J305" s="194">
        <f t="shared" si="28"/>
        <v>83115.39</v>
      </c>
      <c r="K305" s="195">
        <f t="shared" si="29"/>
        <v>48</v>
      </c>
      <c r="L305" s="194">
        <f t="shared" si="30"/>
        <v>83115.39</v>
      </c>
      <c r="M305" s="194">
        <f t="shared" ref="M305:O305" si="42">SUMIF($G$9:$G$296,$F$305,N9:N296)</f>
        <v>83115.39</v>
      </c>
      <c r="N305" s="194">
        <f t="shared" si="42"/>
        <v>0</v>
      </c>
      <c r="O305" s="193">
        <f t="shared" si="42"/>
        <v>68</v>
      </c>
      <c r="P305" s="194">
        <f t="shared" si="32"/>
        <v>265221.65000000002</v>
      </c>
      <c r="Q305" s="195">
        <f t="shared" si="33"/>
        <v>66</v>
      </c>
      <c r="R305" s="194">
        <f t="shared" si="34"/>
        <v>265221.65000000002</v>
      </c>
      <c r="S305" s="194">
        <f t="shared" ref="S305:T305" si="43">SUMIF($G$9:$G$296,$F$305,T9:T296)</f>
        <v>265221.65000000002</v>
      </c>
      <c r="T305" s="194">
        <f t="shared" si="43"/>
        <v>0</v>
      </c>
      <c r="U305" s="194">
        <f t="shared" si="36"/>
        <v>348337.04000000004</v>
      </c>
      <c r="V305" s="196">
        <f t="shared" si="37"/>
        <v>0</v>
      </c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4"/>
      <c r="G306" s="197">
        <f t="shared" ref="G306:V306" si="44">G305+G304+G303</f>
        <v>2276</v>
      </c>
      <c r="H306" s="197">
        <f t="shared" si="44"/>
        <v>1468</v>
      </c>
      <c r="I306" s="197">
        <f t="shared" si="44"/>
        <v>1862</v>
      </c>
      <c r="J306" s="198">
        <f t="shared" si="44"/>
        <v>3517775.5099999993</v>
      </c>
      <c r="K306" s="199">
        <f t="shared" si="44"/>
        <v>1749</v>
      </c>
      <c r="L306" s="198">
        <f t="shared" si="44"/>
        <v>3304033.8800000008</v>
      </c>
      <c r="M306" s="198">
        <f t="shared" si="44"/>
        <v>3305238.0800000005</v>
      </c>
      <c r="N306" s="198">
        <f t="shared" si="44"/>
        <v>0</v>
      </c>
      <c r="O306" s="197">
        <f t="shared" si="44"/>
        <v>1465</v>
      </c>
      <c r="P306" s="198">
        <f t="shared" si="44"/>
        <v>5291856.7299999995</v>
      </c>
      <c r="Q306" s="200">
        <f t="shared" si="44"/>
        <v>1405</v>
      </c>
      <c r="R306" s="198">
        <f t="shared" si="44"/>
        <v>5206481.4099999992</v>
      </c>
      <c r="S306" s="198">
        <f t="shared" si="44"/>
        <v>5206481.4099999992</v>
      </c>
      <c r="T306" s="198">
        <f t="shared" si="44"/>
        <v>0</v>
      </c>
      <c r="U306" s="198">
        <f t="shared" si="44"/>
        <v>8511719.4900000002</v>
      </c>
      <c r="V306" s="198">
        <f t="shared" si="44"/>
        <v>297912.74999999919</v>
      </c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K307" s="201"/>
      <c r="L307" s="201"/>
      <c r="R307" s="2"/>
    </row>
    <row r="308" spans="1:32" ht="15.75" customHeight="1">
      <c r="K308" s="201"/>
      <c r="L308" s="201"/>
      <c r="R308" s="2"/>
    </row>
    <row r="309" spans="1:32" ht="15.75" customHeight="1">
      <c r="K309" s="201"/>
      <c r="L309" s="201"/>
      <c r="R309" s="2"/>
    </row>
    <row r="310" spans="1:32" ht="15.75" customHeight="1">
      <c r="K310" s="201"/>
      <c r="L310" s="201"/>
      <c r="R310" s="2"/>
    </row>
    <row r="311" spans="1:32" ht="15.75" customHeight="1">
      <c r="K311" s="201"/>
      <c r="L311" s="201"/>
      <c r="R311" s="2"/>
    </row>
    <row r="312" spans="1:32" ht="15.75" customHeight="1">
      <c r="K312" s="201"/>
      <c r="L312" s="201"/>
      <c r="R312" s="2"/>
    </row>
    <row r="313" spans="1:32" ht="15.75" customHeight="1">
      <c r="K313" s="201"/>
      <c r="L313" s="201"/>
      <c r="R313" s="2"/>
    </row>
    <row r="314" spans="1:32" ht="15.75" customHeight="1">
      <c r="K314" s="201"/>
      <c r="L314" s="201"/>
      <c r="R314" s="2"/>
    </row>
    <row r="315" spans="1:32" ht="15.75" customHeight="1">
      <c r="K315" s="201"/>
      <c r="L315" s="201"/>
      <c r="R315" s="2"/>
    </row>
    <row r="316" spans="1:32" ht="15.75" customHeight="1">
      <c r="K316" s="201"/>
      <c r="L316" s="201"/>
      <c r="R316" s="2"/>
    </row>
    <row r="317" spans="1:32" ht="15.75" customHeight="1">
      <c r="K317" s="201"/>
      <c r="L317" s="201"/>
      <c r="R317" s="2"/>
    </row>
    <row r="318" spans="1:32" ht="15.75" customHeight="1">
      <c r="K318" s="201"/>
      <c r="L318" s="201"/>
      <c r="R318" s="2"/>
    </row>
    <row r="319" spans="1:32" ht="15.75" customHeight="1">
      <c r="K319" s="201"/>
      <c r="L319" s="201"/>
      <c r="R319" s="2"/>
    </row>
    <row r="320" spans="1:32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K457" s="201"/>
      <c r="L457" s="201"/>
      <c r="R457" s="2"/>
    </row>
    <row r="458" spans="11:18" ht="15.75" customHeight="1">
      <c r="K458" s="201"/>
      <c r="L458" s="201"/>
      <c r="R458" s="2"/>
    </row>
    <row r="459" spans="11:18" ht="15.75" customHeight="1">
      <c r="L459" s="2"/>
      <c r="R459" s="2"/>
    </row>
    <row r="460" spans="11:18" ht="15.75" customHeight="1">
      <c r="L460" s="2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  <row r="934" spans="12:18" ht="15.75" customHeight="1">
      <c r="L934" s="2"/>
      <c r="R934" s="2"/>
    </row>
    <row r="935" spans="12:18" ht="15.75" customHeight="1">
      <c r="L935" s="2"/>
      <c r="R935" s="2"/>
    </row>
  </sheetData>
  <mergeCells count="715">
    <mergeCell ref="A200:A201"/>
    <mergeCell ref="B200:B201"/>
    <mergeCell ref="C200:C201"/>
    <mergeCell ref="D200:D201"/>
    <mergeCell ref="E200:E201"/>
    <mergeCell ref="A202:A203"/>
    <mergeCell ref="B211:B212"/>
    <mergeCell ref="C211:C212"/>
    <mergeCell ref="A213:A214"/>
    <mergeCell ref="B213:B214"/>
    <mergeCell ref="C213:C214"/>
    <mergeCell ref="D213:D214"/>
    <mergeCell ref="E213:E214"/>
    <mergeCell ref="D194:D195"/>
    <mergeCell ref="E194:E195"/>
    <mergeCell ref="D196:D197"/>
    <mergeCell ref="E196:E197"/>
    <mergeCell ref="D198:D199"/>
    <mergeCell ref="E198:E199"/>
    <mergeCell ref="A190:A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A196:A197"/>
    <mergeCell ref="B196:B197"/>
    <mergeCell ref="C196:C197"/>
    <mergeCell ref="B198:B199"/>
    <mergeCell ref="C198:C199"/>
    <mergeCell ref="A198:A199"/>
    <mergeCell ref="C190:C191"/>
    <mergeCell ref="D190:D191"/>
    <mergeCell ref="A188:A189"/>
    <mergeCell ref="B188:B189"/>
    <mergeCell ref="C188:C189"/>
    <mergeCell ref="D188:D189"/>
    <mergeCell ref="E188:E189"/>
    <mergeCell ref="B190:B191"/>
    <mergeCell ref="E190:E191"/>
    <mergeCell ref="C204:C205"/>
    <mergeCell ref="B206:B207"/>
    <mergeCell ref="C206:C207"/>
    <mergeCell ref="D211:D212"/>
    <mergeCell ref="E211:E212"/>
    <mergeCell ref="A206:A207"/>
    <mergeCell ref="A208:A210"/>
    <mergeCell ref="B208:B210"/>
    <mergeCell ref="C208:C210"/>
    <mergeCell ref="D208:D210"/>
    <mergeCell ref="E208:E210"/>
    <mergeCell ref="A211:A212"/>
    <mergeCell ref="A174:A175"/>
    <mergeCell ref="B174:B175"/>
    <mergeCell ref="C174:C175"/>
    <mergeCell ref="D174:D175"/>
    <mergeCell ref="E174:E175"/>
    <mergeCell ref="A176:A177"/>
    <mergeCell ref="B184:B185"/>
    <mergeCell ref="C184:C185"/>
    <mergeCell ref="A186:A187"/>
    <mergeCell ref="B186:B187"/>
    <mergeCell ref="C186:C187"/>
    <mergeCell ref="D186:D187"/>
    <mergeCell ref="E186:E187"/>
    <mergeCell ref="D168:D169"/>
    <mergeCell ref="E168:E169"/>
    <mergeCell ref="D170:D171"/>
    <mergeCell ref="E170:E171"/>
    <mergeCell ref="D172:D173"/>
    <mergeCell ref="E172:E173"/>
    <mergeCell ref="A163:A164"/>
    <mergeCell ref="A165:A167"/>
    <mergeCell ref="B165:B167"/>
    <mergeCell ref="C165:C167"/>
    <mergeCell ref="D165:D167"/>
    <mergeCell ref="E165:E167"/>
    <mergeCell ref="A168:A169"/>
    <mergeCell ref="B168:B169"/>
    <mergeCell ref="C168:C169"/>
    <mergeCell ref="A170:A171"/>
    <mergeCell ref="B170:B171"/>
    <mergeCell ref="C170:C171"/>
    <mergeCell ref="B172:B173"/>
    <mergeCell ref="C172:C173"/>
    <mergeCell ref="A172:A173"/>
    <mergeCell ref="C163:C164"/>
    <mergeCell ref="D163:D164"/>
    <mergeCell ref="A160:A162"/>
    <mergeCell ref="B160:B162"/>
    <mergeCell ref="C160:C162"/>
    <mergeCell ref="D160:D162"/>
    <mergeCell ref="E160:E162"/>
    <mergeCell ref="B163:B164"/>
    <mergeCell ref="E163:E164"/>
    <mergeCell ref="A287:A288"/>
    <mergeCell ref="B287:B288"/>
    <mergeCell ref="C287:C288"/>
    <mergeCell ref="D287:D288"/>
    <mergeCell ref="E287:E288"/>
    <mergeCell ref="D184:D185"/>
    <mergeCell ref="E184:E185"/>
    <mergeCell ref="A180:A181"/>
    <mergeCell ref="A182:A183"/>
    <mergeCell ref="B182:B183"/>
    <mergeCell ref="C182:C183"/>
    <mergeCell ref="D182:D183"/>
    <mergeCell ref="E182:E183"/>
    <mergeCell ref="A184:A185"/>
    <mergeCell ref="D202:D203"/>
    <mergeCell ref="E202:E203"/>
    <mergeCell ref="D204:D205"/>
    <mergeCell ref="E204:E205"/>
    <mergeCell ref="D206:D207"/>
    <mergeCell ref="E206:E207"/>
    <mergeCell ref="B202:B203"/>
    <mergeCell ref="C202:C203"/>
    <mergeCell ref="A204:A205"/>
    <mergeCell ref="B204:B205"/>
    <mergeCell ref="C273:C274"/>
    <mergeCell ref="A273:A274"/>
    <mergeCell ref="A275:A276"/>
    <mergeCell ref="B275:B276"/>
    <mergeCell ref="C275:C276"/>
    <mergeCell ref="D275:D276"/>
    <mergeCell ref="E275:E276"/>
    <mergeCell ref="A277:A278"/>
    <mergeCell ref="B285:B286"/>
    <mergeCell ref="C285:C286"/>
    <mergeCell ref="D277:D278"/>
    <mergeCell ref="E277:E278"/>
    <mergeCell ref="D279:D280"/>
    <mergeCell ref="E279:E280"/>
    <mergeCell ref="D281:D282"/>
    <mergeCell ref="E281:E282"/>
    <mergeCell ref="B277:B278"/>
    <mergeCell ref="C277:C278"/>
    <mergeCell ref="A279:A280"/>
    <mergeCell ref="B279:B280"/>
    <mergeCell ref="C279:C280"/>
    <mergeCell ref="B281:B282"/>
    <mergeCell ref="C281:C282"/>
    <mergeCell ref="A293:A294"/>
    <mergeCell ref="B293:B294"/>
    <mergeCell ref="C293:C294"/>
    <mergeCell ref="D293:D294"/>
    <mergeCell ref="E293:E294"/>
    <mergeCell ref="A295:A296"/>
    <mergeCell ref="C265:C266"/>
    <mergeCell ref="D265:D266"/>
    <mergeCell ref="A263:A264"/>
    <mergeCell ref="B263:B264"/>
    <mergeCell ref="C263:C264"/>
    <mergeCell ref="D263:D264"/>
    <mergeCell ref="E263:E264"/>
    <mergeCell ref="B265:B266"/>
    <mergeCell ref="E265:E266"/>
    <mergeCell ref="D269:D270"/>
    <mergeCell ref="E269:E270"/>
    <mergeCell ref="D271:D272"/>
    <mergeCell ref="E271:E272"/>
    <mergeCell ref="D273:D274"/>
    <mergeCell ref="E273:E274"/>
    <mergeCell ref="A265:A266"/>
    <mergeCell ref="A267:A268"/>
    <mergeCell ref="B267:B268"/>
    <mergeCell ref="B295:B296"/>
    <mergeCell ref="C295:C296"/>
    <mergeCell ref="D295:D296"/>
    <mergeCell ref="E295:E296"/>
    <mergeCell ref="F301:F302"/>
    <mergeCell ref="G301:N301"/>
    <mergeCell ref="O301:T301"/>
    <mergeCell ref="U301:U302"/>
    <mergeCell ref="V301:V302"/>
    <mergeCell ref="C291:C292"/>
    <mergeCell ref="D291:D292"/>
    <mergeCell ref="A289:A290"/>
    <mergeCell ref="B289:B290"/>
    <mergeCell ref="C289:C290"/>
    <mergeCell ref="D289:D290"/>
    <mergeCell ref="E289:E290"/>
    <mergeCell ref="B291:B292"/>
    <mergeCell ref="E291:E292"/>
    <mergeCell ref="A291:A292"/>
    <mergeCell ref="A261:A262"/>
    <mergeCell ref="B261:B262"/>
    <mergeCell ref="C261:C262"/>
    <mergeCell ref="D261:D262"/>
    <mergeCell ref="E261:E262"/>
    <mergeCell ref="D285:D286"/>
    <mergeCell ref="E285:E286"/>
    <mergeCell ref="A281:A282"/>
    <mergeCell ref="A283:A284"/>
    <mergeCell ref="B283:B284"/>
    <mergeCell ref="C283:C284"/>
    <mergeCell ref="D283:D284"/>
    <mergeCell ref="E283:E284"/>
    <mergeCell ref="A285:A286"/>
    <mergeCell ref="C267:C268"/>
    <mergeCell ref="D267:D268"/>
    <mergeCell ref="E267:E268"/>
    <mergeCell ref="A269:A270"/>
    <mergeCell ref="B269:B270"/>
    <mergeCell ref="C269:C270"/>
    <mergeCell ref="A271:A272"/>
    <mergeCell ref="B271:B272"/>
    <mergeCell ref="C271:C272"/>
    <mergeCell ref="B273:B274"/>
    <mergeCell ref="D247:D248"/>
    <mergeCell ref="E247:E248"/>
    <mergeCell ref="D249:D250"/>
    <mergeCell ref="E249:E250"/>
    <mergeCell ref="D251:D252"/>
    <mergeCell ref="E251:E252"/>
    <mergeCell ref="A243:A244"/>
    <mergeCell ref="A245:A246"/>
    <mergeCell ref="B245:B246"/>
    <mergeCell ref="C245:C246"/>
    <mergeCell ref="D245:D246"/>
    <mergeCell ref="E245:E246"/>
    <mergeCell ref="A247:A248"/>
    <mergeCell ref="B247:B248"/>
    <mergeCell ref="C247:C248"/>
    <mergeCell ref="B249:B250"/>
    <mergeCell ref="C249:C250"/>
    <mergeCell ref="A251:A252"/>
    <mergeCell ref="B251:B252"/>
    <mergeCell ref="C251:C252"/>
    <mergeCell ref="C243:C244"/>
    <mergeCell ref="D243:D244"/>
    <mergeCell ref="A241:A242"/>
    <mergeCell ref="B241:B242"/>
    <mergeCell ref="C241:C242"/>
    <mergeCell ref="D241:D242"/>
    <mergeCell ref="E241:E242"/>
    <mergeCell ref="B243:B244"/>
    <mergeCell ref="E243:E244"/>
    <mergeCell ref="A253:A254"/>
    <mergeCell ref="B253:B254"/>
    <mergeCell ref="C253:C254"/>
    <mergeCell ref="D253:D254"/>
    <mergeCell ref="E253:E254"/>
    <mergeCell ref="B255:B256"/>
    <mergeCell ref="E255:E256"/>
    <mergeCell ref="D259:D260"/>
    <mergeCell ref="E259:E260"/>
    <mergeCell ref="A255:A256"/>
    <mergeCell ref="A257:A258"/>
    <mergeCell ref="B257:B258"/>
    <mergeCell ref="C257:C258"/>
    <mergeCell ref="D257:D258"/>
    <mergeCell ref="E257:E258"/>
    <mergeCell ref="A259:A260"/>
    <mergeCell ref="C255:C256"/>
    <mergeCell ref="D255:D256"/>
    <mergeCell ref="B259:B260"/>
    <mergeCell ref="C259:C260"/>
    <mergeCell ref="A227:A228"/>
    <mergeCell ref="B227:B228"/>
    <mergeCell ref="C227:C228"/>
    <mergeCell ref="D227:D228"/>
    <mergeCell ref="E227:E228"/>
    <mergeCell ref="A229:A230"/>
    <mergeCell ref="B237:B238"/>
    <mergeCell ref="C237:C238"/>
    <mergeCell ref="A239:A240"/>
    <mergeCell ref="B239:B240"/>
    <mergeCell ref="C239:C240"/>
    <mergeCell ref="D239:D240"/>
    <mergeCell ref="E239:E240"/>
    <mergeCell ref="D229:D230"/>
    <mergeCell ref="E229:E230"/>
    <mergeCell ref="D231:D232"/>
    <mergeCell ref="E231:E232"/>
    <mergeCell ref="D233:D234"/>
    <mergeCell ref="E233:E234"/>
    <mergeCell ref="B229:B230"/>
    <mergeCell ref="C229:C230"/>
    <mergeCell ref="A231:A232"/>
    <mergeCell ref="B231:B232"/>
    <mergeCell ref="C231:C232"/>
    <mergeCell ref="D221:D222"/>
    <mergeCell ref="E221:E222"/>
    <mergeCell ref="D223:D224"/>
    <mergeCell ref="E223:E224"/>
    <mergeCell ref="D225:D226"/>
    <mergeCell ref="E225:E226"/>
    <mergeCell ref="A217:A218"/>
    <mergeCell ref="A219:A220"/>
    <mergeCell ref="B219:B220"/>
    <mergeCell ref="C219:C220"/>
    <mergeCell ref="D219:D220"/>
    <mergeCell ref="E219:E220"/>
    <mergeCell ref="A221:A222"/>
    <mergeCell ref="B221:B222"/>
    <mergeCell ref="C221:C222"/>
    <mergeCell ref="A223:A224"/>
    <mergeCell ref="B223:B224"/>
    <mergeCell ref="C223:C224"/>
    <mergeCell ref="B225:B226"/>
    <mergeCell ref="C225:C226"/>
    <mergeCell ref="A225:A226"/>
    <mergeCell ref="C217:C218"/>
    <mergeCell ref="D217:D218"/>
    <mergeCell ref="A215:A216"/>
    <mergeCell ref="B215:B216"/>
    <mergeCell ref="C215:C216"/>
    <mergeCell ref="D215:D216"/>
    <mergeCell ref="E215:E216"/>
    <mergeCell ref="B217:B218"/>
    <mergeCell ref="E217:E218"/>
    <mergeCell ref="D237:D238"/>
    <mergeCell ref="E237:E238"/>
    <mergeCell ref="A233:A234"/>
    <mergeCell ref="A235:A236"/>
    <mergeCell ref="B235:B236"/>
    <mergeCell ref="C235:C236"/>
    <mergeCell ref="D235:D236"/>
    <mergeCell ref="E235:E236"/>
    <mergeCell ref="A237:A238"/>
    <mergeCell ref="B233:B234"/>
    <mergeCell ref="C233:C234"/>
    <mergeCell ref="D176:D177"/>
    <mergeCell ref="E176:E177"/>
    <mergeCell ref="D178:D179"/>
    <mergeCell ref="E178:E179"/>
    <mergeCell ref="D180:D181"/>
    <mergeCell ref="E180:E181"/>
    <mergeCell ref="B176:B177"/>
    <mergeCell ref="C176:C177"/>
    <mergeCell ref="A178:A179"/>
    <mergeCell ref="B178:B179"/>
    <mergeCell ref="C178:C179"/>
    <mergeCell ref="B180:B181"/>
    <mergeCell ref="C180:C181"/>
    <mergeCell ref="A133:A134"/>
    <mergeCell ref="B133:B134"/>
    <mergeCell ref="C133:C134"/>
    <mergeCell ref="D133:D134"/>
    <mergeCell ref="E133:E134"/>
    <mergeCell ref="C152:C153"/>
    <mergeCell ref="D152:D153"/>
    <mergeCell ref="A149:A151"/>
    <mergeCell ref="B149:B151"/>
    <mergeCell ref="C149:C151"/>
    <mergeCell ref="D149:D151"/>
    <mergeCell ref="E149:E151"/>
    <mergeCell ref="B152:B153"/>
    <mergeCell ref="E152:E153"/>
    <mergeCell ref="A122:A124"/>
    <mergeCell ref="B122:B124"/>
    <mergeCell ref="C122:C124"/>
    <mergeCell ref="D122:D124"/>
    <mergeCell ref="E122:E124"/>
    <mergeCell ref="C127:C128"/>
    <mergeCell ref="D127:D128"/>
    <mergeCell ref="B131:B132"/>
    <mergeCell ref="C131:C132"/>
    <mergeCell ref="D120:D121"/>
    <mergeCell ref="E120:E121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25:A126"/>
    <mergeCell ref="B125:B126"/>
    <mergeCell ref="C125:C126"/>
    <mergeCell ref="D125:D126"/>
    <mergeCell ref="E125:E126"/>
    <mergeCell ref="B127:B128"/>
    <mergeCell ref="E127:E128"/>
    <mergeCell ref="D131:D132"/>
    <mergeCell ref="E131:E132"/>
    <mergeCell ref="A127:A128"/>
    <mergeCell ref="A129:A130"/>
    <mergeCell ref="B129:B130"/>
    <mergeCell ref="C129:C130"/>
    <mergeCell ref="D129:D130"/>
    <mergeCell ref="E129:E130"/>
    <mergeCell ref="A131:A132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D108:D109"/>
    <mergeCell ref="E108:E109"/>
    <mergeCell ref="A110:A111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158:A159"/>
    <mergeCell ref="B158:B159"/>
    <mergeCell ref="C158:C159"/>
    <mergeCell ref="D158:D159"/>
    <mergeCell ref="E158:E159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110:D111"/>
    <mergeCell ref="E110:E111"/>
    <mergeCell ref="A106:A107"/>
    <mergeCell ref="A108:A109"/>
    <mergeCell ref="B108:B109"/>
    <mergeCell ref="C108:C109"/>
    <mergeCell ref="A147:A148"/>
    <mergeCell ref="B147:B148"/>
    <mergeCell ref="C147:C148"/>
    <mergeCell ref="D147:D148"/>
    <mergeCell ref="E147:E148"/>
    <mergeCell ref="B141:B142"/>
    <mergeCell ref="C141:C142"/>
    <mergeCell ref="A143:A144"/>
    <mergeCell ref="B143:B144"/>
    <mergeCell ref="C143:C144"/>
    <mergeCell ref="B145:B146"/>
    <mergeCell ref="C145:C146"/>
    <mergeCell ref="D141:D142"/>
    <mergeCell ref="E141:E142"/>
    <mergeCell ref="D143:D144"/>
    <mergeCell ref="E143:E144"/>
    <mergeCell ref="D145:D146"/>
    <mergeCell ref="E145:E146"/>
    <mergeCell ref="A137:A138"/>
    <mergeCell ref="A139:A140"/>
    <mergeCell ref="B139:B140"/>
    <mergeCell ref="C139:C140"/>
    <mergeCell ref="D139:D140"/>
    <mergeCell ref="E139:E140"/>
    <mergeCell ref="A141:A142"/>
    <mergeCell ref="A145:A146"/>
    <mergeCell ref="C137:C138"/>
    <mergeCell ref="D137:D138"/>
    <mergeCell ref="A135:A136"/>
    <mergeCell ref="B135:B136"/>
    <mergeCell ref="C135:C136"/>
    <mergeCell ref="D135:D136"/>
    <mergeCell ref="E135:E136"/>
    <mergeCell ref="B137:B138"/>
    <mergeCell ref="E137:E138"/>
    <mergeCell ref="D156:D157"/>
    <mergeCell ref="E156:E157"/>
    <mergeCell ref="A152:A153"/>
    <mergeCell ref="A154:A155"/>
    <mergeCell ref="B154:B155"/>
    <mergeCell ref="C154:C155"/>
    <mergeCell ref="D154:D155"/>
    <mergeCell ref="E154:E155"/>
    <mergeCell ref="A156:A157"/>
    <mergeCell ref="B156:B157"/>
    <mergeCell ref="C156:C15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7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16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9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23</v>
      </c>
      <c r="K13" s="79">
        <v>64829.35</v>
      </c>
      <c r="L13" s="268">
        <v>23</v>
      </c>
      <c r="M13" s="81">
        <f t="shared" si="0"/>
        <v>64829.35</v>
      </c>
      <c r="N13" s="79">
        <v>64829.35</v>
      </c>
      <c r="O13" s="97"/>
      <c r="P13" s="267">
        <v>15</v>
      </c>
      <c r="Q13" s="79">
        <v>116855.85</v>
      </c>
      <c r="R13" s="268">
        <v>15</v>
      </c>
      <c r="S13" s="81">
        <f t="shared" si="1"/>
        <v>116855.85</v>
      </c>
      <c r="T13" s="79">
        <v>116855.85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7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29</v>
      </c>
      <c r="J15" s="62">
        <v>50</v>
      </c>
      <c r="K15" s="30">
        <v>124437.22</v>
      </c>
      <c r="L15" s="205">
        <v>49</v>
      </c>
      <c r="M15" s="26">
        <f t="shared" si="0"/>
        <v>124035.82</v>
      </c>
      <c r="N15" s="30">
        <v>124035.82</v>
      </c>
      <c r="O15" s="299"/>
      <c r="P15" s="64">
        <v>20</v>
      </c>
      <c r="Q15" s="65">
        <v>105437</v>
      </c>
      <c r="R15" s="224">
        <v>20</v>
      </c>
      <c r="S15" s="50">
        <f t="shared" si="1"/>
        <v>105437</v>
      </c>
      <c r="T15" s="65">
        <v>105437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4</v>
      </c>
      <c r="J16" s="37">
        <v>4</v>
      </c>
      <c r="K16" s="68">
        <v>9438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5</v>
      </c>
      <c r="Q16" s="68">
        <v>24806.7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6</v>
      </c>
      <c r="I18" s="208">
        <v>2</v>
      </c>
      <c r="J18" s="208">
        <v>2</v>
      </c>
      <c r="K18" s="209">
        <v>1837.5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9</v>
      </c>
      <c r="Q18" s="209">
        <v>42612.91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17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9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15</v>
      </c>
      <c r="I21" s="266">
        <v>11</v>
      </c>
      <c r="J21" s="266">
        <v>17</v>
      </c>
      <c r="K21" s="79">
        <v>32485.85</v>
      </c>
      <c r="L21" s="268">
        <v>17</v>
      </c>
      <c r="M21" s="81">
        <f t="shared" si="0"/>
        <v>32485.85</v>
      </c>
      <c r="N21" s="79">
        <v>32485.85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23</v>
      </c>
      <c r="I23" s="203">
        <v>21</v>
      </c>
      <c r="J23" s="203">
        <v>33</v>
      </c>
      <c r="K23" s="65">
        <v>47551.15</v>
      </c>
      <c r="L23" s="224">
        <v>33</v>
      </c>
      <c r="M23" s="50">
        <f t="shared" si="0"/>
        <v>47551.15</v>
      </c>
      <c r="N23" s="65">
        <v>47551.15</v>
      </c>
      <c r="O23" s="225"/>
      <c r="P23" s="53">
        <v>18</v>
      </c>
      <c r="Q23" s="30">
        <v>40711.599999999999</v>
      </c>
      <c r="R23" s="205">
        <v>17</v>
      </c>
      <c r="S23" s="26">
        <f t="shared" si="1"/>
        <v>40711.599999999999</v>
      </c>
      <c r="T23" s="30">
        <v>40711.599999999999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3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19</v>
      </c>
      <c r="I25" s="62">
        <v>15</v>
      </c>
      <c r="J25" s="62">
        <v>15</v>
      </c>
      <c r="K25" s="62">
        <v>12972.19</v>
      </c>
      <c r="L25" s="205">
        <v>15</v>
      </c>
      <c r="M25" s="26">
        <f t="shared" si="0"/>
        <v>12972.19</v>
      </c>
      <c r="N25" s="30">
        <v>12972.19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6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17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9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11</v>
      </c>
      <c r="Q28" s="68">
        <v>47836.3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5</v>
      </c>
      <c r="S29" s="26">
        <f t="shared" si="1"/>
        <v>16015.34</v>
      </c>
      <c r="T29" s="30">
        <v>16015.34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8</v>
      </c>
      <c r="I30" s="130">
        <v>4</v>
      </c>
      <c r="J30" s="130">
        <v>4</v>
      </c>
      <c r="K30" s="114">
        <v>8988.4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16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6</v>
      </c>
      <c r="J34" s="130">
        <v>6</v>
      </c>
      <c r="K34" s="114">
        <v>15654.7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10</v>
      </c>
      <c r="M37" s="50">
        <f t="shared" si="2"/>
        <v>10039.700000000001</v>
      </c>
      <c r="N37" s="65">
        <v>10039.700000000001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3</v>
      </c>
      <c r="J38" s="208">
        <v>3</v>
      </c>
      <c r="K38" s="209">
        <v>4802.5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7</v>
      </c>
      <c r="I43" s="62">
        <v>4</v>
      </c>
      <c r="J43" s="62">
        <v>6</v>
      </c>
      <c r="K43" s="30">
        <v>19565.71</v>
      </c>
      <c r="L43" s="205">
        <v>6</v>
      </c>
      <c r="M43" s="26">
        <f t="shared" si="2"/>
        <v>19565.71</v>
      </c>
      <c r="N43" s="30">
        <v>19565.71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19</v>
      </c>
      <c r="J45" s="266">
        <v>25</v>
      </c>
      <c r="K45" s="79">
        <v>42205.75</v>
      </c>
      <c r="L45" s="268">
        <v>24</v>
      </c>
      <c r="M45" s="81">
        <f t="shared" si="2"/>
        <v>39175.68</v>
      </c>
      <c r="N45" s="79">
        <v>39175.68</v>
      </c>
      <c r="O45" s="314"/>
      <c r="P45" s="53">
        <v>21</v>
      </c>
      <c r="Q45" s="30">
        <v>80220.240000000005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29</v>
      </c>
      <c r="I47" s="62">
        <v>12</v>
      </c>
      <c r="J47" s="62">
        <v>15</v>
      </c>
      <c r="K47" s="30">
        <v>26748.73</v>
      </c>
      <c r="L47" s="205">
        <v>15</v>
      </c>
      <c r="M47" s="26">
        <f t="shared" si="2"/>
        <v>26748.73</v>
      </c>
      <c r="N47" s="30">
        <v>26748.73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4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8</v>
      </c>
      <c r="J50" s="266">
        <v>15</v>
      </c>
      <c r="K50" s="79">
        <v>29460.55</v>
      </c>
      <c r="L50" s="268">
        <v>9</v>
      </c>
      <c r="M50" s="81">
        <f t="shared" si="2"/>
        <v>29460.55</v>
      </c>
      <c r="N50" s="79">
        <v>14889.74</v>
      </c>
      <c r="O50" s="336">
        <v>14570.81</v>
      </c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2</v>
      </c>
      <c r="J53" s="338">
        <v>2</v>
      </c>
      <c r="K53" s="339">
        <v>2634.9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7</v>
      </c>
      <c r="I56" s="266">
        <v>3</v>
      </c>
      <c r="J56" s="266">
        <v>4</v>
      </c>
      <c r="K56" s="79">
        <v>7445.63</v>
      </c>
      <c r="L56" s="268">
        <v>4</v>
      </c>
      <c r="M56" s="81">
        <f t="shared" si="2"/>
        <v>7445.63</v>
      </c>
      <c r="N56" s="79">
        <v>7445.63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10</v>
      </c>
      <c r="I57" s="130">
        <v>7</v>
      </c>
      <c r="J57" s="130">
        <v>7</v>
      </c>
      <c r="K57" s="114">
        <v>17454.48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8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11</v>
      </c>
      <c r="Q59" s="68">
        <v>27095.83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9</v>
      </c>
      <c r="J60" s="203">
        <v>12</v>
      </c>
      <c r="K60" s="65">
        <v>24355.05</v>
      </c>
      <c r="L60" s="224">
        <v>9</v>
      </c>
      <c r="M60" s="50">
        <f t="shared" si="2"/>
        <v>17478.27</v>
      </c>
      <c r="N60" s="65">
        <v>17478.27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20</v>
      </c>
      <c r="I62" s="62">
        <v>18</v>
      </c>
      <c r="J62" s="62">
        <v>23</v>
      </c>
      <c r="K62" s="30">
        <v>41030.51</v>
      </c>
      <c r="L62" s="205">
        <v>23</v>
      </c>
      <c r="M62" s="26">
        <f t="shared" si="2"/>
        <v>41030.51</v>
      </c>
      <c r="N62" s="30">
        <v>41030.51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7</v>
      </c>
      <c r="I63" s="37">
        <v>5</v>
      </c>
      <c r="J63" s="37">
        <v>5</v>
      </c>
      <c r="K63" s="68">
        <v>7279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40</v>
      </c>
      <c r="I64" s="203">
        <v>35</v>
      </c>
      <c r="J64" s="203">
        <v>53</v>
      </c>
      <c r="K64" s="65">
        <v>107987.3</v>
      </c>
      <c r="L64" s="224">
        <v>53</v>
      </c>
      <c r="M64" s="50">
        <f t="shared" si="2"/>
        <v>107987.3</v>
      </c>
      <c r="N64" s="65">
        <v>107987.3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16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10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6</v>
      </c>
      <c r="J68" s="62">
        <v>7</v>
      </c>
      <c r="K68" s="30">
        <v>13445.23</v>
      </c>
      <c r="L68" s="205">
        <v>7</v>
      </c>
      <c r="M68" s="26">
        <f t="shared" si="2"/>
        <v>13445.23</v>
      </c>
      <c r="N68" s="30">
        <v>13445.23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9</v>
      </c>
      <c r="I69" s="37">
        <v>2</v>
      </c>
      <c r="J69" s="37">
        <v>2</v>
      </c>
      <c r="K69" s="68">
        <v>3132.58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10</v>
      </c>
      <c r="I70" s="266">
        <v>4</v>
      </c>
      <c r="J70" s="266">
        <v>5</v>
      </c>
      <c r="K70" s="79">
        <v>14670.7</v>
      </c>
      <c r="L70" s="268">
        <v>5</v>
      </c>
      <c r="M70" s="81">
        <f t="shared" si="2"/>
        <v>14670.7</v>
      </c>
      <c r="N70" s="79">
        <v>14670.7</v>
      </c>
      <c r="O70" s="219"/>
      <c r="P70" s="267">
        <v>4</v>
      </c>
      <c r="Q70" s="79">
        <v>8585.01</v>
      </c>
      <c r="R70" s="268">
        <v>4</v>
      </c>
      <c r="S70" s="81">
        <f t="shared" si="3"/>
        <v>8585.01</v>
      </c>
      <c r="T70" s="79">
        <v>8585.01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6</v>
      </c>
      <c r="J71" s="130">
        <v>6</v>
      </c>
      <c r="K71" s="114">
        <v>9712.0300000000007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5</v>
      </c>
      <c r="Q71" s="114">
        <v>40999.1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12</v>
      </c>
      <c r="I74" s="203">
        <v>3</v>
      </c>
      <c r="J74" s="203">
        <v>3</v>
      </c>
      <c r="K74" s="65">
        <v>5482.32</v>
      </c>
      <c r="L74" s="224">
        <v>3</v>
      </c>
      <c r="M74" s="50">
        <f t="shared" si="2"/>
        <v>5482.32</v>
      </c>
      <c r="N74" s="65">
        <v>5482.32</v>
      </c>
      <c r="O74" s="31"/>
      <c r="P74" s="108">
        <v>20</v>
      </c>
      <c r="Q74" s="65">
        <v>89755.89</v>
      </c>
      <c r="R74" s="224">
        <v>19</v>
      </c>
      <c r="S74" s="50">
        <f t="shared" si="3"/>
        <v>88488.03</v>
      </c>
      <c r="T74" s="65">
        <v>88488.03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3</v>
      </c>
      <c r="J75" s="130">
        <v>3</v>
      </c>
      <c r="K75" s="114">
        <v>7880.4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18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7</v>
      </c>
      <c r="I77" s="37">
        <v>3</v>
      </c>
      <c r="J77" s="37">
        <v>3</v>
      </c>
      <c r="K77" s="68">
        <v>10490.7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12</v>
      </c>
      <c r="I80" s="62">
        <v>10</v>
      </c>
      <c r="J80" s="62">
        <v>15</v>
      </c>
      <c r="K80" s="30">
        <v>27866.78</v>
      </c>
      <c r="L80" s="205">
        <v>14</v>
      </c>
      <c r="M80" s="26">
        <f t="shared" si="2"/>
        <v>25458.38</v>
      </c>
      <c r="N80" s="30">
        <v>25458.38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5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2</v>
      </c>
      <c r="S81" s="68">
        <v>8429.4</v>
      </c>
      <c r="T81" s="68">
        <v>8429.4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13</v>
      </c>
      <c r="I82" s="203">
        <v>9</v>
      </c>
      <c r="J82" s="203">
        <v>14</v>
      </c>
      <c r="K82" s="158">
        <v>36747.9</v>
      </c>
      <c r="L82" s="224">
        <v>14</v>
      </c>
      <c r="M82" s="50">
        <f t="shared" ref="M82:M98" si="4">N82+O82</f>
        <v>36747.9</v>
      </c>
      <c r="N82" s="65">
        <v>36747.9</v>
      </c>
      <c r="O82" s="225"/>
      <c r="P82" s="108">
        <v>14</v>
      </c>
      <c r="Q82" s="65">
        <v>56372.24</v>
      </c>
      <c r="R82" s="224">
        <v>13</v>
      </c>
      <c r="S82" s="50">
        <f t="shared" ref="S82:S98" si="5">T82+U82</f>
        <v>52889.43</v>
      </c>
      <c r="T82" s="65">
        <v>52889.43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51</v>
      </c>
      <c r="I84" s="62">
        <v>50</v>
      </c>
      <c r="J84" s="62">
        <v>79</v>
      </c>
      <c r="K84" s="30">
        <v>158684.14000000001</v>
      </c>
      <c r="L84" s="205">
        <v>64</v>
      </c>
      <c r="M84" s="26">
        <f t="shared" si="4"/>
        <v>159685.93</v>
      </c>
      <c r="N84" s="30">
        <v>130892.7</v>
      </c>
      <c r="O84" s="225">
        <v>28793.23</v>
      </c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11</v>
      </c>
      <c r="I86" s="62">
        <v>8</v>
      </c>
      <c r="J86" s="62">
        <v>8</v>
      </c>
      <c r="K86" s="30">
        <v>15378.24</v>
      </c>
      <c r="L86" s="205">
        <v>8</v>
      </c>
      <c r="M86" s="26">
        <f t="shared" si="4"/>
        <v>15378.24</v>
      </c>
      <c r="N86" s="30">
        <v>15378.24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2</v>
      </c>
      <c r="J87" s="208">
        <v>2</v>
      </c>
      <c r="K87" s="209">
        <v>8727.6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4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29</v>
      </c>
      <c r="I98" s="62">
        <v>20</v>
      </c>
      <c r="J98" s="62">
        <v>27</v>
      </c>
      <c r="K98" s="30">
        <v>46026.71</v>
      </c>
      <c r="L98" s="205">
        <v>24</v>
      </c>
      <c r="M98" s="26">
        <f t="shared" si="4"/>
        <v>42965.08</v>
      </c>
      <c r="N98" s="30">
        <v>42965.08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12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3</v>
      </c>
      <c r="M100" s="50">
        <f>N100+O100</f>
        <v>5605.94</v>
      </c>
      <c r="N100" s="65">
        <v>5605.94</v>
      </c>
      <c r="O100" s="31"/>
      <c r="P100" s="108">
        <v>11</v>
      </c>
      <c r="Q100" s="65">
        <v>118841.12</v>
      </c>
      <c r="R100" s="224">
        <v>11</v>
      </c>
      <c r="S100" s="50">
        <f t="shared" ref="S100:S108" si="6">T100+U100</f>
        <v>118841.12</v>
      </c>
      <c r="T100" s="65">
        <v>118841.12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3</v>
      </c>
      <c r="J101" s="130">
        <v>3</v>
      </c>
      <c r="K101" s="114">
        <v>3151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6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8" si="7">N102+O102</f>
        <v>8733.91</v>
      </c>
      <c r="N102" s="30">
        <v>8733.91</v>
      </c>
      <c r="O102" s="31"/>
      <c r="P102" s="53">
        <v>10</v>
      </c>
      <c r="Q102" s="30">
        <v>63373.52</v>
      </c>
      <c r="R102" s="205">
        <v>10</v>
      </c>
      <c r="S102" s="26">
        <f t="shared" si="6"/>
        <v>63373.52</v>
      </c>
      <c r="T102" s="30">
        <v>63373.52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3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38"/>
      <c r="J105" s="38"/>
      <c r="K105" s="39"/>
      <c r="L105" s="40"/>
      <c r="M105" s="39">
        <f t="shared" si="7"/>
        <v>0</v>
      </c>
      <c r="N105" s="39"/>
      <c r="O105" s="41"/>
      <c r="P105" s="59"/>
      <c r="Q105" s="39"/>
      <c r="R105" s="40"/>
      <c r="S105" s="39">
        <f t="shared" si="6"/>
        <v>0</v>
      </c>
      <c r="T105" s="39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85</v>
      </c>
      <c r="C106" s="374" t="s">
        <v>22</v>
      </c>
      <c r="D106" s="374"/>
      <c r="E106" s="374" t="s">
        <v>27</v>
      </c>
      <c r="F106" s="204" t="s">
        <v>501</v>
      </c>
      <c r="G106" s="176" t="s">
        <v>24</v>
      </c>
      <c r="H106" s="48"/>
      <c r="I106" s="266"/>
      <c r="J106" s="266"/>
      <c r="K106" s="79"/>
      <c r="L106" s="268"/>
      <c r="M106" s="361">
        <f t="shared" si="7"/>
        <v>0</v>
      </c>
      <c r="N106" s="79"/>
      <c r="O106" s="82"/>
      <c r="P106" s="267">
        <v>1</v>
      </c>
      <c r="Q106" s="79">
        <v>37459.5</v>
      </c>
      <c r="R106" s="268">
        <v>1</v>
      </c>
      <c r="S106" s="361">
        <f t="shared" si="6"/>
        <v>37459.5</v>
      </c>
      <c r="T106" s="79">
        <v>37459.5</v>
      </c>
      <c r="U106" s="336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305"/>
      <c r="G107" s="229" t="s">
        <v>28</v>
      </c>
      <c r="H107" s="353"/>
      <c r="I107" s="231"/>
      <c r="J107" s="231"/>
      <c r="K107" s="91"/>
      <c r="L107" s="330"/>
      <c r="M107" s="43">
        <f t="shared" si="7"/>
        <v>0</v>
      </c>
      <c r="N107" s="91"/>
      <c r="O107" s="89"/>
      <c r="P107" s="329"/>
      <c r="Q107" s="91"/>
      <c r="R107" s="330"/>
      <c r="S107" s="43">
        <f t="shared" si="6"/>
        <v>0</v>
      </c>
      <c r="T107" s="91"/>
      <c r="U107" s="342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94</v>
      </c>
      <c r="C108" s="374" t="s">
        <v>39</v>
      </c>
      <c r="D108" s="374" t="s">
        <v>95</v>
      </c>
      <c r="E108" s="374" t="s">
        <v>96</v>
      </c>
      <c r="F108" s="204" t="s">
        <v>292</v>
      </c>
      <c r="G108" s="176" t="s">
        <v>24</v>
      </c>
      <c r="H108" s="265">
        <v>8</v>
      </c>
      <c r="I108" s="62">
        <v>6</v>
      </c>
      <c r="J108" s="62">
        <v>8</v>
      </c>
      <c r="K108" s="30">
        <v>20920.14</v>
      </c>
      <c r="L108" s="205">
        <v>8</v>
      </c>
      <c r="M108" s="26">
        <f t="shared" si="7"/>
        <v>20920.14</v>
      </c>
      <c r="N108" s="30">
        <v>20920.14</v>
      </c>
      <c r="O108" s="219"/>
      <c r="P108" s="53">
        <v>28</v>
      </c>
      <c r="Q108" s="30">
        <v>97450.12</v>
      </c>
      <c r="R108" s="205">
        <v>28</v>
      </c>
      <c r="S108" s="26">
        <f t="shared" si="6"/>
        <v>97450.12</v>
      </c>
      <c r="T108" s="30">
        <v>97450.12</v>
      </c>
      <c r="U108" s="269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293</v>
      </c>
      <c r="G109" s="307" t="s">
        <v>25</v>
      </c>
      <c r="H109" s="112">
        <v>10</v>
      </c>
      <c r="I109" s="130">
        <v>8</v>
      </c>
      <c r="J109" s="130">
        <v>8</v>
      </c>
      <c r="K109" s="114">
        <v>10899.4</v>
      </c>
      <c r="L109" s="270">
        <v>8</v>
      </c>
      <c r="M109" s="114">
        <v>10899.4</v>
      </c>
      <c r="N109" s="114">
        <v>10899.4</v>
      </c>
      <c r="O109" s="234"/>
      <c r="P109" s="113">
        <v>10</v>
      </c>
      <c r="Q109" s="114">
        <v>23220.94</v>
      </c>
      <c r="R109" s="270">
        <v>10</v>
      </c>
      <c r="S109" s="114">
        <v>23220.94</v>
      </c>
      <c r="T109" s="114">
        <v>23220.94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97</v>
      </c>
      <c r="C110" s="374" t="s">
        <v>22</v>
      </c>
      <c r="D110" s="374"/>
      <c r="E110" s="374" t="s">
        <v>27</v>
      </c>
      <c r="F110" s="232" t="s">
        <v>406</v>
      </c>
      <c r="G110" s="176" t="s">
        <v>24</v>
      </c>
      <c r="H110" s="248">
        <v>9</v>
      </c>
      <c r="I110" s="62">
        <v>7</v>
      </c>
      <c r="J110" s="62">
        <v>7</v>
      </c>
      <c r="K110" s="30">
        <v>6110.93</v>
      </c>
      <c r="L110" s="205">
        <v>7</v>
      </c>
      <c r="M110" s="26">
        <f t="shared" ref="M110:M125" si="8">N110+O110</f>
        <v>6110.93</v>
      </c>
      <c r="N110" s="30">
        <v>6110.93</v>
      </c>
      <c r="O110" s="225"/>
      <c r="P110" s="53">
        <v>7</v>
      </c>
      <c r="Q110" s="30">
        <v>12035.94</v>
      </c>
      <c r="R110" s="205">
        <v>7</v>
      </c>
      <c r="S110" s="26">
        <f t="shared" ref="S110:S143" si="9">T110+U110</f>
        <v>12035.94</v>
      </c>
      <c r="T110" s="30">
        <v>12035.94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294</v>
      </c>
      <c r="G111" s="229" t="s">
        <v>28</v>
      </c>
      <c r="H111" s="251">
        <v>7</v>
      </c>
      <c r="I111" s="208">
        <v>4</v>
      </c>
      <c r="J111" s="208">
        <v>4</v>
      </c>
      <c r="K111" s="209">
        <v>5955.1</v>
      </c>
      <c r="L111" s="290">
        <v>4</v>
      </c>
      <c r="M111" s="211">
        <f t="shared" si="8"/>
        <v>5955.0999999999995</v>
      </c>
      <c r="N111" s="209">
        <f>1344.7+3265.7+1344.7</f>
        <v>5955.0999999999995</v>
      </c>
      <c r="O111" s="212"/>
      <c r="P111" s="103"/>
      <c r="Q111" s="43"/>
      <c r="R111" s="270">
        <v>1</v>
      </c>
      <c r="S111" s="43">
        <f t="shared" si="9"/>
        <v>2209.15</v>
      </c>
      <c r="T111" s="114">
        <v>2209.15</v>
      </c>
      <c r="U111" s="23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6"/>
      <c r="B112" s="377" t="s">
        <v>98</v>
      </c>
      <c r="C112" s="377" t="s">
        <v>39</v>
      </c>
      <c r="D112" s="377" t="s">
        <v>270</v>
      </c>
      <c r="E112" s="377" t="s">
        <v>99</v>
      </c>
      <c r="F112" s="232" t="s">
        <v>271</v>
      </c>
      <c r="G112" s="73" t="s">
        <v>24</v>
      </c>
      <c r="H112" s="24">
        <v>17</v>
      </c>
      <c r="I112" s="62">
        <v>10</v>
      </c>
      <c r="J112" s="62">
        <v>16</v>
      </c>
      <c r="K112" s="30">
        <v>29995.7</v>
      </c>
      <c r="L112" s="205">
        <v>16</v>
      </c>
      <c r="M112" s="26">
        <f t="shared" si="8"/>
        <v>29995.7</v>
      </c>
      <c r="N112" s="30">
        <v>29995.7</v>
      </c>
      <c r="O112" s="241"/>
      <c r="P112" s="214">
        <v>14</v>
      </c>
      <c r="Q112" s="30">
        <v>75827.070000000007</v>
      </c>
      <c r="R112" s="205">
        <v>14</v>
      </c>
      <c r="S112" s="26">
        <f t="shared" si="9"/>
        <v>75827.070000000007</v>
      </c>
      <c r="T112" s="30">
        <v>75827.070000000007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295</v>
      </c>
      <c r="G113" s="215" t="s">
        <v>28</v>
      </c>
      <c r="H113" s="66">
        <v>11</v>
      </c>
      <c r="I113" s="286">
        <v>7</v>
      </c>
      <c r="J113" s="286">
        <v>7</v>
      </c>
      <c r="K113" s="287">
        <v>21767.4</v>
      </c>
      <c r="L113" s="315">
        <v>7</v>
      </c>
      <c r="M113" s="39">
        <f t="shared" si="8"/>
        <v>21767.4</v>
      </c>
      <c r="N113" s="39">
        <f>1921+3073.6+1921+3010.5+1404.9+2408.4+8028</f>
        <v>21767.4</v>
      </c>
      <c r="O113" s="41"/>
      <c r="P113" s="217">
        <v>4</v>
      </c>
      <c r="Q113" s="37">
        <v>19940.650000000001</v>
      </c>
      <c r="R113" s="285">
        <v>4</v>
      </c>
      <c r="S113" s="39">
        <f t="shared" si="9"/>
        <v>21093.25</v>
      </c>
      <c r="T113" s="68">
        <f>1056.55+3457.8+4226.2+12352.7</f>
        <v>21093.25</v>
      </c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100</v>
      </c>
      <c r="C114" s="374" t="s">
        <v>39</v>
      </c>
      <c r="D114" s="381" t="s">
        <v>296</v>
      </c>
      <c r="E114" s="381" t="s">
        <v>27</v>
      </c>
      <c r="F114" s="223" t="s">
        <v>297</v>
      </c>
      <c r="G114" s="47" t="s">
        <v>24</v>
      </c>
      <c r="H114" s="218"/>
      <c r="I114" s="96"/>
      <c r="J114" s="96"/>
      <c r="K114" s="81"/>
      <c r="L114" s="80"/>
      <c r="M114" s="81">
        <f t="shared" si="8"/>
        <v>0</v>
      </c>
      <c r="N114" s="81"/>
      <c r="O114" s="219"/>
      <c r="P114" s="108">
        <v>4</v>
      </c>
      <c r="Q114" s="65">
        <v>17684.7</v>
      </c>
      <c r="R114" s="224">
        <v>4</v>
      </c>
      <c r="S114" s="50">
        <f t="shared" si="9"/>
        <v>17684.7</v>
      </c>
      <c r="T114" s="65">
        <v>17684.7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220" t="s">
        <v>298</v>
      </c>
      <c r="G115" s="35" t="s">
        <v>28</v>
      </c>
      <c r="H115" s="133">
        <v>5</v>
      </c>
      <c r="I115" s="37">
        <v>1</v>
      </c>
      <c r="J115" s="37">
        <v>1</v>
      </c>
      <c r="K115" s="68">
        <v>864.45</v>
      </c>
      <c r="L115" s="285">
        <v>1</v>
      </c>
      <c r="M115" s="39">
        <f t="shared" si="8"/>
        <v>864.15</v>
      </c>
      <c r="N115" s="39">
        <f>864.15</f>
        <v>864.15</v>
      </c>
      <c r="O115" s="41"/>
      <c r="P115" s="115">
        <v>1</v>
      </c>
      <c r="Q115" s="68">
        <v>1152.5999999999999</v>
      </c>
      <c r="R115" s="40"/>
      <c r="S115" s="39">
        <f t="shared" si="9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102</v>
      </c>
      <c r="C116" s="381" t="s">
        <v>22</v>
      </c>
      <c r="D116" s="381"/>
      <c r="E116" s="381" t="s">
        <v>67</v>
      </c>
      <c r="F116" s="223" t="s">
        <v>272</v>
      </c>
      <c r="G116" s="23" t="s">
        <v>24</v>
      </c>
      <c r="H116" s="48">
        <v>15</v>
      </c>
      <c r="I116" s="203">
        <v>12</v>
      </c>
      <c r="J116" s="203">
        <v>13</v>
      </c>
      <c r="K116" s="65">
        <v>23143.51</v>
      </c>
      <c r="L116" s="224">
        <v>13</v>
      </c>
      <c r="M116" s="50">
        <f t="shared" si="8"/>
        <v>23143.51</v>
      </c>
      <c r="N116" s="65">
        <v>23143.51</v>
      </c>
      <c r="O116" s="225"/>
      <c r="P116" s="108">
        <v>12</v>
      </c>
      <c r="Q116" s="65">
        <v>49261.74</v>
      </c>
      <c r="R116" s="224">
        <v>12</v>
      </c>
      <c r="S116" s="50">
        <f t="shared" si="9"/>
        <v>49261.74</v>
      </c>
      <c r="T116" s="65">
        <v>49261.74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9"/>
      <c r="B117" s="380"/>
      <c r="C117" s="380"/>
      <c r="D117" s="380"/>
      <c r="E117" s="380"/>
      <c r="F117" s="220" t="s">
        <v>299</v>
      </c>
      <c r="G117" s="55" t="s">
        <v>28</v>
      </c>
      <c r="H117" s="153">
        <v>10</v>
      </c>
      <c r="I117" s="130">
        <v>6</v>
      </c>
      <c r="J117" s="130">
        <v>6</v>
      </c>
      <c r="K117" s="114">
        <v>13482.3</v>
      </c>
      <c r="L117" s="316">
        <v>6</v>
      </c>
      <c r="M117" s="50">
        <f t="shared" si="8"/>
        <v>5770.3</v>
      </c>
      <c r="N117" s="43">
        <f>1290.6+1152.6+1290.6+694.3+602.1+740.1</f>
        <v>5770.3</v>
      </c>
      <c r="O117" s="41"/>
      <c r="P117" s="113">
        <v>3</v>
      </c>
      <c r="Q117" s="114">
        <v>14347.1</v>
      </c>
      <c r="R117" s="270">
        <v>4</v>
      </c>
      <c r="S117" s="43">
        <f t="shared" si="9"/>
        <v>19149.900000000001</v>
      </c>
      <c r="T117" s="114">
        <f>4358.2+3649.9+4802.5+6339.3</f>
        <v>19149.900000000001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103</v>
      </c>
      <c r="C118" s="374" t="s">
        <v>22</v>
      </c>
      <c r="D118" s="374"/>
      <c r="E118" s="374" t="s">
        <v>67</v>
      </c>
      <c r="F118" s="232" t="s">
        <v>407</v>
      </c>
      <c r="G118" s="23" t="s">
        <v>24</v>
      </c>
      <c r="H118" s="48">
        <v>8</v>
      </c>
      <c r="I118" s="62">
        <v>4</v>
      </c>
      <c r="J118" s="62">
        <v>5</v>
      </c>
      <c r="K118" s="30">
        <v>8528</v>
      </c>
      <c r="L118" s="205">
        <v>5</v>
      </c>
      <c r="M118" s="26">
        <f t="shared" si="8"/>
        <v>8528</v>
      </c>
      <c r="N118" s="30">
        <v>8528</v>
      </c>
      <c r="O118" s="225"/>
      <c r="P118" s="53">
        <v>6</v>
      </c>
      <c r="Q118" s="30">
        <v>12782.06</v>
      </c>
      <c r="R118" s="205">
        <v>6</v>
      </c>
      <c r="S118" s="26">
        <f t="shared" si="9"/>
        <v>12782.06</v>
      </c>
      <c r="T118" s="30">
        <v>12782.06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220" t="s">
        <v>300</v>
      </c>
      <c r="G119" s="35" t="s">
        <v>28</v>
      </c>
      <c r="H119" s="133">
        <v>7</v>
      </c>
      <c r="I119" s="37">
        <v>7</v>
      </c>
      <c r="J119" s="37">
        <v>8</v>
      </c>
      <c r="K119" s="68">
        <v>18950.099999999999</v>
      </c>
      <c r="L119" s="285">
        <v>6</v>
      </c>
      <c r="M119" s="39">
        <f t="shared" si="8"/>
        <v>17111.8</v>
      </c>
      <c r="N119" s="39">
        <f>1580.8+3353.7+4415.4+1404.9+762.1+5594.9</f>
        <v>17111.8</v>
      </c>
      <c r="O119" s="41"/>
      <c r="P119" s="115">
        <v>3</v>
      </c>
      <c r="Q119" s="68">
        <v>4092.9</v>
      </c>
      <c r="R119" s="285">
        <v>3</v>
      </c>
      <c r="S119" s="39">
        <f t="shared" si="9"/>
        <v>8836.6</v>
      </c>
      <c r="T119" s="39">
        <f>5378.8+1344.7+2113.1</f>
        <v>8836.6</v>
      </c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104</v>
      </c>
      <c r="C120" s="374" t="s">
        <v>39</v>
      </c>
      <c r="D120" s="374" t="s">
        <v>301</v>
      </c>
      <c r="E120" s="374" t="s">
        <v>27</v>
      </c>
      <c r="F120" s="204" t="s">
        <v>302</v>
      </c>
      <c r="G120" s="176" t="s">
        <v>24</v>
      </c>
      <c r="H120" s="48">
        <v>25</v>
      </c>
      <c r="I120" s="203">
        <v>19</v>
      </c>
      <c r="J120" s="203">
        <v>23</v>
      </c>
      <c r="K120" s="65">
        <v>56337.54</v>
      </c>
      <c r="L120" s="224">
        <v>23</v>
      </c>
      <c r="M120" s="50">
        <f t="shared" si="8"/>
        <v>56337.54</v>
      </c>
      <c r="N120" s="65">
        <v>56337.54</v>
      </c>
      <c r="O120" s="225"/>
      <c r="P120" s="108">
        <v>23</v>
      </c>
      <c r="Q120" s="65">
        <v>105066.33</v>
      </c>
      <c r="R120" s="224">
        <v>22</v>
      </c>
      <c r="S120" s="50">
        <f t="shared" si="9"/>
        <v>103740.81</v>
      </c>
      <c r="T120" s="65">
        <v>103740.81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229" t="s">
        <v>28</v>
      </c>
      <c r="H121" s="116"/>
      <c r="I121" s="57"/>
      <c r="J121" s="57"/>
      <c r="K121" s="43"/>
      <c r="L121" s="44"/>
      <c r="M121" s="43">
        <f t="shared" si="8"/>
        <v>0</v>
      </c>
      <c r="N121" s="43"/>
      <c r="O121" s="41"/>
      <c r="P121" s="113">
        <v>1</v>
      </c>
      <c r="Q121" s="114">
        <v>1545.39</v>
      </c>
      <c r="R121" s="44"/>
      <c r="S121" s="43">
        <f t="shared" si="9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106</v>
      </c>
      <c r="C122" s="377" t="s">
        <v>39</v>
      </c>
      <c r="D122" s="374" t="s">
        <v>107</v>
      </c>
      <c r="E122" s="374" t="s">
        <v>27</v>
      </c>
      <c r="F122" s="232" t="s">
        <v>366</v>
      </c>
      <c r="G122" s="23" t="s">
        <v>24</v>
      </c>
      <c r="H122" s="48">
        <v>10</v>
      </c>
      <c r="I122" s="62">
        <v>9</v>
      </c>
      <c r="J122" s="62">
        <v>9</v>
      </c>
      <c r="K122" s="30">
        <v>7593.07</v>
      </c>
      <c r="L122" s="205">
        <v>9</v>
      </c>
      <c r="M122" s="26">
        <f t="shared" si="8"/>
        <v>7593.07</v>
      </c>
      <c r="N122" s="30">
        <v>7593.07</v>
      </c>
      <c r="O122" s="31"/>
      <c r="P122" s="53">
        <v>12</v>
      </c>
      <c r="Q122" s="30">
        <v>83574.48</v>
      </c>
      <c r="R122" s="205">
        <v>12</v>
      </c>
      <c r="S122" s="26">
        <f t="shared" si="9"/>
        <v>83574.48</v>
      </c>
      <c r="T122" s="30">
        <v>83574.48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233</v>
      </c>
      <c r="G123" s="227" t="s">
        <v>28</v>
      </c>
      <c r="H123" s="153">
        <v>6</v>
      </c>
      <c r="I123" s="130">
        <v>5</v>
      </c>
      <c r="J123" s="130">
        <v>5</v>
      </c>
      <c r="K123" s="114">
        <v>1535.36</v>
      </c>
      <c r="L123" s="270">
        <v>1</v>
      </c>
      <c r="M123" s="43">
        <f t="shared" si="8"/>
        <v>576.29999999999995</v>
      </c>
      <c r="N123" s="43">
        <f>576.3</f>
        <v>576.29999999999995</v>
      </c>
      <c r="O123" s="41"/>
      <c r="P123" s="113">
        <v>5</v>
      </c>
      <c r="Q123" s="114">
        <v>5892</v>
      </c>
      <c r="R123" s="270">
        <v>2</v>
      </c>
      <c r="S123" s="43">
        <f t="shared" si="9"/>
        <v>2881.5</v>
      </c>
      <c r="T123" s="57">
        <f>576.3+2305.2</f>
        <v>2881.5</v>
      </c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108</v>
      </c>
      <c r="C124" s="374" t="s">
        <v>46</v>
      </c>
      <c r="D124" s="374" t="s">
        <v>109</v>
      </c>
      <c r="E124" s="374" t="s">
        <v>27</v>
      </c>
      <c r="F124" s="204" t="s">
        <v>273</v>
      </c>
      <c r="G124" s="176" t="s">
        <v>24</v>
      </c>
      <c r="H124" s="151">
        <v>18</v>
      </c>
      <c r="I124" s="62">
        <v>14</v>
      </c>
      <c r="J124" s="62">
        <v>14</v>
      </c>
      <c r="K124" s="30">
        <v>12003.49</v>
      </c>
      <c r="L124" s="205">
        <v>14</v>
      </c>
      <c r="M124" s="26">
        <f t="shared" si="8"/>
        <v>12003.49</v>
      </c>
      <c r="N124" s="30">
        <v>12003.49</v>
      </c>
      <c r="O124" s="31"/>
      <c r="P124" s="53">
        <v>9</v>
      </c>
      <c r="Q124" s="30">
        <v>34430.15</v>
      </c>
      <c r="R124" s="205">
        <v>9</v>
      </c>
      <c r="S124" s="26">
        <f t="shared" si="9"/>
        <v>34430.15</v>
      </c>
      <c r="T124" s="30">
        <v>34430.15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87"/>
      <c r="B125" s="386"/>
      <c r="C125" s="386"/>
      <c r="D125" s="386"/>
      <c r="E125" s="386"/>
      <c r="F125" s="235" t="s">
        <v>234</v>
      </c>
      <c r="G125" s="252" t="s">
        <v>28</v>
      </c>
      <c r="H125" s="48">
        <v>8</v>
      </c>
      <c r="I125" s="246">
        <v>4</v>
      </c>
      <c r="J125" s="246">
        <v>4</v>
      </c>
      <c r="K125" s="158">
        <v>3561</v>
      </c>
      <c r="L125" s="317">
        <v>2</v>
      </c>
      <c r="M125" s="142">
        <f t="shared" si="8"/>
        <v>2583.3000000000002</v>
      </c>
      <c r="N125" s="142">
        <f>576.3+2007</f>
        <v>2583.3000000000002</v>
      </c>
      <c r="O125" s="45"/>
      <c r="P125" s="157">
        <v>8</v>
      </c>
      <c r="Q125" s="158">
        <v>15445.86</v>
      </c>
      <c r="R125" s="317">
        <v>5</v>
      </c>
      <c r="S125" s="142">
        <f t="shared" si="9"/>
        <v>13044.61</v>
      </c>
      <c r="T125" s="142">
        <f>288.15+576.3+5648.76+3649.9+2881.5</f>
        <v>13044.61</v>
      </c>
      <c r="U125" s="4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3"/>
      <c r="B126" s="375"/>
      <c r="C126" s="375"/>
      <c r="D126" s="375"/>
      <c r="E126" s="375"/>
      <c r="F126" s="359" t="s">
        <v>490</v>
      </c>
      <c r="G126" s="253" t="s">
        <v>25</v>
      </c>
      <c r="H126" s="306">
        <v>1</v>
      </c>
      <c r="I126" s="37">
        <v>1</v>
      </c>
      <c r="J126" s="37">
        <v>1</v>
      </c>
      <c r="K126" s="68">
        <v>2881.5</v>
      </c>
      <c r="L126" s="285">
        <v>1</v>
      </c>
      <c r="M126" s="68">
        <v>2881.5</v>
      </c>
      <c r="N126" s="68">
        <v>2881.5</v>
      </c>
      <c r="O126" s="41"/>
      <c r="P126" s="59"/>
      <c r="Q126" s="39"/>
      <c r="R126" s="40"/>
      <c r="S126" s="39">
        <f t="shared" si="9"/>
        <v>0</v>
      </c>
      <c r="T126" s="39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6"/>
      <c r="B127" s="377" t="s">
        <v>110</v>
      </c>
      <c r="C127" s="377" t="s">
        <v>22</v>
      </c>
      <c r="D127" s="377"/>
      <c r="E127" s="377" t="s">
        <v>67</v>
      </c>
      <c r="F127" s="232" t="s">
        <v>274</v>
      </c>
      <c r="G127" s="23" t="s">
        <v>24</v>
      </c>
      <c r="H127" s="48">
        <v>5</v>
      </c>
      <c r="I127" s="203">
        <v>4</v>
      </c>
      <c r="J127" s="203">
        <v>6</v>
      </c>
      <c r="K127" s="65">
        <v>7512.06</v>
      </c>
      <c r="L127" s="224">
        <v>6</v>
      </c>
      <c r="M127" s="50">
        <f t="shared" ref="M127:M143" si="10">N127+O127</f>
        <v>7512.06</v>
      </c>
      <c r="N127" s="65">
        <v>7512.06</v>
      </c>
      <c r="O127" s="31"/>
      <c r="P127" s="108">
        <v>9</v>
      </c>
      <c r="Q127" s="65">
        <v>40341.25</v>
      </c>
      <c r="R127" s="224">
        <v>9</v>
      </c>
      <c r="S127" s="50">
        <f t="shared" si="9"/>
        <v>40341.25</v>
      </c>
      <c r="T127" s="65">
        <v>40341.25</v>
      </c>
      <c r="U127" s="22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34"/>
      <c r="G128" s="55" t="s">
        <v>28</v>
      </c>
      <c r="H128" s="116"/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111</v>
      </c>
      <c r="C129" s="374" t="s">
        <v>39</v>
      </c>
      <c r="D129" s="374" t="s">
        <v>435</v>
      </c>
      <c r="E129" s="374" t="s">
        <v>112</v>
      </c>
      <c r="F129" s="232" t="s">
        <v>436</v>
      </c>
      <c r="G129" s="23" t="s">
        <v>24</v>
      </c>
      <c r="H129" s="48">
        <v>14</v>
      </c>
      <c r="I129" s="62">
        <v>12</v>
      </c>
      <c r="J129" s="62">
        <v>17</v>
      </c>
      <c r="K129" s="30">
        <v>41780.9</v>
      </c>
      <c r="L129" s="205">
        <v>17</v>
      </c>
      <c r="M129" s="26">
        <f t="shared" si="10"/>
        <v>41780.9</v>
      </c>
      <c r="N129" s="30">
        <v>41780.9</v>
      </c>
      <c r="O129" s="31"/>
      <c r="P129" s="53">
        <v>5</v>
      </c>
      <c r="Q129" s="30">
        <v>19946.89</v>
      </c>
      <c r="R129" s="205">
        <v>5</v>
      </c>
      <c r="S129" s="26">
        <f t="shared" si="9"/>
        <v>19946.89</v>
      </c>
      <c r="T129" s="30">
        <v>19946.89</v>
      </c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9"/>
      <c r="B130" s="380"/>
      <c r="C130" s="380"/>
      <c r="D130" s="380"/>
      <c r="E130" s="380"/>
      <c r="F130" s="233" t="s">
        <v>235</v>
      </c>
      <c r="G130" s="227" t="s">
        <v>28</v>
      </c>
      <c r="H130" s="133">
        <v>1</v>
      </c>
      <c r="I130" s="57"/>
      <c r="J130" s="57"/>
      <c r="K130" s="43"/>
      <c r="L130" s="44"/>
      <c r="M130" s="43">
        <f t="shared" si="10"/>
        <v>0</v>
      </c>
      <c r="N130" s="43"/>
      <c r="O130" s="41"/>
      <c r="P130" s="103"/>
      <c r="Q130" s="43"/>
      <c r="R130" s="44"/>
      <c r="S130" s="43">
        <f t="shared" si="9"/>
        <v>0</v>
      </c>
      <c r="T130" s="43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113</v>
      </c>
      <c r="C131" s="374" t="s">
        <v>39</v>
      </c>
      <c r="D131" s="374" t="s">
        <v>114</v>
      </c>
      <c r="E131" s="374" t="s">
        <v>27</v>
      </c>
      <c r="F131" s="204" t="s">
        <v>305</v>
      </c>
      <c r="G131" s="176" t="s">
        <v>24</v>
      </c>
      <c r="H131" s="48">
        <v>21</v>
      </c>
      <c r="I131" s="62">
        <v>21</v>
      </c>
      <c r="J131" s="62">
        <v>29</v>
      </c>
      <c r="K131" s="30">
        <v>70031.350000000006</v>
      </c>
      <c r="L131" s="205">
        <v>26</v>
      </c>
      <c r="M131" s="26">
        <f t="shared" si="10"/>
        <v>66481.97</v>
      </c>
      <c r="N131" s="30">
        <v>66481.97</v>
      </c>
      <c r="O131" s="225"/>
      <c r="P131" s="53">
        <v>11</v>
      </c>
      <c r="Q131" s="30">
        <v>31033.06</v>
      </c>
      <c r="R131" s="205">
        <v>11</v>
      </c>
      <c r="S131" s="26">
        <f t="shared" si="9"/>
        <v>31033.06</v>
      </c>
      <c r="T131" s="30">
        <v>31033.06</v>
      </c>
      <c r="U131" s="22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0" t="s">
        <v>306</v>
      </c>
      <c r="G132" s="229" t="s">
        <v>28</v>
      </c>
      <c r="H132" s="56">
        <v>6</v>
      </c>
      <c r="I132" s="130">
        <v>3</v>
      </c>
      <c r="J132" s="130">
        <v>3</v>
      </c>
      <c r="K132" s="114">
        <v>4816.8</v>
      </c>
      <c r="L132" s="270">
        <v>3</v>
      </c>
      <c r="M132" s="43">
        <f t="shared" si="10"/>
        <v>4905.7000000000007</v>
      </c>
      <c r="N132" s="43">
        <f>1152.6+1344.7+2408.4</f>
        <v>4905.7000000000007</v>
      </c>
      <c r="O132" s="45"/>
      <c r="P132" s="113">
        <v>2</v>
      </c>
      <c r="Q132" s="114">
        <v>5186.7</v>
      </c>
      <c r="R132" s="270">
        <v>2</v>
      </c>
      <c r="S132" s="43">
        <f t="shared" si="9"/>
        <v>5186.7</v>
      </c>
      <c r="T132" s="43">
        <f>5186.7</f>
        <v>5186.7</v>
      </c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2"/>
      <c r="B133" s="374" t="s">
        <v>115</v>
      </c>
      <c r="C133" s="374" t="s">
        <v>22</v>
      </c>
      <c r="D133" s="374"/>
      <c r="E133" s="374" t="s">
        <v>27</v>
      </c>
      <c r="F133" s="22"/>
      <c r="G133" s="23" t="s">
        <v>24</v>
      </c>
      <c r="H133" s="104"/>
      <c r="I133" s="25"/>
      <c r="J133" s="25"/>
      <c r="K133" s="26"/>
      <c r="L133" s="148"/>
      <c r="M133" s="149">
        <f t="shared" si="10"/>
        <v>0</v>
      </c>
      <c r="N133" s="26"/>
      <c r="O133" s="100"/>
      <c r="P133" s="120"/>
      <c r="Q133" s="26"/>
      <c r="R133" s="27"/>
      <c r="S133" s="26">
        <f t="shared" si="9"/>
        <v>0</v>
      </c>
      <c r="T133" s="26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06"/>
      <c r="I134" s="38"/>
      <c r="J134" s="38"/>
      <c r="K134" s="39"/>
      <c r="L134" s="40"/>
      <c r="M134" s="39">
        <f t="shared" si="10"/>
        <v>0</v>
      </c>
      <c r="N134" s="39"/>
      <c r="O134" s="41"/>
      <c r="P134" s="69"/>
      <c r="Q134" s="39"/>
      <c r="R134" s="40"/>
      <c r="S134" s="39">
        <f t="shared" si="9"/>
        <v>0</v>
      </c>
      <c r="T134" s="39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116</v>
      </c>
      <c r="C135" s="381" t="s">
        <v>22</v>
      </c>
      <c r="D135" s="381"/>
      <c r="E135" s="381" t="s">
        <v>27</v>
      </c>
      <c r="F135" s="223" t="s">
        <v>307</v>
      </c>
      <c r="G135" s="47" t="s">
        <v>24</v>
      </c>
      <c r="H135" s="61">
        <v>9</v>
      </c>
      <c r="I135" s="62">
        <v>7</v>
      </c>
      <c r="J135" s="62">
        <v>11</v>
      </c>
      <c r="K135" s="30">
        <v>19669.79</v>
      </c>
      <c r="L135" s="205">
        <v>11</v>
      </c>
      <c r="M135" s="26">
        <f t="shared" si="10"/>
        <v>19669.79</v>
      </c>
      <c r="N135" s="30">
        <v>19669.79</v>
      </c>
      <c r="O135" s="243"/>
      <c r="P135" s="64">
        <v>4</v>
      </c>
      <c r="Q135" s="65">
        <v>10597.93</v>
      </c>
      <c r="R135" s="224">
        <v>4</v>
      </c>
      <c r="S135" s="50">
        <f t="shared" si="9"/>
        <v>10597.93</v>
      </c>
      <c r="T135" s="65">
        <v>10597.93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35" t="s">
        <v>28</v>
      </c>
      <c r="H136" s="133">
        <v>6</v>
      </c>
      <c r="I136" s="38"/>
      <c r="J136" s="38"/>
      <c r="K136" s="39"/>
      <c r="L136" s="40"/>
      <c r="M136" s="39">
        <f t="shared" si="10"/>
        <v>0</v>
      </c>
      <c r="N136" s="39"/>
      <c r="O136" s="41"/>
      <c r="P136" s="67">
        <v>1</v>
      </c>
      <c r="Q136" s="68">
        <v>2305.1999999999998</v>
      </c>
      <c r="R136" s="285">
        <v>1</v>
      </c>
      <c r="S136" s="39">
        <f t="shared" si="9"/>
        <v>2305.1999999999998</v>
      </c>
      <c r="T136" s="39">
        <f>2305.2</f>
        <v>2305.1999999999998</v>
      </c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82"/>
      <c r="B137" s="381" t="s">
        <v>117</v>
      </c>
      <c r="C137" s="381" t="s">
        <v>22</v>
      </c>
      <c r="D137" s="381"/>
      <c r="E137" s="381" t="s">
        <v>67</v>
      </c>
      <c r="F137" s="223" t="s">
        <v>308</v>
      </c>
      <c r="G137" s="23" t="s">
        <v>24</v>
      </c>
      <c r="H137" s="48">
        <v>24</v>
      </c>
      <c r="I137" s="203">
        <v>19</v>
      </c>
      <c r="J137" s="203">
        <v>31</v>
      </c>
      <c r="K137" s="65">
        <v>81209.14</v>
      </c>
      <c r="L137" s="224">
        <v>28</v>
      </c>
      <c r="M137" s="50">
        <f t="shared" si="10"/>
        <v>74086.789999999994</v>
      </c>
      <c r="N137" s="65">
        <v>74086.789999999994</v>
      </c>
      <c r="O137" s="225"/>
      <c r="P137" s="108">
        <v>34</v>
      </c>
      <c r="Q137" s="65">
        <v>126059.69</v>
      </c>
      <c r="R137" s="224">
        <v>32</v>
      </c>
      <c r="S137" s="50">
        <f t="shared" si="9"/>
        <v>119894.49</v>
      </c>
      <c r="T137" s="65">
        <v>119894.49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9"/>
      <c r="B138" s="380"/>
      <c r="C138" s="380"/>
      <c r="D138" s="380"/>
      <c r="E138" s="380"/>
      <c r="F138" s="226"/>
      <c r="G138" s="227" t="s">
        <v>28</v>
      </c>
      <c r="H138" s="116"/>
      <c r="I138" s="57"/>
      <c r="J138" s="57"/>
      <c r="K138" s="43"/>
      <c r="L138" s="44"/>
      <c r="M138" s="43">
        <f t="shared" si="10"/>
        <v>0</v>
      </c>
      <c r="N138" s="43"/>
      <c r="O138" s="41"/>
      <c r="P138" s="103"/>
      <c r="Q138" s="43"/>
      <c r="R138" s="44"/>
      <c r="S138" s="43">
        <f t="shared" si="9"/>
        <v>0</v>
      </c>
      <c r="T138" s="43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118</v>
      </c>
      <c r="C139" s="374" t="s">
        <v>39</v>
      </c>
      <c r="D139" s="374" t="s">
        <v>309</v>
      </c>
      <c r="E139" s="374" t="s">
        <v>27</v>
      </c>
      <c r="F139" s="204" t="s">
        <v>310</v>
      </c>
      <c r="G139" s="176" t="s">
        <v>24</v>
      </c>
      <c r="H139" s="151">
        <v>20</v>
      </c>
      <c r="I139" s="62">
        <v>11</v>
      </c>
      <c r="J139" s="62">
        <v>15</v>
      </c>
      <c r="K139" s="30">
        <v>27166.73</v>
      </c>
      <c r="L139" s="205">
        <v>11</v>
      </c>
      <c r="M139" s="26">
        <f t="shared" si="10"/>
        <v>21795.34</v>
      </c>
      <c r="N139" s="30">
        <v>21795.34</v>
      </c>
      <c r="O139" s="31"/>
      <c r="P139" s="53">
        <v>13</v>
      </c>
      <c r="Q139" s="30">
        <v>52477.24</v>
      </c>
      <c r="R139" s="205">
        <v>13</v>
      </c>
      <c r="S139" s="26">
        <f t="shared" si="9"/>
        <v>52477.24</v>
      </c>
      <c r="T139" s="30">
        <v>52477.24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75"/>
      <c r="C140" s="375"/>
      <c r="D140" s="375"/>
      <c r="E140" s="375"/>
      <c r="F140" s="152"/>
      <c r="G140" s="229" t="s">
        <v>28</v>
      </c>
      <c r="H140" s="116"/>
      <c r="I140" s="38"/>
      <c r="J140" s="38"/>
      <c r="K140" s="39"/>
      <c r="L140" s="40"/>
      <c r="M140" s="39">
        <f t="shared" si="10"/>
        <v>0</v>
      </c>
      <c r="N140" s="39"/>
      <c r="O140" s="41"/>
      <c r="P140" s="59"/>
      <c r="Q140" s="39"/>
      <c r="R140" s="40"/>
      <c r="S140" s="39">
        <f t="shared" si="9"/>
        <v>0</v>
      </c>
      <c r="T140" s="39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502</v>
      </c>
      <c r="C141" s="374"/>
      <c r="D141" s="374"/>
      <c r="E141" s="374"/>
      <c r="F141" s="232"/>
      <c r="G141" s="176" t="s">
        <v>24</v>
      </c>
      <c r="H141" s="151"/>
      <c r="I141" s="266"/>
      <c r="J141" s="266"/>
      <c r="K141" s="79"/>
      <c r="L141" s="268"/>
      <c r="M141" s="142">
        <f t="shared" si="10"/>
        <v>0</v>
      </c>
      <c r="N141" s="79"/>
      <c r="O141" s="82"/>
      <c r="P141" s="267"/>
      <c r="Q141" s="79"/>
      <c r="R141" s="268"/>
      <c r="S141" s="142">
        <f t="shared" si="9"/>
        <v>0</v>
      </c>
      <c r="T141" s="79"/>
      <c r="U141" s="336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86"/>
      <c r="D142" s="386"/>
      <c r="E142" s="386"/>
      <c r="F142" s="356"/>
      <c r="G142" s="229" t="s">
        <v>28</v>
      </c>
      <c r="H142" s="362">
        <v>2</v>
      </c>
      <c r="I142" s="231"/>
      <c r="J142" s="231"/>
      <c r="K142" s="91"/>
      <c r="L142" s="330"/>
      <c r="M142" s="87">
        <f t="shared" si="10"/>
        <v>0</v>
      </c>
      <c r="N142" s="91"/>
      <c r="O142" s="89"/>
      <c r="P142" s="329"/>
      <c r="Q142" s="91"/>
      <c r="R142" s="330"/>
      <c r="S142" s="39">
        <f t="shared" si="9"/>
        <v>0</v>
      </c>
      <c r="T142" s="91"/>
      <c r="U142" s="342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119</v>
      </c>
      <c r="C143" s="374" t="s">
        <v>39</v>
      </c>
      <c r="D143" s="374" t="s">
        <v>311</v>
      </c>
      <c r="E143" s="374" t="s">
        <v>121</v>
      </c>
      <c r="F143" s="232" t="s">
        <v>312</v>
      </c>
      <c r="G143" s="23" t="s">
        <v>24</v>
      </c>
      <c r="H143" s="281">
        <v>50</v>
      </c>
      <c r="I143" s="62">
        <v>36</v>
      </c>
      <c r="J143" s="62">
        <v>44</v>
      </c>
      <c r="K143" s="30">
        <v>74855.87</v>
      </c>
      <c r="L143" s="205">
        <v>44</v>
      </c>
      <c r="M143" s="26">
        <f t="shared" si="10"/>
        <v>74855.87</v>
      </c>
      <c r="N143" s="30">
        <v>74855.87</v>
      </c>
      <c r="O143" s="219"/>
      <c r="P143" s="53">
        <v>27</v>
      </c>
      <c r="Q143" s="30">
        <v>47822.16</v>
      </c>
      <c r="R143" s="205">
        <v>27</v>
      </c>
      <c r="S143" s="26">
        <f t="shared" si="9"/>
        <v>47822.16</v>
      </c>
      <c r="T143" s="30">
        <v>47822.16</v>
      </c>
      <c r="U143" s="269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80"/>
      <c r="C144" s="380"/>
      <c r="D144" s="380"/>
      <c r="E144" s="380"/>
      <c r="F144" s="325" t="s">
        <v>491</v>
      </c>
      <c r="G144" s="227" t="s">
        <v>25</v>
      </c>
      <c r="H144" s="260">
        <v>11</v>
      </c>
      <c r="I144" s="208">
        <v>3</v>
      </c>
      <c r="J144" s="208">
        <v>3</v>
      </c>
      <c r="K144" s="209">
        <v>3668.91</v>
      </c>
      <c r="L144" s="290">
        <v>3</v>
      </c>
      <c r="M144" s="209">
        <v>3668.91</v>
      </c>
      <c r="N144" s="209">
        <v>3668.91</v>
      </c>
      <c r="O144" s="263"/>
      <c r="P144" s="262">
        <v>4</v>
      </c>
      <c r="Q144" s="209">
        <v>16712.7</v>
      </c>
      <c r="R144" s="290">
        <v>4</v>
      </c>
      <c r="S144" s="209">
        <v>16712.7</v>
      </c>
      <c r="T144" s="209">
        <v>16712.7</v>
      </c>
      <c r="U144" s="212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464</v>
      </c>
      <c r="C145" s="374" t="s">
        <v>22</v>
      </c>
      <c r="D145" s="374"/>
      <c r="E145" s="374" t="s">
        <v>391</v>
      </c>
      <c r="F145" s="204" t="s">
        <v>465</v>
      </c>
      <c r="G145" s="176" t="s">
        <v>24</v>
      </c>
      <c r="H145" s="61"/>
      <c r="I145" s="62"/>
      <c r="J145" s="62"/>
      <c r="K145" s="30"/>
      <c r="L145" s="27"/>
      <c r="M145" s="26">
        <f t="shared" ref="M145:M160" si="11">N145+O145</f>
        <v>0</v>
      </c>
      <c r="N145" s="26"/>
      <c r="O145" s="28"/>
      <c r="P145" s="214"/>
      <c r="Q145" s="30"/>
      <c r="R145" s="205"/>
      <c r="S145" s="26">
        <f t="shared" ref="S145:S151" si="12">T145+U145</f>
        <v>0</v>
      </c>
      <c r="T145" s="30"/>
      <c r="U145" s="2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86"/>
      <c r="C146" s="375"/>
      <c r="D146" s="386"/>
      <c r="E146" s="386"/>
      <c r="F146" s="152"/>
      <c r="G146" s="229" t="s">
        <v>28</v>
      </c>
      <c r="H146" s="344"/>
      <c r="I146" s="231"/>
      <c r="J146" s="231"/>
      <c r="K146" s="91"/>
      <c r="L146" s="92"/>
      <c r="M146" s="81">
        <f t="shared" si="11"/>
        <v>0</v>
      </c>
      <c r="N146" s="93"/>
      <c r="O146" s="94"/>
      <c r="P146" s="90"/>
      <c r="Q146" s="91"/>
      <c r="R146" s="330"/>
      <c r="S146" s="81">
        <f t="shared" si="12"/>
        <v>0</v>
      </c>
      <c r="T146" s="91"/>
      <c r="U146" s="33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367</v>
      </c>
      <c r="C147" s="374"/>
      <c r="D147" s="374"/>
      <c r="E147" s="374"/>
      <c r="F147" s="204"/>
      <c r="G147" s="213" t="s">
        <v>24</v>
      </c>
      <c r="H147" s="61"/>
      <c r="I147" s="62"/>
      <c r="J147" s="62"/>
      <c r="K147" s="30"/>
      <c r="L147" s="27"/>
      <c r="M147" s="26">
        <f t="shared" si="11"/>
        <v>0</v>
      </c>
      <c r="N147" s="26"/>
      <c r="O147" s="28"/>
      <c r="P147" s="214"/>
      <c r="Q147" s="30"/>
      <c r="R147" s="205"/>
      <c r="S147" s="26">
        <f t="shared" si="12"/>
        <v>0</v>
      </c>
      <c r="T147" s="30"/>
      <c r="U147" s="2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/>
      <c r="G148" s="215" t="s">
        <v>28</v>
      </c>
      <c r="H148" s="117">
        <v>6</v>
      </c>
      <c r="I148" s="37"/>
      <c r="J148" s="37"/>
      <c r="K148" s="68"/>
      <c r="L148" s="40"/>
      <c r="M148" s="39">
        <f t="shared" si="11"/>
        <v>0</v>
      </c>
      <c r="N148" s="39"/>
      <c r="O148" s="41"/>
      <c r="P148" s="217"/>
      <c r="Q148" s="68"/>
      <c r="R148" s="285"/>
      <c r="S148" s="39">
        <f t="shared" si="12"/>
        <v>0</v>
      </c>
      <c r="T148" s="68"/>
      <c r="U148" s="23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6"/>
      <c r="B149" s="377" t="s">
        <v>122</v>
      </c>
      <c r="C149" s="377" t="s">
        <v>39</v>
      </c>
      <c r="D149" s="377" t="s">
        <v>123</v>
      </c>
      <c r="E149" s="377" t="s">
        <v>55</v>
      </c>
      <c r="F149" s="232" t="s">
        <v>236</v>
      </c>
      <c r="G149" s="291" t="s">
        <v>24</v>
      </c>
      <c r="H149" s="265">
        <v>33</v>
      </c>
      <c r="I149" s="266">
        <v>24</v>
      </c>
      <c r="J149" s="266">
        <v>36</v>
      </c>
      <c r="K149" s="79">
        <v>77248.66</v>
      </c>
      <c r="L149" s="268">
        <v>36</v>
      </c>
      <c r="M149" s="81">
        <f t="shared" si="11"/>
        <v>77248.66</v>
      </c>
      <c r="N149" s="79">
        <v>77248.66</v>
      </c>
      <c r="O149" s="269"/>
      <c r="P149" s="267">
        <v>22</v>
      </c>
      <c r="Q149" s="79">
        <v>89981.45</v>
      </c>
      <c r="R149" s="268">
        <v>21</v>
      </c>
      <c r="S149" s="81">
        <f t="shared" si="12"/>
        <v>89981.45</v>
      </c>
      <c r="T149" s="79">
        <v>89981.45</v>
      </c>
      <c r="U149" s="269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6"/>
      <c r="I150" s="38"/>
      <c r="J150" s="38"/>
      <c r="K150" s="39"/>
      <c r="L150" s="40"/>
      <c r="M150" s="39">
        <f t="shared" si="11"/>
        <v>0</v>
      </c>
      <c r="N150" s="39"/>
      <c r="O150" s="41"/>
      <c r="P150" s="59"/>
      <c r="Q150" s="39"/>
      <c r="R150" s="40"/>
      <c r="S150" s="39">
        <f t="shared" si="12"/>
        <v>0</v>
      </c>
      <c r="T150" s="39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6"/>
      <c r="B151" s="377" t="s">
        <v>124</v>
      </c>
      <c r="C151" s="377" t="s">
        <v>39</v>
      </c>
      <c r="D151" s="377" t="s">
        <v>314</v>
      </c>
      <c r="E151" s="377" t="s">
        <v>27</v>
      </c>
      <c r="F151" s="232" t="s">
        <v>237</v>
      </c>
      <c r="G151" s="23" t="s">
        <v>24</v>
      </c>
      <c r="H151" s="48">
        <v>23</v>
      </c>
      <c r="I151" s="203">
        <v>15</v>
      </c>
      <c r="J151" s="203">
        <v>18</v>
      </c>
      <c r="K151" s="65">
        <v>47249.1</v>
      </c>
      <c r="L151" s="224">
        <v>17</v>
      </c>
      <c r="M151" s="50">
        <f t="shared" si="11"/>
        <v>47249.1</v>
      </c>
      <c r="N151" s="65">
        <v>47249.1</v>
      </c>
      <c r="O151" s="225"/>
      <c r="P151" s="108">
        <v>57</v>
      </c>
      <c r="Q151" s="65">
        <v>337965.75</v>
      </c>
      <c r="R151" s="224">
        <v>57</v>
      </c>
      <c r="S151" s="50">
        <f t="shared" si="12"/>
        <v>337965.75</v>
      </c>
      <c r="T151" s="65">
        <v>337965.75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500</v>
      </c>
      <c r="G152" s="154" t="s">
        <v>25</v>
      </c>
      <c r="H152" s="98"/>
      <c r="I152" s="155"/>
      <c r="J152" s="155"/>
      <c r="K152" s="239" t="s">
        <v>43</v>
      </c>
      <c r="L152" s="128"/>
      <c r="M152" s="129">
        <f t="shared" si="11"/>
        <v>0</v>
      </c>
      <c r="N152" s="129"/>
      <c r="O152" s="45"/>
      <c r="P152" s="238">
        <v>1</v>
      </c>
      <c r="Q152" s="239">
        <v>2408.4</v>
      </c>
      <c r="R152" s="316">
        <v>1</v>
      </c>
      <c r="S152" s="239">
        <v>2408.4</v>
      </c>
      <c r="T152" s="239">
        <v>2408.4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9"/>
      <c r="B153" s="380"/>
      <c r="C153" s="380"/>
      <c r="D153" s="380"/>
      <c r="E153" s="380"/>
      <c r="F153" s="34"/>
      <c r="G153" s="55" t="s">
        <v>28</v>
      </c>
      <c r="H153" s="111"/>
      <c r="I153" s="57"/>
      <c r="J153" s="57"/>
      <c r="K153" s="43"/>
      <c r="L153" s="44"/>
      <c r="M153" s="43">
        <f t="shared" si="11"/>
        <v>0</v>
      </c>
      <c r="N153" s="43"/>
      <c r="O153" s="41"/>
      <c r="P153" s="113">
        <v>4</v>
      </c>
      <c r="Q153" s="114">
        <v>9722.4</v>
      </c>
      <c r="R153" s="270">
        <v>4</v>
      </c>
      <c r="S153" s="43">
        <f t="shared" ref="S153:S160" si="13">T153+U153</f>
        <v>10625.699999999999</v>
      </c>
      <c r="T153" s="114">
        <f>2305.2+4226.2+2689.4+1404.9</f>
        <v>10625.699999999999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126</v>
      </c>
      <c r="C154" s="374" t="s">
        <v>22</v>
      </c>
      <c r="D154" s="378"/>
      <c r="E154" s="374" t="s">
        <v>65</v>
      </c>
      <c r="F154" s="232" t="s">
        <v>443</v>
      </c>
      <c r="G154" s="23" t="s">
        <v>24</v>
      </c>
      <c r="H154" s="151">
        <v>8</v>
      </c>
      <c r="I154" s="62">
        <v>2</v>
      </c>
      <c r="J154" s="62">
        <v>2</v>
      </c>
      <c r="K154" s="30">
        <v>1267.28</v>
      </c>
      <c r="L154" s="205">
        <v>2</v>
      </c>
      <c r="M154" s="26">
        <f t="shared" si="11"/>
        <v>1267.28</v>
      </c>
      <c r="N154" s="30">
        <v>1267.28</v>
      </c>
      <c r="O154" s="225"/>
      <c r="P154" s="53">
        <v>15</v>
      </c>
      <c r="Q154" s="30">
        <v>10414.84</v>
      </c>
      <c r="R154" s="205">
        <v>4</v>
      </c>
      <c r="S154" s="26">
        <f t="shared" si="13"/>
        <v>10414.84</v>
      </c>
      <c r="T154" s="30">
        <v>10414.84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54" t="s">
        <v>316</v>
      </c>
      <c r="G155" s="35" t="s">
        <v>28</v>
      </c>
      <c r="H155" s="153">
        <v>7</v>
      </c>
      <c r="I155" s="37">
        <v>5</v>
      </c>
      <c r="J155" s="37">
        <v>5</v>
      </c>
      <c r="K155" s="68">
        <v>8567.0400000000009</v>
      </c>
      <c r="L155" s="285">
        <v>3</v>
      </c>
      <c r="M155" s="39">
        <f t="shared" si="11"/>
        <v>3710.1</v>
      </c>
      <c r="N155" s="39">
        <f>2305.2+1404.9</f>
        <v>3710.1</v>
      </c>
      <c r="O155" s="41"/>
      <c r="P155" s="115">
        <v>8</v>
      </c>
      <c r="Q155" s="68">
        <v>13484.6</v>
      </c>
      <c r="R155" s="285">
        <v>3</v>
      </c>
      <c r="S155" s="39">
        <f t="shared" si="13"/>
        <v>7418.45</v>
      </c>
      <c r="T155" s="39">
        <f>1056.55+1344.4+5017.5</f>
        <v>7418.45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2"/>
      <c r="B156" s="381" t="s">
        <v>127</v>
      </c>
      <c r="C156" s="381" t="s">
        <v>22</v>
      </c>
      <c r="D156" s="381"/>
      <c r="E156" s="381" t="s">
        <v>67</v>
      </c>
      <c r="F156" s="223" t="s">
        <v>368</v>
      </c>
      <c r="G156" s="47" t="s">
        <v>24</v>
      </c>
      <c r="H156" s="48">
        <v>13</v>
      </c>
      <c r="I156" s="203">
        <v>13</v>
      </c>
      <c r="J156" s="203">
        <v>19</v>
      </c>
      <c r="K156" s="65">
        <v>37484.97</v>
      </c>
      <c r="L156" s="224">
        <v>17</v>
      </c>
      <c r="M156" s="50">
        <f t="shared" si="11"/>
        <v>33710.11</v>
      </c>
      <c r="N156" s="65">
        <v>33710.11</v>
      </c>
      <c r="O156" s="225"/>
      <c r="P156" s="108">
        <v>8</v>
      </c>
      <c r="Q156" s="65">
        <v>29582.03</v>
      </c>
      <c r="R156" s="224">
        <v>8</v>
      </c>
      <c r="S156" s="50">
        <f t="shared" si="13"/>
        <v>29582.03</v>
      </c>
      <c r="T156" s="65">
        <v>29582.03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33" t="s">
        <v>317</v>
      </c>
      <c r="G157" s="227" t="s">
        <v>28</v>
      </c>
      <c r="H157" s="153">
        <v>8</v>
      </c>
      <c r="I157" s="37">
        <v>5</v>
      </c>
      <c r="J157" s="37">
        <v>5</v>
      </c>
      <c r="K157" s="68">
        <v>5776.7</v>
      </c>
      <c r="L157" s="285">
        <v>5</v>
      </c>
      <c r="M157" s="39">
        <f t="shared" si="11"/>
        <v>5822.7</v>
      </c>
      <c r="N157" s="39">
        <f>1578.8+1152.6+1152.6+1336.6+602.1</f>
        <v>5822.7</v>
      </c>
      <c r="O157" s="41"/>
      <c r="P157" s="115">
        <v>3</v>
      </c>
      <c r="Q157" s="68">
        <v>17095</v>
      </c>
      <c r="R157" s="285">
        <v>3</v>
      </c>
      <c r="S157" s="39">
        <f t="shared" si="13"/>
        <v>17095</v>
      </c>
      <c r="T157" s="39">
        <f>4034.1+11053.9+2007</f>
        <v>17095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128</v>
      </c>
      <c r="C158" s="374" t="s">
        <v>39</v>
      </c>
      <c r="D158" s="374" t="s">
        <v>129</v>
      </c>
      <c r="E158" s="374" t="s">
        <v>121</v>
      </c>
      <c r="F158" s="60"/>
      <c r="G158" s="176" t="s">
        <v>24</v>
      </c>
      <c r="H158" s="107"/>
      <c r="I158" s="49"/>
      <c r="J158" s="127"/>
      <c r="K158" s="50"/>
      <c r="L158" s="51"/>
      <c r="M158" s="50">
        <f t="shared" si="11"/>
        <v>0</v>
      </c>
      <c r="N158" s="50"/>
      <c r="O158" s="31"/>
      <c r="P158" s="108"/>
      <c r="Q158" s="65"/>
      <c r="R158" s="51"/>
      <c r="S158" s="50">
        <f t="shared" si="13"/>
        <v>0</v>
      </c>
      <c r="T158" s="50"/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220" t="s">
        <v>492</v>
      </c>
      <c r="G159" s="229" t="s">
        <v>25</v>
      </c>
      <c r="H159" s="153">
        <v>1</v>
      </c>
      <c r="I159" s="57"/>
      <c r="J159" s="57"/>
      <c r="K159" s="43"/>
      <c r="L159" s="44"/>
      <c r="M159" s="43">
        <f t="shared" si="11"/>
        <v>0</v>
      </c>
      <c r="N159" s="43"/>
      <c r="O159" s="41"/>
      <c r="P159" s="103"/>
      <c r="Q159" s="43"/>
      <c r="R159" s="44"/>
      <c r="S159" s="43">
        <f t="shared" si="13"/>
        <v>0</v>
      </c>
      <c r="T159" s="43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130</v>
      </c>
      <c r="C160" s="374" t="s">
        <v>22</v>
      </c>
      <c r="D160" s="374"/>
      <c r="E160" s="374" t="s">
        <v>131</v>
      </c>
      <c r="F160" s="232" t="s">
        <v>411</v>
      </c>
      <c r="G160" s="176" t="s">
        <v>24</v>
      </c>
      <c r="H160" s="48">
        <v>11</v>
      </c>
      <c r="I160" s="62">
        <v>6</v>
      </c>
      <c r="J160" s="62">
        <v>6</v>
      </c>
      <c r="K160" s="30">
        <v>9104.94</v>
      </c>
      <c r="L160" s="205">
        <v>6</v>
      </c>
      <c r="M160" s="26">
        <f t="shared" si="11"/>
        <v>9104.94</v>
      </c>
      <c r="N160" s="30">
        <v>9104.94</v>
      </c>
      <c r="O160" s="31"/>
      <c r="P160" s="53">
        <v>4</v>
      </c>
      <c r="Q160" s="30">
        <v>22885.21</v>
      </c>
      <c r="R160" s="205">
        <v>4</v>
      </c>
      <c r="S160" s="26">
        <f t="shared" si="13"/>
        <v>22885.21</v>
      </c>
      <c r="T160" s="30">
        <v>22885.21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3"/>
      <c r="B161" s="375"/>
      <c r="C161" s="375"/>
      <c r="D161" s="375"/>
      <c r="E161" s="375"/>
      <c r="F161" s="220" t="s">
        <v>493</v>
      </c>
      <c r="G161" s="229" t="s">
        <v>25</v>
      </c>
      <c r="H161" s="112">
        <v>9</v>
      </c>
      <c r="I161" s="130">
        <v>6</v>
      </c>
      <c r="J161" s="130">
        <v>6</v>
      </c>
      <c r="K161" s="114">
        <v>10810.58</v>
      </c>
      <c r="L161" s="270">
        <v>6</v>
      </c>
      <c r="M161" s="114">
        <v>10810.58</v>
      </c>
      <c r="N161" s="114">
        <v>10810.58</v>
      </c>
      <c r="O161" s="234"/>
      <c r="P161" s="113">
        <v>3</v>
      </c>
      <c r="Q161" s="114">
        <v>7539.8</v>
      </c>
      <c r="R161" s="270">
        <v>3</v>
      </c>
      <c r="S161" s="114">
        <v>7539.8</v>
      </c>
      <c r="T161" s="114">
        <v>7539.8</v>
      </c>
      <c r="U161" s="4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2"/>
      <c r="B162" s="374" t="s">
        <v>132</v>
      </c>
      <c r="C162" s="374" t="s">
        <v>39</v>
      </c>
      <c r="D162" s="374" t="s">
        <v>238</v>
      </c>
      <c r="E162" s="377" t="s">
        <v>136</v>
      </c>
      <c r="F162" s="232" t="s">
        <v>239</v>
      </c>
      <c r="G162" s="23" t="s">
        <v>24</v>
      </c>
      <c r="H162" s="61">
        <v>18</v>
      </c>
      <c r="I162" s="62">
        <v>14</v>
      </c>
      <c r="J162" s="62">
        <v>18</v>
      </c>
      <c r="K162" s="30">
        <v>40036.720000000001</v>
      </c>
      <c r="L162" s="205">
        <v>16</v>
      </c>
      <c r="M162" s="26">
        <f t="shared" ref="M162:M215" si="14">N162+O162</f>
        <v>28480.94</v>
      </c>
      <c r="N162" s="30">
        <v>28480.94</v>
      </c>
      <c r="O162" s="225"/>
      <c r="P162" s="53">
        <v>15</v>
      </c>
      <c r="Q162" s="30">
        <v>63876.46</v>
      </c>
      <c r="R162" s="205">
        <v>14</v>
      </c>
      <c r="S162" s="26">
        <f t="shared" ref="S162:S168" si="15">T162+U162</f>
        <v>52348.73</v>
      </c>
      <c r="T162" s="30">
        <v>52348.73</v>
      </c>
      <c r="U162" s="22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87"/>
      <c r="B163" s="386"/>
      <c r="C163" s="386"/>
      <c r="D163" s="386"/>
      <c r="E163" s="386"/>
      <c r="F163" s="237" t="s">
        <v>240</v>
      </c>
      <c r="G163" s="154" t="s">
        <v>28</v>
      </c>
      <c r="H163" s="112">
        <v>20</v>
      </c>
      <c r="I163" s="271">
        <v>12</v>
      </c>
      <c r="J163" s="271">
        <v>12</v>
      </c>
      <c r="K163" s="239">
        <v>23261.200000000001</v>
      </c>
      <c r="L163" s="316">
        <v>10</v>
      </c>
      <c r="M163" s="129">
        <f t="shared" si="14"/>
        <v>17440.899999999998</v>
      </c>
      <c r="N163" s="129">
        <f>1728.9+2305.2+576.3+4802.5+1404.9+1404.9+1404.9+1103.85+2408.4+301.05</f>
        <v>17440.899999999998</v>
      </c>
      <c r="O163" s="45"/>
      <c r="P163" s="238">
        <v>9</v>
      </c>
      <c r="Q163" s="239">
        <v>31223.56</v>
      </c>
      <c r="R163" s="316">
        <v>10</v>
      </c>
      <c r="S163" s="129">
        <f t="shared" si="15"/>
        <v>32433.79</v>
      </c>
      <c r="T163" s="239">
        <f>288.15+6934.81+3073.6+1344.7+1344.7+10837.8+8610.03</f>
        <v>32433.79</v>
      </c>
      <c r="U163" s="4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105"/>
      <c r="G164" s="55" t="s">
        <v>25</v>
      </c>
      <c r="H164" s="131"/>
      <c r="I164" s="57"/>
      <c r="J164" s="57"/>
      <c r="K164" s="43"/>
      <c r="L164" s="44"/>
      <c r="M164" s="43">
        <f t="shared" si="14"/>
        <v>0</v>
      </c>
      <c r="N164" s="43"/>
      <c r="O164" s="41"/>
      <c r="P164" s="103"/>
      <c r="Q164" s="43"/>
      <c r="R164" s="44"/>
      <c r="S164" s="43">
        <f t="shared" si="15"/>
        <v>0</v>
      </c>
      <c r="T164" s="43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133</v>
      </c>
      <c r="C165" s="374" t="s">
        <v>39</v>
      </c>
      <c r="D165" s="374" t="s">
        <v>448</v>
      </c>
      <c r="E165" s="381" t="s">
        <v>23</v>
      </c>
      <c r="F165" s="232" t="s">
        <v>449</v>
      </c>
      <c r="G165" s="23" t="s">
        <v>24</v>
      </c>
      <c r="H165" s="61">
        <v>12</v>
      </c>
      <c r="I165" s="62">
        <v>8</v>
      </c>
      <c r="J165" s="62">
        <v>9</v>
      </c>
      <c r="K165" s="30">
        <v>30919.360000000001</v>
      </c>
      <c r="L165" s="205">
        <v>9</v>
      </c>
      <c r="M165" s="26">
        <f t="shared" si="14"/>
        <v>30919.360000000001</v>
      </c>
      <c r="N165" s="30">
        <v>30919.360000000001</v>
      </c>
      <c r="O165" s="31"/>
      <c r="P165" s="53">
        <v>15</v>
      </c>
      <c r="Q165" s="30">
        <v>6119.32</v>
      </c>
      <c r="R165" s="205">
        <v>4</v>
      </c>
      <c r="S165" s="26">
        <f t="shared" si="15"/>
        <v>6119.32</v>
      </c>
      <c r="T165" s="30">
        <v>6119.32</v>
      </c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34"/>
      <c r="G166" s="35" t="s">
        <v>25</v>
      </c>
      <c r="H166" s="106"/>
      <c r="I166" s="38"/>
      <c r="J166" s="38"/>
      <c r="K166" s="39"/>
      <c r="L166" s="40"/>
      <c r="M166" s="39">
        <f t="shared" si="14"/>
        <v>0</v>
      </c>
      <c r="N166" s="39"/>
      <c r="O166" s="41"/>
      <c r="P166" s="59"/>
      <c r="Q166" s="39"/>
      <c r="R166" s="40"/>
      <c r="S166" s="39">
        <f t="shared" si="15"/>
        <v>0</v>
      </c>
      <c r="T166" s="39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134</v>
      </c>
      <c r="C167" s="374" t="s">
        <v>39</v>
      </c>
      <c r="D167" s="374" t="s">
        <v>280</v>
      </c>
      <c r="E167" s="374" t="s">
        <v>136</v>
      </c>
      <c r="F167" s="204" t="s">
        <v>282</v>
      </c>
      <c r="G167" s="176" t="s">
        <v>24</v>
      </c>
      <c r="H167" s="48">
        <v>15</v>
      </c>
      <c r="I167" s="203">
        <v>11</v>
      </c>
      <c r="J167" s="203">
        <v>12</v>
      </c>
      <c r="K167" s="65">
        <v>16411.849999999999</v>
      </c>
      <c r="L167" s="224">
        <v>12</v>
      </c>
      <c r="M167" s="50">
        <f t="shared" si="14"/>
        <v>16411.849999999999</v>
      </c>
      <c r="N167" s="65">
        <v>16411.849999999999</v>
      </c>
      <c r="O167" s="225"/>
      <c r="P167" s="108">
        <v>7</v>
      </c>
      <c r="Q167" s="65">
        <v>50795.35</v>
      </c>
      <c r="R167" s="224">
        <v>7</v>
      </c>
      <c r="S167" s="50">
        <f t="shared" si="15"/>
        <v>50795.35</v>
      </c>
      <c r="T167" s="65">
        <v>50795.35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87"/>
      <c r="B168" s="386"/>
      <c r="C168" s="386"/>
      <c r="D168" s="386"/>
      <c r="E168" s="386"/>
      <c r="F168" s="235" t="s">
        <v>321</v>
      </c>
      <c r="G168" s="252" t="s">
        <v>28</v>
      </c>
      <c r="H168" s="151">
        <v>17</v>
      </c>
      <c r="I168" s="246">
        <v>5</v>
      </c>
      <c r="J168" s="246">
        <v>5</v>
      </c>
      <c r="K168" s="158">
        <v>10648.6</v>
      </c>
      <c r="L168" s="317">
        <v>5</v>
      </c>
      <c r="M168" s="142">
        <f t="shared" si="14"/>
        <v>10648.599999999999</v>
      </c>
      <c r="N168" s="142">
        <f>1921+2305.2+1404.9+3211.2+1806.3</f>
        <v>10648.599999999999</v>
      </c>
      <c r="O168" s="45"/>
      <c r="P168" s="157">
        <v>4</v>
      </c>
      <c r="Q168" s="158">
        <v>8625.2900000000009</v>
      </c>
      <c r="R168" s="224">
        <v>5</v>
      </c>
      <c r="S168" s="50">
        <f t="shared" si="15"/>
        <v>9681.84</v>
      </c>
      <c r="T168" s="158">
        <f>6224.04+3457.8</f>
        <v>9681.84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494</v>
      </c>
      <c r="G169" s="229" t="s">
        <v>25</v>
      </c>
      <c r="H169" s="118"/>
      <c r="I169" s="57"/>
      <c r="J169" s="57"/>
      <c r="K169" s="43"/>
      <c r="L169" s="44"/>
      <c r="M169" s="43">
        <f t="shared" si="14"/>
        <v>0</v>
      </c>
      <c r="N169" s="43"/>
      <c r="O169" s="41"/>
      <c r="P169" s="113">
        <v>1</v>
      </c>
      <c r="Q169" s="114">
        <v>7024.5</v>
      </c>
      <c r="R169" s="270">
        <v>1</v>
      </c>
      <c r="S169" s="114">
        <v>7024.5</v>
      </c>
      <c r="T169" s="114">
        <v>7024.5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137</v>
      </c>
      <c r="C170" s="377" t="s">
        <v>39</v>
      </c>
      <c r="D170" s="374" t="s">
        <v>322</v>
      </c>
      <c r="E170" s="377" t="s">
        <v>27</v>
      </c>
      <c r="F170" s="232" t="s">
        <v>323</v>
      </c>
      <c r="G170" s="23" t="s">
        <v>24</v>
      </c>
      <c r="H170" s="24">
        <v>16</v>
      </c>
      <c r="I170" s="62">
        <v>11</v>
      </c>
      <c r="J170" s="62">
        <v>14</v>
      </c>
      <c r="K170" s="30">
        <v>23878.68</v>
      </c>
      <c r="L170" s="205">
        <v>14</v>
      </c>
      <c r="M170" s="26">
        <f t="shared" si="14"/>
        <v>23878.68</v>
      </c>
      <c r="N170" s="30">
        <v>23878.68</v>
      </c>
      <c r="O170" s="31"/>
      <c r="P170" s="53">
        <v>2</v>
      </c>
      <c r="Q170" s="30">
        <v>3779.47</v>
      </c>
      <c r="R170" s="205">
        <v>2</v>
      </c>
      <c r="S170" s="26">
        <f t="shared" ref="S170:S194" si="16">T170+U170</f>
        <v>3779.47</v>
      </c>
      <c r="T170" s="30">
        <v>3779.47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80"/>
      <c r="F171" s="220" t="s">
        <v>241</v>
      </c>
      <c r="G171" s="35" t="s">
        <v>28</v>
      </c>
      <c r="H171" s="66">
        <v>9</v>
      </c>
      <c r="I171" s="37">
        <v>6</v>
      </c>
      <c r="J171" s="37">
        <v>6</v>
      </c>
      <c r="K171" s="68">
        <v>7049.7</v>
      </c>
      <c r="L171" s="285">
        <v>7</v>
      </c>
      <c r="M171" s="39">
        <f t="shared" si="14"/>
        <v>7049.7000000000007</v>
      </c>
      <c r="N171" s="39">
        <f>576.3+1716.8+1344.7+1404.9+602.1+1404.9</f>
        <v>7049.7000000000007</v>
      </c>
      <c r="O171" s="41"/>
      <c r="P171" s="115">
        <v>3</v>
      </c>
      <c r="Q171" s="68">
        <v>5674.1</v>
      </c>
      <c r="R171" s="285">
        <v>3</v>
      </c>
      <c r="S171" s="39">
        <f t="shared" si="16"/>
        <v>9366.36</v>
      </c>
      <c r="T171" s="39">
        <f>1921+1344.7+3692.26+2408.4</f>
        <v>9366.36</v>
      </c>
      <c r="U171" s="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138</v>
      </c>
      <c r="C172" s="374" t="s">
        <v>22</v>
      </c>
      <c r="D172" s="374"/>
      <c r="E172" s="374" t="s">
        <v>27</v>
      </c>
      <c r="F172" s="204" t="s">
        <v>324</v>
      </c>
      <c r="G172" s="176" t="s">
        <v>24</v>
      </c>
      <c r="H172" s="151">
        <v>16</v>
      </c>
      <c r="I172" s="203">
        <v>9</v>
      </c>
      <c r="J172" s="203">
        <v>10</v>
      </c>
      <c r="K172" s="65">
        <v>19508.22</v>
      </c>
      <c r="L172" s="224">
        <v>10</v>
      </c>
      <c r="M172" s="50">
        <f t="shared" si="14"/>
        <v>19508.22</v>
      </c>
      <c r="N172" s="65">
        <v>19508.22</v>
      </c>
      <c r="O172" s="31"/>
      <c r="P172" s="108">
        <v>10</v>
      </c>
      <c r="Q172" s="65">
        <v>22636.89</v>
      </c>
      <c r="R172" s="224">
        <v>10</v>
      </c>
      <c r="S172" s="50">
        <f t="shared" si="16"/>
        <v>22636.89</v>
      </c>
      <c r="T172" s="65">
        <v>22636.89</v>
      </c>
      <c r="U172" s="225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20" t="s">
        <v>242</v>
      </c>
      <c r="G173" s="229" t="s">
        <v>28</v>
      </c>
      <c r="H173" s="133">
        <v>7</v>
      </c>
      <c r="I173" s="130">
        <v>7</v>
      </c>
      <c r="J173" s="130">
        <v>7</v>
      </c>
      <c r="K173" s="114">
        <v>26745.9</v>
      </c>
      <c r="L173" s="270">
        <v>7</v>
      </c>
      <c r="M173" s="43">
        <f t="shared" si="14"/>
        <v>21199.72</v>
      </c>
      <c r="N173" s="43">
        <f>3880.42+1344.7+1921+1690.48+6623.1+5740.02</f>
        <v>21199.72</v>
      </c>
      <c r="O173" s="41"/>
      <c r="P173" s="113">
        <v>5</v>
      </c>
      <c r="Q173" s="114">
        <v>11814.15</v>
      </c>
      <c r="R173" s="270">
        <v>4</v>
      </c>
      <c r="S173" s="43">
        <f t="shared" si="16"/>
        <v>9893.15</v>
      </c>
      <c r="T173" s="114">
        <f>4802.5+2401.25+2689.4</f>
        <v>9893.15</v>
      </c>
      <c r="U173" s="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139</v>
      </c>
      <c r="C174" s="374" t="s">
        <v>22</v>
      </c>
      <c r="D174" s="374"/>
      <c r="E174" s="374" t="s">
        <v>67</v>
      </c>
      <c r="F174" s="232" t="s">
        <v>325</v>
      </c>
      <c r="G174" s="23" t="s">
        <v>24</v>
      </c>
      <c r="H174" s="151">
        <v>8</v>
      </c>
      <c r="I174" s="62">
        <v>6</v>
      </c>
      <c r="J174" s="62">
        <v>7</v>
      </c>
      <c r="K174" s="30">
        <v>14388.8</v>
      </c>
      <c r="L174" s="205">
        <v>7</v>
      </c>
      <c r="M174" s="26">
        <f t="shared" si="14"/>
        <v>14388.8</v>
      </c>
      <c r="N174" s="30">
        <v>14388.8</v>
      </c>
      <c r="O174" s="225"/>
      <c r="P174" s="53">
        <v>16</v>
      </c>
      <c r="Q174" s="30">
        <v>55930.74</v>
      </c>
      <c r="R174" s="205">
        <v>16</v>
      </c>
      <c r="S174" s="26">
        <f t="shared" si="16"/>
        <v>55930.74</v>
      </c>
      <c r="T174" s="30">
        <v>55930.74</v>
      </c>
      <c r="U174" s="22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33" t="s">
        <v>326</v>
      </c>
      <c r="G175" s="227" t="s">
        <v>28</v>
      </c>
      <c r="H175" s="112">
        <v>8</v>
      </c>
      <c r="I175" s="130">
        <v>4</v>
      </c>
      <c r="J175" s="130">
        <v>4</v>
      </c>
      <c r="K175" s="114">
        <v>9138.1</v>
      </c>
      <c r="L175" s="270">
        <v>4</v>
      </c>
      <c r="M175" s="43">
        <f t="shared" si="14"/>
        <v>8335.2999999999993</v>
      </c>
      <c r="N175" s="43">
        <f>1728.9+602.1+2504.4+3499.9</f>
        <v>8335.2999999999993</v>
      </c>
      <c r="O175" s="45"/>
      <c r="P175" s="113">
        <v>9</v>
      </c>
      <c r="Q175" s="114">
        <v>35157.300000000003</v>
      </c>
      <c r="R175" s="270">
        <v>8</v>
      </c>
      <c r="S175" s="43">
        <f t="shared" si="16"/>
        <v>22769.55</v>
      </c>
      <c r="T175" s="114">
        <f>6269.7+3984+2305.2+3503.9+5602.9+1103.85</f>
        <v>22769.55</v>
      </c>
      <c r="U175" s="4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140</v>
      </c>
      <c r="C176" s="374" t="s">
        <v>39</v>
      </c>
      <c r="D176" s="374" t="s">
        <v>369</v>
      </c>
      <c r="E176" s="374" t="s">
        <v>27</v>
      </c>
      <c r="F176" s="204" t="s">
        <v>370</v>
      </c>
      <c r="G176" s="176" t="s">
        <v>24</v>
      </c>
      <c r="H176" s="24">
        <v>20</v>
      </c>
      <c r="I176" s="62">
        <v>16</v>
      </c>
      <c r="J176" s="62">
        <v>21</v>
      </c>
      <c r="K176" s="30">
        <v>48694.74</v>
      </c>
      <c r="L176" s="205">
        <v>20</v>
      </c>
      <c r="M176" s="26">
        <f t="shared" si="14"/>
        <v>44937.68</v>
      </c>
      <c r="N176" s="30">
        <v>44937.68</v>
      </c>
      <c r="O176" s="159"/>
      <c r="P176" s="53">
        <v>4</v>
      </c>
      <c r="Q176" s="30">
        <v>31835.37</v>
      </c>
      <c r="R176" s="205">
        <v>4</v>
      </c>
      <c r="S176" s="26">
        <f t="shared" si="16"/>
        <v>31835.37</v>
      </c>
      <c r="T176" s="30">
        <v>31835.37</v>
      </c>
      <c r="U176" s="2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233" t="s">
        <v>243</v>
      </c>
      <c r="G177" s="282" t="s">
        <v>28</v>
      </c>
      <c r="H177" s="207">
        <v>9</v>
      </c>
      <c r="I177" s="208">
        <v>3</v>
      </c>
      <c r="J177" s="208">
        <v>3</v>
      </c>
      <c r="K177" s="209">
        <v>7347.6</v>
      </c>
      <c r="L177" s="210"/>
      <c r="M177" s="211">
        <f t="shared" si="14"/>
        <v>1728.9</v>
      </c>
      <c r="N177" s="211">
        <f>1728.9</f>
        <v>1728.9</v>
      </c>
      <c r="O177" s="274"/>
      <c r="P177" s="262">
        <v>3</v>
      </c>
      <c r="Q177" s="209">
        <v>5494.06</v>
      </c>
      <c r="R177" s="290">
        <v>6</v>
      </c>
      <c r="S177" s="211">
        <f t="shared" si="16"/>
        <v>14023.3</v>
      </c>
      <c r="T177" s="211">
        <f>4034.1+3073.6+5071.44+1267.86+576.3</f>
        <v>14023.3</v>
      </c>
      <c r="U177" s="212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413</v>
      </c>
      <c r="C178" s="374" t="s">
        <v>22</v>
      </c>
      <c r="D178" s="374"/>
      <c r="E178" s="374" t="s">
        <v>391</v>
      </c>
      <c r="F178" s="204" t="s">
        <v>414</v>
      </c>
      <c r="G178" s="176" t="s">
        <v>24</v>
      </c>
      <c r="H178" s="24">
        <v>8</v>
      </c>
      <c r="I178" s="62">
        <v>6</v>
      </c>
      <c r="J178" s="62">
        <v>9</v>
      </c>
      <c r="K178" s="30">
        <v>23826.75</v>
      </c>
      <c r="L178" s="205">
        <v>9</v>
      </c>
      <c r="M178" s="26">
        <f t="shared" si="14"/>
        <v>23826.75</v>
      </c>
      <c r="N178" s="30">
        <v>23826.75</v>
      </c>
      <c r="O178" s="28"/>
      <c r="P178" s="214"/>
      <c r="Q178" s="30"/>
      <c r="R178" s="205"/>
      <c r="S178" s="26">
        <f t="shared" si="16"/>
        <v>0</v>
      </c>
      <c r="T178" s="30"/>
      <c r="U178" s="2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220"/>
      <c r="G179" s="229" t="s">
        <v>28</v>
      </c>
      <c r="H179" s="66"/>
      <c r="I179" s="38"/>
      <c r="J179" s="38"/>
      <c r="K179" s="39"/>
      <c r="L179" s="40"/>
      <c r="M179" s="39">
        <f t="shared" si="14"/>
        <v>0</v>
      </c>
      <c r="N179" s="39"/>
      <c r="O179" s="41"/>
      <c r="P179" s="217"/>
      <c r="Q179" s="68"/>
      <c r="R179" s="285"/>
      <c r="S179" s="39">
        <f t="shared" si="16"/>
        <v>0</v>
      </c>
      <c r="T179" s="68"/>
      <c r="U179" s="4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141</v>
      </c>
      <c r="C180" s="374" t="s">
        <v>39</v>
      </c>
      <c r="D180" s="374" t="s">
        <v>371</v>
      </c>
      <c r="E180" s="374" t="s">
        <v>27</v>
      </c>
      <c r="F180" s="204" t="s">
        <v>372</v>
      </c>
      <c r="G180" s="176" t="s">
        <v>24</v>
      </c>
      <c r="H180" s="281">
        <v>9</v>
      </c>
      <c r="I180" s="266">
        <v>6</v>
      </c>
      <c r="J180" s="266">
        <v>6</v>
      </c>
      <c r="K180" s="79">
        <v>11997.57</v>
      </c>
      <c r="L180" s="268">
        <v>5</v>
      </c>
      <c r="M180" s="81">
        <f t="shared" si="14"/>
        <v>11395.47</v>
      </c>
      <c r="N180" s="79">
        <v>11395.47</v>
      </c>
      <c r="O180" s="219"/>
      <c r="P180" s="267">
        <v>3</v>
      </c>
      <c r="Q180" s="79">
        <v>16223.5</v>
      </c>
      <c r="R180" s="268">
        <v>3</v>
      </c>
      <c r="S180" s="81">
        <f t="shared" si="16"/>
        <v>16223.5</v>
      </c>
      <c r="T180" s="79">
        <v>16223.5</v>
      </c>
      <c r="U180" s="219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34"/>
      <c r="G181" s="229" t="s">
        <v>28</v>
      </c>
      <c r="H181" s="118"/>
      <c r="I181" s="57"/>
      <c r="J181" s="57"/>
      <c r="K181" s="43"/>
      <c r="L181" s="44"/>
      <c r="M181" s="43">
        <f t="shared" si="14"/>
        <v>0</v>
      </c>
      <c r="N181" s="43"/>
      <c r="O181" s="45"/>
      <c r="P181" s="103"/>
      <c r="Q181" s="43"/>
      <c r="R181" s="44"/>
      <c r="S181" s="43">
        <f t="shared" si="16"/>
        <v>0</v>
      </c>
      <c r="T181" s="43"/>
      <c r="U181" s="4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142</v>
      </c>
      <c r="C182" s="374" t="s">
        <v>39</v>
      </c>
      <c r="D182" s="374" t="s">
        <v>415</v>
      </c>
      <c r="E182" s="374" t="s">
        <v>27</v>
      </c>
      <c r="F182" s="232" t="s">
        <v>416</v>
      </c>
      <c r="G182" s="23" t="s">
        <v>24</v>
      </c>
      <c r="H182" s="24">
        <v>5</v>
      </c>
      <c r="I182" s="62">
        <v>2</v>
      </c>
      <c r="J182" s="62">
        <v>2</v>
      </c>
      <c r="K182" s="30">
        <v>524.91</v>
      </c>
      <c r="L182" s="205">
        <v>2</v>
      </c>
      <c r="M182" s="26">
        <f t="shared" si="14"/>
        <v>524.91</v>
      </c>
      <c r="N182" s="30">
        <v>524.91</v>
      </c>
      <c r="O182" s="241"/>
      <c r="P182" s="53">
        <v>2</v>
      </c>
      <c r="Q182" s="30">
        <v>14444.79</v>
      </c>
      <c r="R182" s="205">
        <v>2</v>
      </c>
      <c r="S182" s="26">
        <f t="shared" si="16"/>
        <v>14444.79</v>
      </c>
      <c r="T182" s="30">
        <v>14444.79</v>
      </c>
      <c r="U182" s="2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105"/>
      <c r="G183" s="227" t="s">
        <v>28</v>
      </c>
      <c r="H183" s="311"/>
      <c r="I183" s="261"/>
      <c r="J183" s="261"/>
      <c r="K183" s="211"/>
      <c r="L183" s="210"/>
      <c r="M183" s="211">
        <f t="shared" si="14"/>
        <v>0</v>
      </c>
      <c r="N183" s="211"/>
      <c r="O183" s="212"/>
      <c r="P183" s="273"/>
      <c r="Q183" s="211"/>
      <c r="R183" s="210"/>
      <c r="S183" s="211">
        <f t="shared" si="16"/>
        <v>0</v>
      </c>
      <c r="T183" s="211"/>
      <c r="U183" s="21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424</v>
      </c>
      <c r="C184" s="374" t="s">
        <v>22</v>
      </c>
      <c r="D184" s="374"/>
      <c r="E184" s="374" t="s">
        <v>65</v>
      </c>
      <c r="F184" s="232" t="s">
        <v>437</v>
      </c>
      <c r="G184" s="213" t="s">
        <v>24</v>
      </c>
      <c r="H184" s="24">
        <v>8</v>
      </c>
      <c r="I184" s="62">
        <v>4</v>
      </c>
      <c r="J184" s="62">
        <v>6</v>
      </c>
      <c r="K184" s="30">
        <v>9442.35</v>
      </c>
      <c r="L184" s="205">
        <v>6</v>
      </c>
      <c r="M184" s="26">
        <f t="shared" si="14"/>
        <v>9442.35</v>
      </c>
      <c r="N184" s="30">
        <v>9442.35</v>
      </c>
      <c r="O184" s="28"/>
      <c r="P184" s="214"/>
      <c r="Q184" s="30"/>
      <c r="R184" s="205"/>
      <c r="S184" s="26">
        <f t="shared" si="16"/>
        <v>0</v>
      </c>
      <c r="T184" s="30"/>
      <c r="U184" s="2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/>
      <c r="G185" s="215" t="s">
        <v>28</v>
      </c>
      <c r="H185" s="66"/>
      <c r="I185" s="38"/>
      <c r="J185" s="38"/>
      <c r="K185" s="39"/>
      <c r="L185" s="40"/>
      <c r="M185" s="39">
        <f t="shared" si="14"/>
        <v>0</v>
      </c>
      <c r="N185" s="39"/>
      <c r="O185" s="41"/>
      <c r="P185" s="217"/>
      <c r="Q185" s="68"/>
      <c r="R185" s="285"/>
      <c r="S185" s="39">
        <f t="shared" si="16"/>
        <v>0</v>
      </c>
      <c r="T185" s="68"/>
      <c r="U185" s="23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6"/>
      <c r="B186" s="377" t="s">
        <v>143</v>
      </c>
      <c r="C186" s="377" t="s">
        <v>39</v>
      </c>
      <c r="D186" s="377" t="s">
        <v>327</v>
      </c>
      <c r="E186" s="377" t="s">
        <v>145</v>
      </c>
      <c r="F186" s="232" t="s">
        <v>215</v>
      </c>
      <c r="G186" s="95" t="s">
        <v>24</v>
      </c>
      <c r="H186" s="281">
        <v>10</v>
      </c>
      <c r="I186" s="266">
        <v>7</v>
      </c>
      <c r="J186" s="266">
        <v>9</v>
      </c>
      <c r="K186" s="79">
        <v>15151.29</v>
      </c>
      <c r="L186" s="268">
        <v>9</v>
      </c>
      <c r="M186" s="81">
        <f t="shared" si="14"/>
        <v>15151.29</v>
      </c>
      <c r="N186" s="79">
        <v>15151.29</v>
      </c>
      <c r="O186" s="219"/>
      <c r="P186" s="267">
        <v>18</v>
      </c>
      <c r="Q186" s="79">
        <v>50132.05</v>
      </c>
      <c r="R186" s="268">
        <v>18</v>
      </c>
      <c r="S186" s="81">
        <f t="shared" si="16"/>
        <v>50132.05</v>
      </c>
      <c r="T186" s="79">
        <v>50132.05</v>
      </c>
      <c r="U186" s="269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9"/>
      <c r="B187" s="380"/>
      <c r="C187" s="380"/>
      <c r="D187" s="380"/>
      <c r="E187" s="380"/>
      <c r="F187" s="233" t="s">
        <v>244</v>
      </c>
      <c r="G187" s="227" t="s">
        <v>28</v>
      </c>
      <c r="H187" s="133">
        <v>10</v>
      </c>
      <c r="I187" s="130">
        <v>5</v>
      </c>
      <c r="J187" s="130">
        <v>5</v>
      </c>
      <c r="K187" s="114">
        <v>21716.12</v>
      </c>
      <c r="L187" s="316">
        <v>6</v>
      </c>
      <c r="M187" s="50">
        <f t="shared" si="14"/>
        <v>21489.82</v>
      </c>
      <c r="N187" s="43">
        <f>2497.3+1152.6+5920.02+4595.4+602.1+6722.4</f>
        <v>21489.82</v>
      </c>
      <c r="O187" s="41"/>
      <c r="P187" s="113">
        <v>3</v>
      </c>
      <c r="Q187" s="114">
        <v>17758.3</v>
      </c>
      <c r="R187" s="270">
        <v>3</v>
      </c>
      <c r="S187" s="43">
        <f t="shared" si="16"/>
        <v>8500.2999999999993</v>
      </c>
      <c r="T187" s="114">
        <f>576.3+5426.7+2497.3</f>
        <v>8500.2999999999993</v>
      </c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146</v>
      </c>
      <c r="C188" s="374" t="s">
        <v>39</v>
      </c>
      <c r="D188" s="374" t="s">
        <v>328</v>
      </c>
      <c r="E188" s="374" t="s">
        <v>27</v>
      </c>
      <c r="F188" s="204" t="s">
        <v>329</v>
      </c>
      <c r="G188" s="176" t="s">
        <v>24</v>
      </c>
      <c r="H188" s="48">
        <v>16</v>
      </c>
      <c r="I188" s="62">
        <v>12</v>
      </c>
      <c r="J188" s="62">
        <v>13</v>
      </c>
      <c r="K188" s="30">
        <v>34160.230000000003</v>
      </c>
      <c r="L188" s="205">
        <v>13</v>
      </c>
      <c r="M188" s="26">
        <f t="shared" si="14"/>
        <v>34160.230000000003</v>
      </c>
      <c r="N188" s="30">
        <v>34160.230000000003</v>
      </c>
      <c r="O188" s="225"/>
      <c r="P188" s="53">
        <v>13</v>
      </c>
      <c r="Q188" s="30">
        <v>38649.24</v>
      </c>
      <c r="R188" s="205">
        <v>13</v>
      </c>
      <c r="S188" s="26">
        <f t="shared" si="16"/>
        <v>38649.24</v>
      </c>
      <c r="T188" s="30">
        <v>38649.24</v>
      </c>
      <c r="U188" s="225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220" t="s">
        <v>330</v>
      </c>
      <c r="G189" s="229" t="s">
        <v>28</v>
      </c>
      <c r="H189" s="153">
        <v>5</v>
      </c>
      <c r="I189" s="130">
        <v>2</v>
      </c>
      <c r="J189" s="130">
        <v>2</v>
      </c>
      <c r="K189" s="114">
        <v>7867.44</v>
      </c>
      <c r="L189" s="270">
        <v>2</v>
      </c>
      <c r="M189" s="43">
        <f t="shared" si="14"/>
        <v>7867.44</v>
      </c>
      <c r="N189" s="43">
        <f>2649.24+5218.2</f>
        <v>7867.44</v>
      </c>
      <c r="O189" s="41"/>
      <c r="P189" s="115">
        <v>9</v>
      </c>
      <c r="Q189" s="68">
        <v>31615.67</v>
      </c>
      <c r="R189" s="285">
        <v>8</v>
      </c>
      <c r="S189" s="39">
        <f t="shared" si="16"/>
        <v>30985.07</v>
      </c>
      <c r="T189" s="68">
        <f>576.3+15944.3+1479.17+1344.7+8228.7+1404.9+2007</f>
        <v>30985.07</v>
      </c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148</v>
      </c>
      <c r="C190" s="374" t="s">
        <v>39</v>
      </c>
      <c r="D190" s="374" t="s">
        <v>149</v>
      </c>
      <c r="E190" s="374" t="s">
        <v>27</v>
      </c>
      <c r="F190" s="204" t="s">
        <v>218</v>
      </c>
      <c r="G190" s="176" t="s">
        <v>24</v>
      </c>
      <c r="H190" s="48">
        <v>25</v>
      </c>
      <c r="I190" s="62">
        <v>22</v>
      </c>
      <c r="J190" s="204">
        <v>30</v>
      </c>
      <c r="K190" s="30">
        <v>49643.35</v>
      </c>
      <c r="L190" s="205">
        <v>29</v>
      </c>
      <c r="M190" s="26">
        <f t="shared" si="14"/>
        <v>49041.25</v>
      </c>
      <c r="N190" s="30">
        <v>49041.25</v>
      </c>
      <c r="O190" s="225"/>
      <c r="P190" s="108">
        <v>23</v>
      </c>
      <c r="Q190" s="65">
        <v>84634.18</v>
      </c>
      <c r="R190" s="224">
        <v>23</v>
      </c>
      <c r="S190" s="50">
        <f t="shared" si="16"/>
        <v>84634.18</v>
      </c>
      <c r="T190" s="65">
        <v>84634.18</v>
      </c>
      <c r="U190" s="225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34"/>
      <c r="G191" s="229" t="s">
        <v>28</v>
      </c>
      <c r="H191" s="292">
        <v>4</v>
      </c>
      <c r="I191" s="208">
        <v>1</v>
      </c>
      <c r="J191" s="208">
        <v>1</v>
      </c>
      <c r="K191" s="209">
        <v>3010.5</v>
      </c>
      <c r="L191" s="290">
        <v>1</v>
      </c>
      <c r="M191" s="211">
        <f t="shared" si="14"/>
        <v>3010.5</v>
      </c>
      <c r="N191" s="211">
        <f>3010.5</f>
        <v>3010.5</v>
      </c>
      <c r="O191" s="212"/>
      <c r="P191" s="262">
        <v>2</v>
      </c>
      <c r="Q191" s="209">
        <v>10069.41</v>
      </c>
      <c r="R191" s="290">
        <v>3</v>
      </c>
      <c r="S191" s="211">
        <f t="shared" si="16"/>
        <v>3902.2000000000003</v>
      </c>
      <c r="T191" s="209">
        <f>1921+576.3+1404.9</f>
        <v>3902.2000000000003</v>
      </c>
      <c r="U191" s="21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373</v>
      </c>
      <c r="C192" s="374" t="s">
        <v>22</v>
      </c>
      <c r="D192" s="374"/>
      <c r="E192" s="374" t="s">
        <v>27</v>
      </c>
      <c r="F192" s="232" t="s">
        <v>417</v>
      </c>
      <c r="G192" s="213" t="s">
        <v>24</v>
      </c>
      <c r="H192" s="61">
        <v>2</v>
      </c>
      <c r="I192" s="62">
        <v>2</v>
      </c>
      <c r="J192" s="62">
        <v>3</v>
      </c>
      <c r="K192" s="326">
        <v>2669.31</v>
      </c>
      <c r="L192" s="327">
        <v>3</v>
      </c>
      <c r="M192" s="162">
        <f t="shared" si="14"/>
        <v>2669.31</v>
      </c>
      <c r="N192" s="326">
        <v>2669.31</v>
      </c>
      <c r="O192" s="28"/>
      <c r="P192" s="275"/>
      <c r="Q192" s="26"/>
      <c r="R192" s="27"/>
      <c r="S192" s="26">
        <f t="shared" si="16"/>
        <v>0</v>
      </c>
      <c r="T192" s="26"/>
      <c r="U192" s="28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215" t="s">
        <v>28</v>
      </c>
      <c r="H193" s="117">
        <v>7</v>
      </c>
      <c r="I193" s="37">
        <v>2</v>
      </c>
      <c r="J193" s="37">
        <v>2</v>
      </c>
      <c r="K193" s="318">
        <v>1658.32</v>
      </c>
      <c r="L193" s="343">
        <v>2</v>
      </c>
      <c r="M193" s="164">
        <f t="shared" si="14"/>
        <v>1658.65</v>
      </c>
      <c r="N193" s="164">
        <f>1056.55+602.1</f>
        <v>1658.65</v>
      </c>
      <c r="O193" s="41"/>
      <c r="P193" s="276"/>
      <c r="Q193" s="39"/>
      <c r="R193" s="40"/>
      <c r="S193" s="39">
        <f t="shared" si="16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6"/>
      <c r="B194" s="402" t="s">
        <v>150</v>
      </c>
      <c r="C194" s="377" t="s">
        <v>39</v>
      </c>
      <c r="D194" s="377" t="s">
        <v>151</v>
      </c>
      <c r="E194" s="377" t="s">
        <v>152</v>
      </c>
      <c r="F194" s="72"/>
      <c r="G194" s="95" t="s">
        <v>24</v>
      </c>
      <c r="H194" s="74"/>
      <c r="I194" s="96"/>
      <c r="J194" s="96"/>
      <c r="K194" s="293"/>
      <c r="L194" s="294"/>
      <c r="M194" s="293">
        <f t="shared" si="14"/>
        <v>0</v>
      </c>
      <c r="N194" s="293"/>
      <c r="O194" s="82"/>
      <c r="P194" s="295"/>
      <c r="Q194" s="81"/>
      <c r="R194" s="80"/>
      <c r="S194" s="81">
        <f t="shared" si="16"/>
        <v>0</v>
      </c>
      <c r="T194" s="81"/>
      <c r="U194" s="8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89"/>
      <c r="C195" s="375"/>
      <c r="D195" s="375"/>
      <c r="E195" s="375"/>
      <c r="F195" s="220" t="s">
        <v>331</v>
      </c>
      <c r="G195" s="35" t="s">
        <v>25</v>
      </c>
      <c r="H195" s="117">
        <v>4</v>
      </c>
      <c r="I195" s="38"/>
      <c r="J195" s="38"/>
      <c r="K195" s="164"/>
      <c r="L195" s="165"/>
      <c r="M195" s="164">
        <f t="shared" si="14"/>
        <v>0</v>
      </c>
      <c r="N195" s="164"/>
      <c r="O195" s="41"/>
      <c r="P195" s="67">
        <v>5</v>
      </c>
      <c r="Q195" s="68">
        <v>32446.01</v>
      </c>
      <c r="R195" s="285">
        <v>5</v>
      </c>
      <c r="S195" s="68">
        <v>32446.01</v>
      </c>
      <c r="T195" s="68">
        <v>32446.01</v>
      </c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153</v>
      </c>
      <c r="C196" s="374" t="s">
        <v>39</v>
      </c>
      <c r="D196" s="381" t="s">
        <v>332</v>
      </c>
      <c r="E196" s="381" t="s">
        <v>27</v>
      </c>
      <c r="F196" s="223" t="s">
        <v>333</v>
      </c>
      <c r="G196" s="47" t="s">
        <v>24</v>
      </c>
      <c r="H196" s="48">
        <v>25</v>
      </c>
      <c r="I196" s="203">
        <v>23</v>
      </c>
      <c r="J196" s="203">
        <v>38</v>
      </c>
      <c r="K196" s="242">
        <v>84037.54</v>
      </c>
      <c r="L196" s="320">
        <v>38</v>
      </c>
      <c r="M196" s="166">
        <f t="shared" si="14"/>
        <v>84037.54</v>
      </c>
      <c r="N196" s="242">
        <v>84037.54</v>
      </c>
      <c r="O196" s="225"/>
      <c r="P196" s="108">
        <v>8</v>
      </c>
      <c r="Q196" s="65">
        <v>44672.93</v>
      </c>
      <c r="R196" s="224">
        <v>8</v>
      </c>
      <c r="S196" s="50">
        <f t="shared" ref="S196:S215" si="17">T196+U196</f>
        <v>44672.93</v>
      </c>
      <c r="T196" s="65">
        <v>44672.93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75"/>
      <c r="D197" s="380"/>
      <c r="E197" s="380"/>
      <c r="F197" s="34"/>
      <c r="G197" s="35" t="s">
        <v>28</v>
      </c>
      <c r="H197" s="153">
        <v>4</v>
      </c>
      <c r="I197" s="130">
        <v>3</v>
      </c>
      <c r="J197" s="130">
        <v>3</v>
      </c>
      <c r="K197" s="114">
        <v>5166.6000000000004</v>
      </c>
      <c r="L197" s="270">
        <v>1</v>
      </c>
      <c r="M197" s="43">
        <f t="shared" si="14"/>
        <v>1152.5999999999999</v>
      </c>
      <c r="N197" s="43">
        <f>1152.6</f>
        <v>1152.5999999999999</v>
      </c>
      <c r="O197" s="41"/>
      <c r="P197" s="113">
        <v>4</v>
      </c>
      <c r="Q197" s="114">
        <v>21119.5</v>
      </c>
      <c r="R197" s="270">
        <v>5</v>
      </c>
      <c r="S197" s="43">
        <f t="shared" si="17"/>
        <v>23040.5</v>
      </c>
      <c r="T197" s="114">
        <f>1921+11718.1+5186.7+2809.8+1404.9</f>
        <v>23040.5</v>
      </c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155</v>
      </c>
      <c r="C198" s="374" t="s">
        <v>22</v>
      </c>
      <c r="D198" s="374"/>
      <c r="E198" s="374" t="s">
        <v>37</v>
      </c>
      <c r="F198" s="223" t="s">
        <v>245</v>
      </c>
      <c r="G198" s="23" t="s">
        <v>24</v>
      </c>
      <c r="H198" s="48">
        <v>9</v>
      </c>
      <c r="I198" s="62">
        <v>5</v>
      </c>
      <c r="J198" s="62">
        <v>6</v>
      </c>
      <c r="K198" s="30">
        <v>8463.7199999999993</v>
      </c>
      <c r="L198" s="205">
        <v>6</v>
      </c>
      <c r="M198" s="26">
        <f t="shared" si="14"/>
        <v>8463.7199999999993</v>
      </c>
      <c r="N198" s="30">
        <v>8463.7199999999993</v>
      </c>
      <c r="O198" s="31"/>
      <c r="P198" s="53">
        <v>9</v>
      </c>
      <c r="Q198" s="30">
        <v>23074.77</v>
      </c>
      <c r="R198" s="205">
        <v>9</v>
      </c>
      <c r="S198" s="26">
        <f t="shared" si="17"/>
        <v>23074.77</v>
      </c>
      <c r="T198" s="30">
        <v>23074.77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105"/>
      <c r="G199" s="35" t="s">
        <v>28</v>
      </c>
      <c r="H199" s="116"/>
      <c r="I199" s="38"/>
      <c r="J199" s="38"/>
      <c r="K199" s="39"/>
      <c r="L199" s="40"/>
      <c r="M199" s="39">
        <f t="shared" si="14"/>
        <v>0</v>
      </c>
      <c r="N199" s="39"/>
      <c r="O199" s="41"/>
      <c r="P199" s="59"/>
      <c r="Q199" s="39"/>
      <c r="R199" s="40"/>
      <c r="S199" s="39">
        <f t="shared" si="17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156</v>
      </c>
      <c r="C200" s="381" t="s">
        <v>46</v>
      </c>
      <c r="D200" s="385" t="s">
        <v>418</v>
      </c>
      <c r="E200" s="381" t="s">
        <v>27</v>
      </c>
      <c r="F200" s="223" t="s">
        <v>419</v>
      </c>
      <c r="G200" s="23" t="s">
        <v>24</v>
      </c>
      <c r="H200" s="98"/>
      <c r="I200" s="49"/>
      <c r="J200" s="49"/>
      <c r="K200" s="50"/>
      <c r="L200" s="51"/>
      <c r="M200" s="50">
        <f t="shared" si="14"/>
        <v>0</v>
      </c>
      <c r="N200" s="50"/>
      <c r="O200" s="31"/>
      <c r="P200" s="108">
        <v>2</v>
      </c>
      <c r="Q200" s="65">
        <v>14241.9</v>
      </c>
      <c r="R200" s="224">
        <v>2</v>
      </c>
      <c r="S200" s="50">
        <f t="shared" si="17"/>
        <v>14241.9</v>
      </c>
      <c r="T200" s="65">
        <v>14241.9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56">
        <v>4</v>
      </c>
      <c r="I201" s="57"/>
      <c r="J201" s="57"/>
      <c r="K201" s="43"/>
      <c r="L201" s="44"/>
      <c r="M201" s="43">
        <f t="shared" si="14"/>
        <v>0</v>
      </c>
      <c r="N201" s="43"/>
      <c r="O201" s="41"/>
      <c r="P201" s="113">
        <v>1</v>
      </c>
      <c r="Q201" s="114">
        <v>0</v>
      </c>
      <c r="R201" s="44"/>
      <c r="S201" s="43">
        <f t="shared" si="17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157</v>
      </c>
      <c r="C202" s="390"/>
      <c r="D202" s="374"/>
      <c r="E202" s="374"/>
      <c r="F202" s="22"/>
      <c r="G202" s="23" t="s">
        <v>24</v>
      </c>
      <c r="H202" s="104"/>
      <c r="I202" s="25"/>
      <c r="J202" s="25"/>
      <c r="K202" s="26"/>
      <c r="L202" s="27"/>
      <c r="M202" s="26">
        <f t="shared" si="14"/>
        <v>0</v>
      </c>
      <c r="N202" s="26"/>
      <c r="O202" s="31"/>
      <c r="P202" s="120"/>
      <c r="Q202" s="26"/>
      <c r="R202" s="27"/>
      <c r="S202" s="26">
        <f t="shared" si="17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34"/>
      <c r="G203" s="35" t="s">
        <v>28</v>
      </c>
      <c r="H203" s="106"/>
      <c r="I203" s="38"/>
      <c r="J203" s="38"/>
      <c r="K203" s="39"/>
      <c r="L203" s="40"/>
      <c r="M203" s="39">
        <f t="shared" si="14"/>
        <v>0</v>
      </c>
      <c r="N203" s="39"/>
      <c r="O203" s="41"/>
      <c r="P203" s="69"/>
      <c r="Q203" s="39"/>
      <c r="R203" s="40"/>
      <c r="S203" s="39">
        <f t="shared" si="17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158</v>
      </c>
      <c r="C204" s="374" t="s">
        <v>39</v>
      </c>
      <c r="D204" s="374" t="s">
        <v>288</v>
      </c>
      <c r="E204" s="374" t="s">
        <v>27</v>
      </c>
      <c r="F204" s="204" t="s">
        <v>289</v>
      </c>
      <c r="G204" s="176" t="s">
        <v>24</v>
      </c>
      <c r="H204" s="48">
        <v>11</v>
      </c>
      <c r="I204" s="203">
        <v>10</v>
      </c>
      <c r="J204" s="203">
        <v>12</v>
      </c>
      <c r="K204" s="65">
        <v>28819.85</v>
      </c>
      <c r="L204" s="224">
        <v>12</v>
      </c>
      <c r="M204" s="50">
        <f t="shared" si="14"/>
        <v>28819.85</v>
      </c>
      <c r="N204" s="65">
        <v>28819.85</v>
      </c>
      <c r="O204" s="225"/>
      <c r="P204" s="108">
        <v>11</v>
      </c>
      <c r="Q204" s="65">
        <v>24722.32</v>
      </c>
      <c r="R204" s="224">
        <v>11</v>
      </c>
      <c r="S204" s="50">
        <f t="shared" si="17"/>
        <v>24722.32</v>
      </c>
      <c r="T204" s="65">
        <v>24722.32</v>
      </c>
      <c r="U204" s="22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220" t="s">
        <v>334</v>
      </c>
      <c r="G205" s="229" t="s">
        <v>28</v>
      </c>
      <c r="H205" s="117">
        <v>5</v>
      </c>
      <c r="I205" s="37">
        <v>4</v>
      </c>
      <c r="J205" s="37">
        <v>4</v>
      </c>
      <c r="K205" s="68">
        <v>5874.79</v>
      </c>
      <c r="L205" s="285">
        <v>3</v>
      </c>
      <c r="M205" s="39">
        <f t="shared" si="14"/>
        <v>4329.3999999999996</v>
      </c>
      <c r="N205" s="39">
        <f>1921+1204.2+1204.2</f>
        <v>4329.3999999999996</v>
      </c>
      <c r="O205" s="41"/>
      <c r="P205" s="59"/>
      <c r="Q205" s="39"/>
      <c r="R205" s="40"/>
      <c r="S205" s="39">
        <f t="shared" si="17"/>
        <v>1152.5999999999999</v>
      </c>
      <c r="T205" s="68">
        <v>1152.5999999999999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159</v>
      </c>
      <c r="C206" s="377" t="s">
        <v>22</v>
      </c>
      <c r="D206" s="377"/>
      <c r="E206" s="377" t="s">
        <v>160</v>
      </c>
      <c r="F206" s="232" t="s">
        <v>246</v>
      </c>
      <c r="G206" s="95" t="s">
        <v>24</v>
      </c>
      <c r="H206" s="48">
        <v>31</v>
      </c>
      <c r="I206" s="203">
        <v>26</v>
      </c>
      <c r="J206" s="203">
        <v>41</v>
      </c>
      <c r="K206" s="65">
        <v>73501.649999999994</v>
      </c>
      <c r="L206" s="224">
        <v>41</v>
      </c>
      <c r="M206" s="50">
        <f t="shared" si="14"/>
        <v>73501.649999999994</v>
      </c>
      <c r="N206" s="65">
        <v>73501.649999999994</v>
      </c>
      <c r="O206" s="225"/>
      <c r="P206" s="108">
        <v>27</v>
      </c>
      <c r="Q206" s="65">
        <v>44164.37</v>
      </c>
      <c r="R206" s="224">
        <v>27</v>
      </c>
      <c r="S206" s="50">
        <f t="shared" si="17"/>
        <v>44164.37</v>
      </c>
      <c r="T206" s="65">
        <v>44164.37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54"/>
      <c r="G207" s="55" t="s">
        <v>28</v>
      </c>
      <c r="H207" s="112">
        <v>7</v>
      </c>
      <c r="I207" s="130">
        <v>2</v>
      </c>
      <c r="J207" s="130">
        <v>2</v>
      </c>
      <c r="K207" s="114">
        <v>2401.25</v>
      </c>
      <c r="L207" s="316">
        <v>2</v>
      </c>
      <c r="M207" s="50">
        <f t="shared" si="14"/>
        <v>2401.25</v>
      </c>
      <c r="N207" s="43">
        <f>1056.55+1344.7</f>
        <v>2401.25</v>
      </c>
      <c r="O207" s="41"/>
      <c r="P207" s="113">
        <v>3</v>
      </c>
      <c r="Q207" s="114">
        <v>5551.69</v>
      </c>
      <c r="R207" s="270">
        <v>3</v>
      </c>
      <c r="S207" s="43">
        <f t="shared" si="17"/>
        <v>5551.69</v>
      </c>
      <c r="T207" s="43">
        <f>5551.69</f>
        <v>5551.69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161</v>
      </c>
      <c r="C208" s="377" t="s">
        <v>22</v>
      </c>
      <c r="D208" s="374"/>
      <c r="E208" s="374" t="s">
        <v>450</v>
      </c>
      <c r="F208" s="204" t="s">
        <v>451</v>
      </c>
      <c r="G208" s="23" t="s">
        <v>24</v>
      </c>
      <c r="H208" s="24">
        <v>17</v>
      </c>
      <c r="I208" s="62">
        <v>5</v>
      </c>
      <c r="J208" s="62">
        <v>10</v>
      </c>
      <c r="K208" s="30">
        <v>14946.76</v>
      </c>
      <c r="L208" s="205">
        <v>10</v>
      </c>
      <c r="M208" s="26">
        <f t="shared" si="14"/>
        <v>14946.76</v>
      </c>
      <c r="N208" s="30">
        <v>14946.76</v>
      </c>
      <c r="O208" s="31"/>
      <c r="P208" s="53">
        <v>12</v>
      </c>
      <c r="Q208" s="30">
        <v>42909.61</v>
      </c>
      <c r="R208" s="205">
        <v>12</v>
      </c>
      <c r="S208" s="26">
        <f t="shared" si="17"/>
        <v>42909.61</v>
      </c>
      <c r="T208" s="30">
        <v>42909.61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92"/>
      <c r="F209" s="34"/>
      <c r="G209" s="35" t="s">
        <v>28</v>
      </c>
      <c r="H209" s="66">
        <v>8</v>
      </c>
      <c r="I209" s="37">
        <v>2</v>
      </c>
      <c r="J209" s="37">
        <v>2</v>
      </c>
      <c r="K209" s="68">
        <v>1103.8499999999999</v>
      </c>
      <c r="L209" s="40"/>
      <c r="M209" s="39">
        <f t="shared" si="14"/>
        <v>0</v>
      </c>
      <c r="N209" s="39"/>
      <c r="O209" s="41"/>
      <c r="P209" s="115">
        <v>1</v>
      </c>
      <c r="Q209" s="68">
        <v>0</v>
      </c>
      <c r="R209" s="40"/>
      <c r="S209" s="39">
        <f t="shared" si="17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82"/>
      <c r="B210" s="381" t="s">
        <v>162</v>
      </c>
      <c r="C210" s="381" t="s">
        <v>39</v>
      </c>
      <c r="D210" s="381" t="s">
        <v>163</v>
      </c>
      <c r="E210" s="374" t="s">
        <v>27</v>
      </c>
      <c r="F210" s="135"/>
      <c r="G210" s="47" t="s">
        <v>24</v>
      </c>
      <c r="H210" s="98"/>
      <c r="I210" s="49"/>
      <c r="J210" s="49"/>
      <c r="K210" s="50"/>
      <c r="L210" s="51"/>
      <c r="M210" s="50">
        <f t="shared" si="14"/>
        <v>0</v>
      </c>
      <c r="N210" s="50"/>
      <c r="O210" s="31"/>
      <c r="P210" s="123"/>
      <c r="Q210" s="50"/>
      <c r="R210" s="51"/>
      <c r="S210" s="50">
        <f t="shared" si="17"/>
        <v>0</v>
      </c>
      <c r="T210" s="50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87"/>
      <c r="B211" s="386"/>
      <c r="C211" s="386"/>
      <c r="D211" s="386"/>
      <c r="E211" s="386"/>
      <c r="F211" s="54"/>
      <c r="G211" s="47" t="s">
        <v>25</v>
      </c>
      <c r="H211" s="98"/>
      <c r="I211" s="49"/>
      <c r="J211" s="49"/>
      <c r="K211" s="50"/>
      <c r="L211" s="51"/>
      <c r="M211" s="50">
        <f t="shared" si="14"/>
        <v>0</v>
      </c>
      <c r="N211" s="50"/>
      <c r="O211" s="45"/>
      <c r="P211" s="123"/>
      <c r="Q211" s="50"/>
      <c r="R211" s="51"/>
      <c r="S211" s="50">
        <f t="shared" si="17"/>
        <v>0</v>
      </c>
      <c r="T211" s="50"/>
      <c r="U211" s="45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9"/>
      <c r="B212" s="380"/>
      <c r="C212" s="380"/>
      <c r="D212" s="380"/>
      <c r="E212" s="380"/>
      <c r="F212" s="54"/>
      <c r="G212" s="55" t="s">
        <v>28</v>
      </c>
      <c r="H212" s="116"/>
      <c r="I212" s="57"/>
      <c r="J212" s="57"/>
      <c r="K212" s="43"/>
      <c r="L212" s="44"/>
      <c r="M212" s="43">
        <f t="shared" si="14"/>
        <v>0</v>
      </c>
      <c r="N212" s="43"/>
      <c r="O212" s="41"/>
      <c r="P212" s="113">
        <v>1</v>
      </c>
      <c r="Q212" s="114">
        <v>4602.5</v>
      </c>
      <c r="R212" s="270">
        <v>1</v>
      </c>
      <c r="S212" s="43">
        <f t="shared" si="17"/>
        <v>4602.5</v>
      </c>
      <c r="T212" s="114">
        <v>4602.5</v>
      </c>
      <c r="U212" s="23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2"/>
      <c r="B213" s="374" t="s">
        <v>164</v>
      </c>
      <c r="C213" s="374" t="s">
        <v>22</v>
      </c>
      <c r="D213" s="374"/>
      <c r="E213" s="374" t="s">
        <v>27</v>
      </c>
      <c r="F213" s="22"/>
      <c r="G213" s="23" t="s">
        <v>24</v>
      </c>
      <c r="H213" s="98"/>
      <c r="I213" s="25"/>
      <c r="J213" s="25"/>
      <c r="K213" s="26"/>
      <c r="L213" s="27"/>
      <c r="M213" s="26">
        <f t="shared" si="14"/>
        <v>0</v>
      </c>
      <c r="N213" s="26"/>
      <c r="O213" s="31"/>
      <c r="P213" s="99"/>
      <c r="Q213" s="26"/>
      <c r="R213" s="27"/>
      <c r="S213" s="26">
        <f t="shared" si="17"/>
        <v>0</v>
      </c>
      <c r="T213" s="26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1" t="s">
        <v>335</v>
      </c>
      <c r="G214" s="55" t="s">
        <v>28</v>
      </c>
      <c r="H214" s="56">
        <v>5</v>
      </c>
      <c r="I214" s="130">
        <v>2</v>
      </c>
      <c r="J214" s="130">
        <v>2</v>
      </c>
      <c r="K214" s="114">
        <v>3813.3</v>
      </c>
      <c r="L214" s="270">
        <v>2</v>
      </c>
      <c r="M214" s="43">
        <f t="shared" si="14"/>
        <v>3813.3</v>
      </c>
      <c r="N214" s="43">
        <f>2007+1806.3</f>
        <v>3813.3</v>
      </c>
      <c r="O214" s="41"/>
      <c r="P214" s="113">
        <v>4</v>
      </c>
      <c r="Q214" s="114">
        <v>7395.85</v>
      </c>
      <c r="R214" s="270">
        <v>5</v>
      </c>
      <c r="S214" s="43">
        <f t="shared" si="17"/>
        <v>8452.4000000000015</v>
      </c>
      <c r="T214" s="114">
        <f>4034.1+1921+2497.3</f>
        <v>8452.4000000000015</v>
      </c>
      <c r="U214" s="4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2"/>
      <c r="B215" s="374" t="s">
        <v>165</v>
      </c>
      <c r="C215" s="374"/>
      <c r="D215" s="374"/>
      <c r="E215" s="374"/>
      <c r="F215" s="22"/>
      <c r="G215" s="23" t="s">
        <v>24</v>
      </c>
      <c r="H215" s="119"/>
      <c r="I215" s="25"/>
      <c r="J215" s="25"/>
      <c r="K215" s="26"/>
      <c r="L215" s="27"/>
      <c r="M215" s="26">
        <f t="shared" si="14"/>
        <v>0</v>
      </c>
      <c r="N215" s="26"/>
      <c r="O215" s="31"/>
      <c r="P215" s="99"/>
      <c r="Q215" s="26"/>
      <c r="R215" s="27"/>
      <c r="S215" s="26">
        <f t="shared" si="17"/>
        <v>0</v>
      </c>
      <c r="T215" s="26"/>
      <c r="U215" s="3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0" t="s">
        <v>495</v>
      </c>
      <c r="G216" s="35" t="s">
        <v>25</v>
      </c>
      <c r="H216" s="66">
        <v>2</v>
      </c>
      <c r="I216" s="37">
        <v>1</v>
      </c>
      <c r="J216" s="37">
        <v>1</v>
      </c>
      <c r="K216" s="68">
        <v>2408.4</v>
      </c>
      <c r="L216" s="285">
        <v>1</v>
      </c>
      <c r="M216" s="68">
        <v>2408.4</v>
      </c>
      <c r="N216" s="68">
        <v>2408.4</v>
      </c>
      <c r="O216" s="41"/>
      <c r="P216" s="115">
        <v>2</v>
      </c>
      <c r="Q216" s="68">
        <v>288.14999999999998</v>
      </c>
      <c r="R216" s="285">
        <v>1</v>
      </c>
      <c r="S216" s="68">
        <v>288.14999999999998</v>
      </c>
      <c r="T216" s="68">
        <v>288.14999999999998</v>
      </c>
      <c r="U216" s="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6"/>
      <c r="B217" s="377" t="s">
        <v>454</v>
      </c>
      <c r="C217" s="377" t="s">
        <v>39</v>
      </c>
      <c r="D217" s="405" t="s">
        <v>455</v>
      </c>
      <c r="E217" s="381" t="s">
        <v>27</v>
      </c>
      <c r="F217" s="204" t="s">
        <v>467</v>
      </c>
      <c r="G217" s="23" t="s">
        <v>24</v>
      </c>
      <c r="H217" s="328">
        <v>4</v>
      </c>
      <c r="I217" s="231">
        <v>4</v>
      </c>
      <c r="J217" s="231">
        <v>4</v>
      </c>
      <c r="K217" s="91">
        <v>5611.73</v>
      </c>
      <c r="L217" s="330">
        <v>4</v>
      </c>
      <c r="M217" s="26">
        <f t="shared" ref="M217:M233" si="18">N217+O217</f>
        <v>5611.73</v>
      </c>
      <c r="N217" s="91">
        <v>5611.73</v>
      </c>
      <c r="O217" s="94"/>
      <c r="P217" s="329"/>
      <c r="Q217" s="91"/>
      <c r="R217" s="330"/>
      <c r="S217" s="26">
        <f t="shared" ref="S217:S233" si="19">T217+U217</f>
        <v>0</v>
      </c>
      <c r="T217" s="79"/>
      <c r="U217" s="336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406"/>
      <c r="E218" s="375"/>
      <c r="F218" s="220"/>
      <c r="G218" s="345" t="s">
        <v>28</v>
      </c>
      <c r="H218" s="346">
        <v>9</v>
      </c>
      <c r="I218" s="37">
        <v>7</v>
      </c>
      <c r="J218" s="37">
        <v>7</v>
      </c>
      <c r="K218" s="68">
        <v>15554.25</v>
      </c>
      <c r="L218" s="285">
        <v>5</v>
      </c>
      <c r="M218" s="87">
        <f t="shared" si="18"/>
        <v>11540.25</v>
      </c>
      <c r="N218" s="39">
        <f>3211.2+2609.1+2609.1+2007+1103.85</f>
        <v>11540.25</v>
      </c>
      <c r="O218" s="41"/>
      <c r="P218" s="217"/>
      <c r="Q218" s="68"/>
      <c r="R218" s="285"/>
      <c r="S218" s="87">
        <f t="shared" si="19"/>
        <v>0</v>
      </c>
      <c r="T218" s="339"/>
      <c r="U218" s="34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82"/>
      <c r="B219" s="381" t="s">
        <v>166</v>
      </c>
      <c r="C219" s="381" t="s">
        <v>22</v>
      </c>
      <c r="D219" s="377"/>
      <c r="E219" s="381" t="s">
        <v>27</v>
      </c>
      <c r="F219" s="232" t="s">
        <v>420</v>
      </c>
      <c r="G219" s="347" t="s">
        <v>24</v>
      </c>
      <c r="H219" s="348">
        <v>1</v>
      </c>
      <c r="I219" s="96"/>
      <c r="J219" s="96"/>
      <c r="K219" s="81"/>
      <c r="L219" s="80"/>
      <c r="M219" s="81">
        <f t="shared" si="18"/>
        <v>0</v>
      </c>
      <c r="N219" s="81"/>
      <c r="O219" s="82"/>
      <c r="P219" s="78">
        <v>4</v>
      </c>
      <c r="Q219" s="79">
        <v>17868.150000000001</v>
      </c>
      <c r="R219" s="268">
        <v>4</v>
      </c>
      <c r="S219" s="81">
        <f t="shared" si="19"/>
        <v>17868.150000000001</v>
      </c>
      <c r="T219" s="79">
        <v>17868.150000000001</v>
      </c>
      <c r="U219" s="26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6"/>
      <c r="G220" s="227" t="s">
        <v>28</v>
      </c>
      <c r="H220" s="334"/>
      <c r="I220" s="57"/>
      <c r="J220" s="57"/>
      <c r="K220" s="43"/>
      <c r="L220" s="44"/>
      <c r="M220" s="43">
        <f t="shared" si="18"/>
        <v>0</v>
      </c>
      <c r="N220" s="43"/>
      <c r="O220" s="45"/>
      <c r="P220" s="273"/>
      <c r="Q220" s="211"/>
      <c r="R220" s="210"/>
      <c r="S220" s="211">
        <f t="shared" si="19"/>
        <v>0</v>
      </c>
      <c r="T220" s="211"/>
      <c r="U220" s="21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167</v>
      </c>
      <c r="C221" s="374" t="s">
        <v>46</v>
      </c>
      <c r="D221" s="374" t="s">
        <v>168</v>
      </c>
      <c r="E221" s="374" t="s">
        <v>27</v>
      </c>
      <c r="F221" s="204" t="s">
        <v>421</v>
      </c>
      <c r="G221" s="176" t="s">
        <v>24</v>
      </c>
      <c r="H221" s="248">
        <v>5</v>
      </c>
      <c r="I221" s="62">
        <v>5</v>
      </c>
      <c r="J221" s="62">
        <v>5</v>
      </c>
      <c r="K221" s="30">
        <v>7982.3</v>
      </c>
      <c r="L221" s="205">
        <v>4</v>
      </c>
      <c r="M221" s="26">
        <f t="shared" si="18"/>
        <v>6502.43</v>
      </c>
      <c r="N221" s="30">
        <v>6502.43</v>
      </c>
      <c r="O221" s="308"/>
      <c r="P221" s="99"/>
      <c r="Q221" s="26"/>
      <c r="R221" s="27"/>
      <c r="S221" s="26">
        <f t="shared" si="19"/>
        <v>0</v>
      </c>
      <c r="T221" s="26"/>
      <c r="U221" s="28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247</v>
      </c>
      <c r="G222" s="229" t="s">
        <v>28</v>
      </c>
      <c r="H222" s="258">
        <v>9</v>
      </c>
      <c r="I222" s="37">
        <v>6</v>
      </c>
      <c r="J222" s="37">
        <v>6</v>
      </c>
      <c r="K222" s="68">
        <v>14608.15</v>
      </c>
      <c r="L222" s="285">
        <v>5</v>
      </c>
      <c r="M222" s="39">
        <f t="shared" si="18"/>
        <v>19304.88</v>
      </c>
      <c r="N222" s="39">
        <f>1985.09+7101.24+2689.4+4418.3+1705.95+1404.9</f>
        <v>19304.88</v>
      </c>
      <c r="O222" s="309"/>
      <c r="P222" s="310">
        <v>7</v>
      </c>
      <c r="Q222" s="245">
        <v>33570.1</v>
      </c>
      <c r="R222" s="285">
        <v>7</v>
      </c>
      <c r="S222" s="39">
        <f t="shared" si="19"/>
        <v>24543.769999999997</v>
      </c>
      <c r="T222" s="68">
        <f>4034.1+1152.6+2881.5+2497.3+1921+6638.37+5418.9</f>
        <v>24543.769999999997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6"/>
      <c r="B223" s="377" t="s">
        <v>169</v>
      </c>
      <c r="C223" s="377" t="s">
        <v>39</v>
      </c>
      <c r="D223" s="377"/>
      <c r="E223" s="377" t="s">
        <v>27</v>
      </c>
      <c r="F223" s="72"/>
      <c r="G223" s="291" t="s">
        <v>24</v>
      </c>
      <c r="H223" s="98"/>
      <c r="I223" s="49"/>
      <c r="J223" s="49"/>
      <c r="K223" s="50"/>
      <c r="L223" s="51"/>
      <c r="M223" s="50">
        <f t="shared" si="18"/>
        <v>0</v>
      </c>
      <c r="N223" s="50"/>
      <c r="O223" s="31"/>
      <c r="P223" s="277"/>
      <c r="Q223" s="81"/>
      <c r="R223" s="80"/>
      <c r="S223" s="81">
        <f t="shared" si="19"/>
        <v>0</v>
      </c>
      <c r="T223" s="81"/>
      <c r="U223" s="219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336</v>
      </c>
      <c r="G224" s="229" t="s">
        <v>28</v>
      </c>
      <c r="H224" s="153">
        <v>5</v>
      </c>
      <c r="I224" s="130">
        <v>2</v>
      </c>
      <c r="J224" s="130">
        <v>2</v>
      </c>
      <c r="K224" s="114">
        <v>2611.9</v>
      </c>
      <c r="L224" s="270">
        <v>1</v>
      </c>
      <c r="M224" s="43">
        <f t="shared" si="18"/>
        <v>1404.9</v>
      </c>
      <c r="N224" s="43">
        <f>1404.9</f>
        <v>1404.9</v>
      </c>
      <c r="O224" s="41"/>
      <c r="P224" s="113">
        <v>1</v>
      </c>
      <c r="Q224" s="114">
        <v>3842</v>
      </c>
      <c r="R224" s="316">
        <v>1</v>
      </c>
      <c r="S224" s="50">
        <f t="shared" si="19"/>
        <v>3842</v>
      </c>
      <c r="T224" s="43">
        <f>3842</f>
        <v>3842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170</v>
      </c>
      <c r="C225" s="374" t="s">
        <v>22</v>
      </c>
      <c r="D225" s="374"/>
      <c r="E225" s="374" t="s">
        <v>160</v>
      </c>
      <c r="F225" s="232" t="s">
        <v>248</v>
      </c>
      <c r="G225" s="23" t="s">
        <v>24</v>
      </c>
      <c r="H225" s="48">
        <v>31</v>
      </c>
      <c r="I225" s="62">
        <v>30</v>
      </c>
      <c r="J225" s="62">
        <v>39</v>
      </c>
      <c r="K225" s="30">
        <v>79827.37</v>
      </c>
      <c r="L225" s="205">
        <v>39</v>
      </c>
      <c r="M225" s="26">
        <f t="shared" si="18"/>
        <v>79827.37</v>
      </c>
      <c r="N225" s="30">
        <v>79827.37</v>
      </c>
      <c r="O225" s="225"/>
      <c r="P225" s="53">
        <v>25</v>
      </c>
      <c r="Q225" s="30">
        <v>74173.19</v>
      </c>
      <c r="R225" s="205">
        <v>25</v>
      </c>
      <c r="S225" s="26">
        <f t="shared" si="19"/>
        <v>74173.19</v>
      </c>
      <c r="T225" s="30">
        <v>74173.19</v>
      </c>
      <c r="U225" s="22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105"/>
      <c r="G226" s="35" t="s">
        <v>28</v>
      </c>
      <c r="H226" s="116"/>
      <c r="I226" s="38"/>
      <c r="J226" s="38"/>
      <c r="K226" s="39"/>
      <c r="L226" s="40"/>
      <c r="M226" s="39">
        <f t="shared" si="18"/>
        <v>0</v>
      </c>
      <c r="N226" s="39"/>
      <c r="O226" s="41"/>
      <c r="P226" s="59"/>
      <c r="Q226" s="39"/>
      <c r="R226" s="40"/>
      <c r="S226" s="39">
        <f t="shared" si="19"/>
        <v>0</v>
      </c>
      <c r="T226" s="39"/>
      <c r="U226" s="4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171</v>
      </c>
      <c r="C227" s="374" t="s">
        <v>39</v>
      </c>
      <c r="D227" s="374" t="s">
        <v>374</v>
      </c>
      <c r="E227" s="374" t="s">
        <v>27</v>
      </c>
      <c r="F227" s="223" t="s">
        <v>375</v>
      </c>
      <c r="G227" s="176" t="s">
        <v>24</v>
      </c>
      <c r="H227" s="48">
        <v>5</v>
      </c>
      <c r="I227" s="203">
        <v>3</v>
      </c>
      <c r="J227" s="203">
        <v>3</v>
      </c>
      <c r="K227" s="65">
        <v>6059.73</v>
      </c>
      <c r="L227" s="224">
        <v>3</v>
      </c>
      <c r="M227" s="50">
        <f t="shared" si="18"/>
        <v>6059.73</v>
      </c>
      <c r="N227" s="65">
        <v>6059.73</v>
      </c>
      <c r="O227" s="31"/>
      <c r="P227" s="108">
        <v>7</v>
      </c>
      <c r="Q227" s="65">
        <v>19784.07</v>
      </c>
      <c r="R227" s="224">
        <v>7</v>
      </c>
      <c r="S227" s="50">
        <f t="shared" si="19"/>
        <v>19784.07</v>
      </c>
      <c r="T227" s="65">
        <v>19784.07</v>
      </c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337</v>
      </c>
      <c r="G228" s="229" t="s">
        <v>28</v>
      </c>
      <c r="H228" s="133">
        <v>5</v>
      </c>
      <c r="I228" s="37">
        <v>1</v>
      </c>
      <c r="J228" s="37">
        <v>1</v>
      </c>
      <c r="K228" s="68">
        <v>3457.8</v>
      </c>
      <c r="L228" s="350">
        <v>1</v>
      </c>
      <c r="M228" s="351">
        <f t="shared" si="18"/>
        <v>3457.8</v>
      </c>
      <c r="N228" s="39">
        <f>3457.8</f>
        <v>3457.8</v>
      </c>
      <c r="O228" s="41"/>
      <c r="P228" s="115">
        <v>3</v>
      </c>
      <c r="Q228" s="68">
        <v>12518</v>
      </c>
      <c r="R228" s="285">
        <v>3</v>
      </c>
      <c r="S228" s="39">
        <f t="shared" si="19"/>
        <v>12518</v>
      </c>
      <c r="T228" s="39">
        <f>3073.6+4226.2+5218.2</f>
        <v>12518</v>
      </c>
      <c r="U228" s="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477</v>
      </c>
      <c r="C229" s="374"/>
      <c r="D229" s="374"/>
      <c r="E229" s="374"/>
      <c r="F229" s="232"/>
      <c r="G229" s="176" t="s">
        <v>24</v>
      </c>
      <c r="H229" s="260"/>
      <c r="I229" s="231"/>
      <c r="J229" s="231"/>
      <c r="K229" s="91"/>
      <c r="L229" s="330"/>
      <c r="M229" s="50">
        <f t="shared" si="18"/>
        <v>0</v>
      </c>
      <c r="N229" s="91"/>
      <c r="O229" s="331"/>
      <c r="P229" s="329"/>
      <c r="Q229" s="91"/>
      <c r="R229" s="330"/>
      <c r="S229" s="142">
        <f t="shared" si="19"/>
        <v>0</v>
      </c>
      <c r="T229" s="91"/>
      <c r="U229" s="3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305"/>
      <c r="G230" s="229" t="s">
        <v>28</v>
      </c>
      <c r="H230" s="117">
        <v>1</v>
      </c>
      <c r="I230" s="208"/>
      <c r="J230" s="208"/>
      <c r="K230" s="209"/>
      <c r="L230" s="290"/>
      <c r="M230" s="87">
        <f t="shared" si="18"/>
        <v>0</v>
      </c>
      <c r="N230" s="209"/>
      <c r="O230" s="234"/>
      <c r="P230" s="262"/>
      <c r="Q230" s="209"/>
      <c r="R230" s="290"/>
      <c r="S230" s="87">
        <f t="shared" si="19"/>
        <v>0</v>
      </c>
      <c r="T230" s="209"/>
      <c r="U230" s="263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172</v>
      </c>
      <c r="C231" s="374" t="s">
        <v>39</v>
      </c>
      <c r="D231" s="374" t="s">
        <v>303</v>
      </c>
      <c r="E231" s="374" t="s">
        <v>121</v>
      </c>
      <c r="F231" s="204" t="s">
        <v>304</v>
      </c>
      <c r="G231" s="176" t="s">
        <v>24</v>
      </c>
      <c r="H231" s="265">
        <v>41</v>
      </c>
      <c r="I231" s="62">
        <v>27</v>
      </c>
      <c r="J231" s="62">
        <v>28</v>
      </c>
      <c r="K231" s="30">
        <v>25358.09</v>
      </c>
      <c r="L231" s="205">
        <v>28</v>
      </c>
      <c r="M231" s="26">
        <f t="shared" si="18"/>
        <v>25358.09</v>
      </c>
      <c r="N231" s="30">
        <v>25358.09</v>
      </c>
      <c r="O231" s="269"/>
      <c r="P231" s="53">
        <v>34</v>
      </c>
      <c r="Q231" s="30">
        <v>98961.54</v>
      </c>
      <c r="R231" s="205">
        <v>33</v>
      </c>
      <c r="S231" s="26">
        <f t="shared" si="19"/>
        <v>98961.54</v>
      </c>
      <c r="T231" s="30">
        <v>98961.54</v>
      </c>
      <c r="U231" s="2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496</v>
      </c>
      <c r="G232" s="229" t="s">
        <v>25</v>
      </c>
      <c r="H232" s="102"/>
      <c r="I232" s="57"/>
      <c r="J232" s="57"/>
      <c r="K232" s="43"/>
      <c r="L232" s="44"/>
      <c r="M232" s="43">
        <f t="shared" si="18"/>
        <v>0</v>
      </c>
      <c r="N232" s="43"/>
      <c r="O232" s="41"/>
      <c r="P232" s="113">
        <v>1</v>
      </c>
      <c r="Q232" s="114">
        <v>1728.9</v>
      </c>
      <c r="R232" s="270">
        <v>1</v>
      </c>
      <c r="S232" s="43">
        <f t="shared" si="19"/>
        <v>1728.9</v>
      </c>
      <c r="T232" s="114">
        <v>1728.9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173</v>
      </c>
      <c r="C233" s="374" t="s">
        <v>39</v>
      </c>
      <c r="D233" s="374" t="s">
        <v>338</v>
      </c>
      <c r="E233" s="374" t="s">
        <v>121</v>
      </c>
      <c r="F233" s="232" t="s">
        <v>376</v>
      </c>
      <c r="G233" s="23" t="s">
        <v>24</v>
      </c>
      <c r="H233" s="61">
        <v>60</v>
      </c>
      <c r="I233" s="62">
        <v>25</v>
      </c>
      <c r="J233" s="62">
        <v>25</v>
      </c>
      <c r="K233" s="30">
        <v>29688.26</v>
      </c>
      <c r="L233" s="205">
        <v>25</v>
      </c>
      <c r="M233" s="26">
        <f t="shared" si="18"/>
        <v>29688.26</v>
      </c>
      <c r="N233" s="30">
        <v>29688.26</v>
      </c>
      <c r="O233" s="31"/>
      <c r="P233" s="53">
        <v>9</v>
      </c>
      <c r="Q233" s="30">
        <v>5292.88</v>
      </c>
      <c r="R233" s="205">
        <v>5</v>
      </c>
      <c r="S233" s="26">
        <f t="shared" si="19"/>
        <v>4887.8599999999997</v>
      </c>
      <c r="T233" s="30">
        <v>4887.8599999999997</v>
      </c>
      <c r="U233" s="3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220" t="s">
        <v>339</v>
      </c>
      <c r="G234" s="35" t="s">
        <v>25</v>
      </c>
      <c r="H234" s="117">
        <v>18</v>
      </c>
      <c r="I234" s="37">
        <v>9</v>
      </c>
      <c r="J234" s="37">
        <v>9</v>
      </c>
      <c r="K234" s="68">
        <v>14137.16</v>
      </c>
      <c r="L234" s="285">
        <v>9</v>
      </c>
      <c r="M234" s="68">
        <v>14137.16</v>
      </c>
      <c r="N234" s="68">
        <v>14137.16</v>
      </c>
      <c r="O234" s="234"/>
      <c r="P234" s="115">
        <v>4</v>
      </c>
      <c r="Q234" s="68">
        <v>14877.15</v>
      </c>
      <c r="R234" s="285">
        <v>4</v>
      </c>
      <c r="S234" s="68">
        <v>14877.15</v>
      </c>
      <c r="T234" s="68">
        <v>14877.15</v>
      </c>
      <c r="U234" s="23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174</v>
      </c>
      <c r="C235" s="374" t="s">
        <v>39</v>
      </c>
      <c r="D235" s="374" t="s">
        <v>175</v>
      </c>
      <c r="E235" s="374" t="s">
        <v>176</v>
      </c>
      <c r="F235" s="204" t="s">
        <v>377</v>
      </c>
      <c r="G235" s="176" t="s">
        <v>24</v>
      </c>
      <c r="H235" s="48">
        <v>30</v>
      </c>
      <c r="I235" s="203">
        <v>24</v>
      </c>
      <c r="J235" s="203">
        <v>29</v>
      </c>
      <c r="K235" s="65">
        <v>59152.57</v>
      </c>
      <c r="L235" s="224">
        <v>29</v>
      </c>
      <c r="M235" s="50">
        <f>N235+O235</f>
        <v>59152.57</v>
      </c>
      <c r="N235" s="65">
        <v>59152.57</v>
      </c>
      <c r="O235" s="225"/>
      <c r="P235" s="108">
        <v>22</v>
      </c>
      <c r="Q235" s="65">
        <v>80070.350000000006</v>
      </c>
      <c r="R235" s="224">
        <v>22</v>
      </c>
      <c r="S235" s="50">
        <f>T235+U235</f>
        <v>80070.350000000006</v>
      </c>
      <c r="T235" s="65">
        <v>80070.350000000006</v>
      </c>
      <c r="U235" s="22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220" t="s">
        <v>340</v>
      </c>
      <c r="G236" s="229" t="s">
        <v>25</v>
      </c>
      <c r="H236" s="153">
        <v>2</v>
      </c>
      <c r="I236" s="130">
        <v>2</v>
      </c>
      <c r="J236" s="130">
        <v>2</v>
      </c>
      <c r="K236" s="114">
        <v>11239.2</v>
      </c>
      <c r="L236" s="270">
        <v>2</v>
      </c>
      <c r="M236" s="114">
        <v>11239.2</v>
      </c>
      <c r="N236" s="114">
        <v>11239.2</v>
      </c>
      <c r="O236" s="41"/>
      <c r="P236" s="113">
        <v>11</v>
      </c>
      <c r="Q236" s="114">
        <v>54930.46</v>
      </c>
      <c r="R236" s="270">
        <v>11</v>
      </c>
      <c r="S236" s="114">
        <v>54930.46</v>
      </c>
      <c r="T236" s="114">
        <v>54930.46</v>
      </c>
      <c r="U236" s="23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177</v>
      </c>
      <c r="C237" s="377" t="s">
        <v>39</v>
      </c>
      <c r="D237" s="374" t="s">
        <v>226</v>
      </c>
      <c r="E237" s="374" t="s">
        <v>27</v>
      </c>
      <c r="F237" s="204" t="s">
        <v>227</v>
      </c>
      <c r="G237" s="23" t="s">
        <v>24</v>
      </c>
      <c r="H237" s="48">
        <v>14</v>
      </c>
      <c r="I237" s="62">
        <v>11</v>
      </c>
      <c r="J237" s="62">
        <v>11</v>
      </c>
      <c r="K237" s="30">
        <v>15789.33</v>
      </c>
      <c r="L237" s="205">
        <v>5</v>
      </c>
      <c r="M237" s="26">
        <f t="shared" ref="M237:M263" si="20">N237+O237</f>
        <v>15789.330000000002</v>
      </c>
      <c r="N237" s="30">
        <v>8372.27</v>
      </c>
      <c r="O237" s="225">
        <v>7417.06</v>
      </c>
      <c r="P237" s="53">
        <v>16</v>
      </c>
      <c r="Q237" s="30">
        <v>53460.74</v>
      </c>
      <c r="R237" s="205">
        <v>16</v>
      </c>
      <c r="S237" s="26">
        <f t="shared" ref="S237:S263" si="21">T237+U237</f>
        <v>53460.74</v>
      </c>
      <c r="T237" s="30">
        <v>53460.74</v>
      </c>
      <c r="U237" s="225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80"/>
      <c r="D238" s="375"/>
      <c r="E238" s="375"/>
      <c r="F238" s="105"/>
      <c r="G238" s="55" t="s">
        <v>28</v>
      </c>
      <c r="H238" s="118"/>
      <c r="I238" s="57"/>
      <c r="J238" s="57"/>
      <c r="K238" s="43"/>
      <c r="L238" s="44"/>
      <c r="M238" s="43">
        <f t="shared" si="20"/>
        <v>0</v>
      </c>
      <c r="N238" s="43"/>
      <c r="O238" s="41"/>
      <c r="P238" s="103"/>
      <c r="Q238" s="43"/>
      <c r="R238" s="44"/>
      <c r="S238" s="43">
        <f t="shared" si="21"/>
        <v>0</v>
      </c>
      <c r="T238" s="43"/>
      <c r="U238" s="4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178</v>
      </c>
      <c r="C239" s="374" t="s">
        <v>22</v>
      </c>
      <c r="D239" s="374"/>
      <c r="E239" s="374" t="s">
        <v>27</v>
      </c>
      <c r="F239" s="232" t="s">
        <v>452</v>
      </c>
      <c r="G239" s="176" t="s">
        <v>24</v>
      </c>
      <c r="H239" s="61">
        <v>9</v>
      </c>
      <c r="I239" s="62">
        <v>8</v>
      </c>
      <c r="J239" s="62">
        <v>10</v>
      </c>
      <c r="K239" s="30">
        <v>14011.64</v>
      </c>
      <c r="L239" s="205">
        <v>10</v>
      </c>
      <c r="M239" s="26">
        <f t="shared" si="20"/>
        <v>14011.64</v>
      </c>
      <c r="N239" s="30">
        <v>14011.64</v>
      </c>
      <c r="O239" s="31"/>
      <c r="P239" s="29">
        <v>1</v>
      </c>
      <c r="Q239" s="30">
        <v>2466.56</v>
      </c>
      <c r="R239" s="205">
        <v>1</v>
      </c>
      <c r="S239" s="26">
        <f t="shared" si="21"/>
        <v>2466.56</v>
      </c>
      <c r="T239" s="30">
        <v>2466.56</v>
      </c>
      <c r="U239" s="3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52" t="s">
        <v>28</v>
      </c>
      <c r="H240" s="106"/>
      <c r="I240" s="38"/>
      <c r="J240" s="38"/>
      <c r="K240" s="39"/>
      <c r="L240" s="40"/>
      <c r="M240" s="39">
        <f t="shared" si="20"/>
        <v>0</v>
      </c>
      <c r="N240" s="39"/>
      <c r="O240" s="41"/>
      <c r="P240" s="69"/>
      <c r="Q240" s="39"/>
      <c r="R240" s="40"/>
      <c r="S240" s="39">
        <f t="shared" si="21"/>
        <v>0</v>
      </c>
      <c r="T240" s="39"/>
      <c r="U240" s="4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445</v>
      </c>
      <c r="C241" s="374"/>
      <c r="D241" s="374"/>
      <c r="E241" s="374" t="s">
        <v>484</v>
      </c>
      <c r="F241" s="72"/>
      <c r="G241" s="176" t="s">
        <v>24</v>
      </c>
      <c r="H241" s="265"/>
      <c r="I241" s="266"/>
      <c r="J241" s="96"/>
      <c r="K241" s="81"/>
      <c r="L241" s="80"/>
      <c r="M241" s="142">
        <f t="shared" si="20"/>
        <v>0</v>
      </c>
      <c r="N241" s="81"/>
      <c r="O241" s="82"/>
      <c r="P241" s="295"/>
      <c r="Q241" s="81"/>
      <c r="R241" s="80"/>
      <c r="S241" s="142">
        <f t="shared" si="21"/>
        <v>0</v>
      </c>
      <c r="T241" s="81"/>
      <c r="U241" s="8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6"/>
      <c r="G242" s="252" t="s">
        <v>28</v>
      </c>
      <c r="H242" s="302">
        <v>1</v>
      </c>
      <c r="I242" s="261"/>
      <c r="J242" s="261"/>
      <c r="K242" s="211"/>
      <c r="L242" s="210"/>
      <c r="M242" s="39">
        <f t="shared" si="20"/>
        <v>0</v>
      </c>
      <c r="N242" s="211"/>
      <c r="O242" s="212"/>
      <c r="P242" s="284"/>
      <c r="Q242" s="211"/>
      <c r="R242" s="210"/>
      <c r="S242" s="39">
        <f t="shared" si="21"/>
        <v>0</v>
      </c>
      <c r="T242" s="211"/>
      <c r="U242" s="21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2"/>
      <c r="B243" s="374" t="s">
        <v>179</v>
      </c>
      <c r="C243" s="374" t="s">
        <v>471</v>
      </c>
      <c r="D243" s="374" t="s">
        <v>472</v>
      </c>
      <c r="E243" s="374" t="s">
        <v>27</v>
      </c>
      <c r="F243" s="204" t="s">
        <v>473</v>
      </c>
      <c r="G243" s="176" t="s">
        <v>24</v>
      </c>
      <c r="H243" s="61">
        <v>2</v>
      </c>
      <c r="I243" s="25"/>
      <c r="J243" s="25"/>
      <c r="K243" s="26"/>
      <c r="L243" s="27"/>
      <c r="M243" s="26">
        <f t="shared" si="20"/>
        <v>0</v>
      </c>
      <c r="N243" s="26"/>
      <c r="O243" s="28"/>
      <c r="P243" s="29">
        <v>4</v>
      </c>
      <c r="Q243" s="30">
        <v>0</v>
      </c>
      <c r="R243" s="27"/>
      <c r="S243" s="26">
        <f t="shared" si="21"/>
        <v>0</v>
      </c>
      <c r="T243" s="26"/>
      <c r="U243" s="28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3"/>
      <c r="B244" s="375"/>
      <c r="C244" s="375"/>
      <c r="D244" s="375"/>
      <c r="E244" s="375"/>
      <c r="F244" s="105"/>
      <c r="G244" s="229" t="s">
        <v>28</v>
      </c>
      <c r="H244" s="298"/>
      <c r="I244" s="261"/>
      <c r="J244" s="261"/>
      <c r="K244" s="211"/>
      <c r="L244" s="210"/>
      <c r="M244" s="211">
        <f t="shared" si="20"/>
        <v>0</v>
      </c>
      <c r="N244" s="211"/>
      <c r="O244" s="212"/>
      <c r="P244" s="284"/>
      <c r="Q244" s="211"/>
      <c r="R244" s="210"/>
      <c r="S244" s="211">
        <f t="shared" si="21"/>
        <v>0</v>
      </c>
      <c r="T244" s="211"/>
      <c r="U244" s="21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2"/>
      <c r="B245" s="374" t="s">
        <v>378</v>
      </c>
      <c r="C245" s="374" t="s">
        <v>46</v>
      </c>
      <c r="D245" s="374" t="s">
        <v>422</v>
      </c>
      <c r="E245" s="374" t="s">
        <v>27</v>
      </c>
      <c r="F245" s="232" t="s">
        <v>423</v>
      </c>
      <c r="G245" s="213" t="s">
        <v>24</v>
      </c>
      <c r="H245" s="61">
        <v>25</v>
      </c>
      <c r="I245" s="62">
        <v>18</v>
      </c>
      <c r="J245" s="62">
        <v>22</v>
      </c>
      <c r="K245" s="30">
        <v>42558.96</v>
      </c>
      <c r="L245" s="205">
        <v>21</v>
      </c>
      <c r="M245" s="26">
        <f t="shared" si="20"/>
        <v>38410.49</v>
      </c>
      <c r="N245" s="30">
        <v>38410.49</v>
      </c>
      <c r="O245" s="28"/>
      <c r="P245" s="214"/>
      <c r="Q245" s="30"/>
      <c r="R245" s="205"/>
      <c r="S245" s="26">
        <f t="shared" si="21"/>
        <v>0</v>
      </c>
      <c r="T245" s="30"/>
      <c r="U245" s="2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3"/>
      <c r="B246" s="375"/>
      <c r="C246" s="375"/>
      <c r="D246" s="375"/>
      <c r="E246" s="375"/>
      <c r="F246" s="220"/>
      <c r="G246" s="215" t="s">
        <v>28</v>
      </c>
      <c r="H246" s="117">
        <v>7</v>
      </c>
      <c r="I246" s="37">
        <v>1</v>
      </c>
      <c r="J246" s="37">
        <v>1</v>
      </c>
      <c r="K246" s="68">
        <v>1152.5999999999999</v>
      </c>
      <c r="L246" s="285">
        <v>1</v>
      </c>
      <c r="M246" s="39">
        <f t="shared" si="20"/>
        <v>1152.5999999999999</v>
      </c>
      <c r="N246" s="39">
        <f>1152.6</f>
        <v>1152.5999999999999</v>
      </c>
      <c r="O246" s="41"/>
      <c r="P246" s="217"/>
      <c r="Q246" s="68"/>
      <c r="R246" s="285"/>
      <c r="S246" s="39">
        <f t="shared" si="21"/>
        <v>0</v>
      </c>
      <c r="T246" s="68"/>
      <c r="U246" s="23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6"/>
      <c r="B247" s="377" t="s">
        <v>180</v>
      </c>
      <c r="C247" s="377" t="s">
        <v>46</v>
      </c>
      <c r="D247" s="377" t="s">
        <v>181</v>
      </c>
      <c r="E247" s="377" t="s">
        <v>27</v>
      </c>
      <c r="F247" s="232" t="s">
        <v>228</v>
      </c>
      <c r="G247" s="95" t="s">
        <v>24</v>
      </c>
      <c r="H247" s="265">
        <v>20</v>
      </c>
      <c r="I247" s="266">
        <v>11</v>
      </c>
      <c r="J247" s="266">
        <v>12</v>
      </c>
      <c r="K247" s="79">
        <v>21720.67</v>
      </c>
      <c r="L247" s="268">
        <v>12</v>
      </c>
      <c r="M247" s="81">
        <f t="shared" si="20"/>
        <v>21720.67</v>
      </c>
      <c r="N247" s="79">
        <v>21720.67</v>
      </c>
      <c r="O247" s="219"/>
      <c r="P247" s="267">
        <v>17</v>
      </c>
      <c r="Q247" s="79">
        <v>74693.53</v>
      </c>
      <c r="R247" s="268">
        <v>17</v>
      </c>
      <c r="S247" s="26">
        <f t="shared" si="21"/>
        <v>74693.53</v>
      </c>
      <c r="T247" s="79">
        <v>74693.53</v>
      </c>
      <c r="U247" s="269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9"/>
      <c r="B248" s="380"/>
      <c r="C248" s="380"/>
      <c r="D248" s="380"/>
      <c r="E248" s="380"/>
      <c r="F248" s="54"/>
      <c r="G248" s="55" t="s">
        <v>28</v>
      </c>
      <c r="H248" s="116"/>
      <c r="I248" s="57"/>
      <c r="J248" s="57"/>
      <c r="K248" s="43"/>
      <c r="L248" s="128"/>
      <c r="M248" s="50">
        <f t="shared" si="20"/>
        <v>0</v>
      </c>
      <c r="N248" s="43"/>
      <c r="O248" s="41"/>
      <c r="P248" s="113">
        <v>3</v>
      </c>
      <c r="Q248" s="114">
        <v>15175.95</v>
      </c>
      <c r="R248" s="270">
        <v>3</v>
      </c>
      <c r="S248" s="43">
        <f t="shared" si="21"/>
        <v>2881.5499999999997</v>
      </c>
      <c r="T248" s="114">
        <f>2209.2+672.35</f>
        <v>2881.5499999999997</v>
      </c>
      <c r="U248" s="4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2"/>
      <c r="B249" s="374" t="s">
        <v>182</v>
      </c>
      <c r="C249" s="374" t="s">
        <v>46</v>
      </c>
      <c r="D249" s="374" t="s">
        <v>181</v>
      </c>
      <c r="E249" s="374" t="s">
        <v>27</v>
      </c>
      <c r="F249" s="204" t="s">
        <v>379</v>
      </c>
      <c r="G249" s="23" t="s">
        <v>24</v>
      </c>
      <c r="H249" s="48">
        <v>19</v>
      </c>
      <c r="I249" s="62">
        <v>19</v>
      </c>
      <c r="J249" s="62">
        <v>21</v>
      </c>
      <c r="K249" s="30">
        <v>30857.77</v>
      </c>
      <c r="L249" s="205">
        <v>21</v>
      </c>
      <c r="M249" s="26">
        <f t="shared" si="20"/>
        <v>30857.77</v>
      </c>
      <c r="N249" s="30">
        <v>30857.77</v>
      </c>
      <c r="O249" s="31"/>
      <c r="P249" s="53">
        <v>13</v>
      </c>
      <c r="Q249" s="30">
        <v>80512.5</v>
      </c>
      <c r="R249" s="205">
        <v>13</v>
      </c>
      <c r="S249" s="26">
        <f t="shared" si="21"/>
        <v>80512.5</v>
      </c>
      <c r="T249" s="30">
        <v>80512.5</v>
      </c>
      <c r="U249" s="100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3"/>
      <c r="B250" s="375"/>
      <c r="C250" s="375"/>
      <c r="D250" s="375"/>
      <c r="E250" s="375"/>
      <c r="F250" s="34"/>
      <c r="G250" s="35" t="s">
        <v>28</v>
      </c>
      <c r="H250" s="116"/>
      <c r="I250" s="38"/>
      <c r="J250" s="38"/>
      <c r="K250" s="39"/>
      <c r="L250" s="40"/>
      <c r="M250" s="39">
        <f t="shared" si="20"/>
        <v>0</v>
      </c>
      <c r="N250" s="39"/>
      <c r="O250" s="41"/>
      <c r="P250" s="115">
        <v>2</v>
      </c>
      <c r="Q250" s="68">
        <v>4418.3</v>
      </c>
      <c r="R250" s="285">
        <v>2</v>
      </c>
      <c r="S250" s="39">
        <f t="shared" si="21"/>
        <v>4418.3</v>
      </c>
      <c r="T250" s="39">
        <f>3073.6+1344.7</f>
        <v>4418.3</v>
      </c>
      <c r="U250" s="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70"/>
      <c r="B251" s="377" t="s">
        <v>480</v>
      </c>
      <c r="C251" s="377" t="s">
        <v>39</v>
      </c>
      <c r="D251" s="377" t="s">
        <v>481</v>
      </c>
      <c r="E251" s="377"/>
      <c r="F251" s="232"/>
      <c r="G251" s="23" t="s">
        <v>24</v>
      </c>
      <c r="H251" s="48"/>
      <c r="I251" s="266"/>
      <c r="J251" s="266"/>
      <c r="K251" s="79"/>
      <c r="L251" s="268"/>
      <c r="M251" s="142">
        <f t="shared" si="20"/>
        <v>0</v>
      </c>
      <c r="N251" s="79"/>
      <c r="O251" s="82"/>
      <c r="P251" s="267"/>
      <c r="Q251" s="79"/>
      <c r="R251" s="268"/>
      <c r="S251" s="142">
        <f t="shared" si="21"/>
        <v>0</v>
      </c>
      <c r="T251" s="79"/>
      <c r="U251" s="336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55"/>
      <c r="B252" s="375"/>
      <c r="C252" s="375"/>
      <c r="D252" s="375"/>
      <c r="E252" s="375"/>
      <c r="F252" s="356"/>
      <c r="G252" s="35" t="s">
        <v>28</v>
      </c>
      <c r="H252" s="353">
        <v>7</v>
      </c>
      <c r="I252" s="338">
        <v>1</v>
      </c>
      <c r="J252" s="338">
        <v>1</v>
      </c>
      <c r="K252" s="339">
        <v>1324.62</v>
      </c>
      <c r="L252" s="340">
        <v>1</v>
      </c>
      <c r="M252" s="39">
        <f t="shared" si="20"/>
        <v>1324.62</v>
      </c>
      <c r="N252" s="339">
        <v>1324.62</v>
      </c>
      <c r="O252" s="89"/>
      <c r="P252" s="357"/>
      <c r="Q252" s="339"/>
      <c r="R252" s="340"/>
      <c r="S252" s="39">
        <f t="shared" si="21"/>
        <v>0</v>
      </c>
      <c r="T252" s="339"/>
      <c r="U252" s="342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183</v>
      </c>
      <c r="C253" s="377" t="s">
        <v>22</v>
      </c>
      <c r="D253" s="377"/>
      <c r="E253" s="377" t="s">
        <v>99</v>
      </c>
      <c r="F253" s="232" t="s">
        <v>380</v>
      </c>
      <c r="G253" s="23" t="s">
        <v>24</v>
      </c>
      <c r="H253" s="265">
        <v>20</v>
      </c>
      <c r="I253" s="266">
        <v>14</v>
      </c>
      <c r="J253" s="266">
        <v>20</v>
      </c>
      <c r="K253" s="79">
        <v>26305.98</v>
      </c>
      <c r="L253" s="268">
        <v>17</v>
      </c>
      <c r="M253" s="81">
        <f t="shared" si="20"/>
        <v>23506.21</v>
      </c>
      <c r="N253" s="79">
        <v>23506.21</v>
      </c>
      <c r="O253" s="219"/>
      <c r="P253" s="267">
        <v>14</v>
      </c>
      <c r="Q253" s="79">
        <v>53584.26</v>
      </c>
      <c r="R253" s="268">
        <v>14</v>
      </c>
      <c r="S253" s="81">
        <f t="shared" si="21"/>
        <v>53584.26</v>
      </c>
      <c r="T253" s="79">
        <v>53584.26</v>
      </c>
      <c r="U253" s="26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252</v>
      </c>
      <c r="G254" s="227" t="s">
        <v>28</v>
      </c>
      <c r="H254" s="292">
        <v>12</v>
      </c>
      <c r="I254" s="208">
        <v>7</v>
      </c>
      <c r="J254" s="208">
        <v>7</v>
      </c>
      <c r="K254" s="209">
        <v>16319.8</v>
      </c>
      <c r="L254" s="290">
        <v>5</v>
      </c>
      <c r="M254" s="211">
        <f t="shared" si="20"/>
        <v>11101.599999999999</v>
      </c>
      <c r="N254" s="211">
        <f>1806.3+3073.6+2408.4+2408.4+1404.9</f>
        <v>11101.599999999999</v>
      </c>
      <c r="O254" s="212"/>
      <c r="P254" s="262">
        <v>4</v>
      </c>
      <c r="Q254" s="209">
        <v>25850.2</v>
      </c>
      <c r="R254" s="290">
        <v>2</v>
      </c>
      <c r="S254" s="211">
        <f t="shared" si="21"/>
        <v>5378.8</v>
      </c>
      <c r="T254" s="211">
        <f>4034.1+1344.7</f>
        <v>5378.8</v>
      </c>
      <c r="U254" s="212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425</v>
      </c>
      <c r="C255" s="374" t="s">
        <v>22</v>
      </c>
      <c r="D255" s="374"/>
      <c r="E255" s="374" t="s">
        <v>131</v>
      </c>
      <c r="F255" s="204" t="s">
        <v>426</v>
      </c>
      <c r="G255" s="176" t="s">
        <v>24</v>
      </c>
      <c r="H255" s="61">
        <v>18</v>
      </c>
      <c r="I255" s="62">
        <v>9</v>
      </c>
      <c r="J255" s="62">
        <v>14</v>
      </c>
      <c r="K255" s="30">
        <v>17695.5</v>
      </c>
      <c r="L255" s="205">
        <v>14</v>
      </c>
      <c r="M255" s="26">
        <f t="shared" si="20"/>
        <v>17695.5</v>
      </c>
      <c r="N255" s="30">
        <v>17695.5</v>
      </c>
      <c r="O255" s="28"/>
      <c r="P255" s="275"/>
      <c r="Q255" s="26"/>
      <c r="R255" s="27"/>
      <c r="S255" s="26">
        <f t="shared" si="21"/>
        <v>0</v>
      </c>
      <c r="T255" s="26"/>
      <c r="U255" s="28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6.5" customHeight="1">
      <c r="A256" s="373"/>
      <c r="B256" s="375"/>
      <c r="C256" s="375"/>
      <c r="D256" s="375"/>
      <c r="E256" s="375"/>
      <c r="F256" s="34"/>
      <c r="G256" s="229" t="s">
        <v>25</v>
      </c>
      <c r="H256" s="106"/>
      <c r="I256" s="38"/>
      <c r="J256" s="38"/>
      <c r="K256" s="39"/>
      <c r="L256" s="40"/>
      <c r="M256" s="39">
        <f t="shared" si="20"/>
        <v>0</v>
      </c>
      <c r="N256" s="39"/>
      <c r="O256" s="41"/>
      <c r="P256" s="276"/>
      <c r="Q256" s="39"/>
      <c r="R256" s="40"/>
      <c r="S256" s="39">
        <f t="shared" si="21"/>
        <v>0</v>
      </c>
      <c r="T256" s="39"/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6.5" customHeight="1">
      <c r="A257" s="376"/>
      <c r="B257" s="377" t="s">
        <v>184</v>
      </c>
      <c r="C257" s="377" t="s">
        <v>22</v>
      </c>
      <c r="D257" s="377"/>
      <c r="E257" s="377" t="s">
        <v>27</v>
      </c>
      <c r="F257" s="223" t="s">
        <v>453</v>
      </c>
      <c r="G257" s="95" t="s">
        <v>24</v>
      </c>
      <c r="H257" s="265">
        <v>5</v>
      </c>
      <c r="I257" s="266">
        <v>2</v>
      </c>
      <c r="J257" s="266">
        <v>2</v>
      </c>
      <c r="K257" s="79">
        <v>3158.6</v>
      </c>
      <c r="L257" s="268">
        <v>2</v>
      </c>
      <c r="M257" s="81">
        <f t="shared" si="20"/>
        <v>3158.6</v>
      </c>
      <c r="N257" s="79">
        <v>3158.6</v>
      </c>
      <c r="O257" s="219"/>
      <c r="P257" s="277"/>
      <c r="Q257" s="81"/>
      <c r="R257" s="80"/>
      <c r="S257" s="81">
        <f t="shared" si="21"/>
        <v>0</v>
      </c>
      <c r="T257" s="81"/>
      <c r="U257" s="219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6.5" customHeight="1">
      <c r="A258" s="379"/>
      <c r="B258" s="380"/>
      <c r="C258" s="380"/>
      <c r="D258" s="380"/>
      <c r="E258" s="380"/>
      <c r="F258" s="233" t="s">
        <v>253</v>
      </c>
      <c r="G258" s="227" t="s">
        <v>28</v>
      </c>
      <c r="H258" s="153">
        <v>7</v>
      </c>
      <c r="I258" s="130">
        <v>4</v>
      </c>
      <c r="J258" s="130">
        <v>4</v>
      </c>
      <c r="K258" s="114">
        <v>10482.120000000001</v>
      </c>
      <c r="L258" s="270">
        <v>3</v>
      </c>
      <c r="M258" s="43">
        <f t="shared" si="20"/>
        <v>9275.82</v>
      </c>
      <c r="N258" s="43">
        <f>1921+3380.96+3973.86</f>
        <v>9275.82</v>
      </c>
      <c r="O258" s="41"/>
      <c r="P258" s="113">
        <v>5</v>
      </c>
      <c r="Q258" s="114">
        <v>10565.5</v>
      </c>
      <c r="R258" s="270">
        <v>4</v>
      </c>
      <c r="S258" s="43">
        <f t="shared" si="21"/>
        <v>9989.2000000000007</v>
      </c>
      <c r="T258" s="114">
        <f>2958.34+3457.8+1267.86+2305.2</f>
        <v>9989.2000000000007</v>
      </c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6.5" customHeight="1">
      <c r="A259" s="372"/>
      <c r="B259" s="374" t="s">
        <v>185</v>
      </c>
      <c r="C259" s="374" t="s">
        <v>22</v>
      </c>
      <c r="D259" s="374"/>
      <c r="E259" s="374" t="s">
        <v>27</v>
      </c>
      <c r="F259" s="204" t="s">
        <v>341</v>
      </c>
      <c r="G259" s="176" t="s">
        <v>24</v>
      </c>
      <c r="H259" s="98"/>
      <c r="I259" s="25"/>
      <c r="J259" s="25"/>
      <c r="K259" s="26"/>
      <c r="L259" s="27"/>
      <c r="M259" s="26">
        <f t="shared" si="20"/>
        <v>0</v>
      </c>
      <c r="N259" s="26"/>
      <c r="O259" s="31"/>
      <c r="P259" s="53">
        <v>2</v>
      </c>
      <c r="Q259" s="30">
        <v>2633.4</v>
      </c>
      <c r="R259" s="205">
        <v>2</v>
      </c>
      <c r="S259" s="26">
        <f t="shared" si="21"/>
        <v>2633.4</v>
      </c>
      <c r="T259" s="30">
        <v>2633.4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 t="s">
        <v>342</v>
      </c>
      <c r="G260" s="229" t="s">
        <v>28</v>
      </c>
      <c r="H260" s="133">
        <v>8</v>
      </c>
      <c r="I260" s="130">
        <v>1</v>
      </c>
      <c r="J260" s="130">
        <v>1</v>
      </c>
      <c r="K260" s="114">
        <v>2007</v>
      </c>
      <c r="L260" s="44"/>
      <c r="M260" s="43">
        <f t="shared" si="20"/>
        <v>0</v>
      </c>
      <c r="N260" s="43"/>
      <c r="O260" s="41"/>
      <c r="P260" s="113">
        <v>5</v>
      </c>
      <c r="Q260" s="114">
        <v>25755.33</v>
      </c>
      <c r="R260" s="270">
        <v>3</v>
      </c>
      <c r="S260" s="43">
        <f t="shared" si="21"/>
        <v>15773.67</v>
      </c>
      <c r="T260" s="43">
        <f>2994.47+1204.2+11575</f>
        <v>15773.67</v>
      </c>
      <c r="U260" s="4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186</v>
      </c>
      <c r="C261" s="374" t="s">
        <v>22</v>
      </c>
      <c r="D261" s="374"/>
      <c r="E261" s="374" t="s">
        <v>99</v>
      </c>
      <c r="F261" s="232" t="s">
        <v>315</v>
      </c>
      <c r="G261" s="23" t="s">
        <v>24</v>
      </c>
      <c r="H261" s="48">
        <v>23</v>
      </c>
      <c r="I261" s="62">
        <v>15</v>
      </c>
      <c r="J261" s="62">
        <v>21</v>
      </c>
      <c r="K261" s="30">
        <v>40898</v>
      </c>
      <c r="L261" s="205">
        <v>17</v>
      </c>
      <c r="M261" s="26">
        <f t="shared" si="20"/>
        <v>35760.379999999997</v>
      </c>
      <c r="N261" s="30">
        <v>35760.379999999997</v>
      </c>
      <c r="O261" s="31"/>
      <c r="P261" s="53">
        <v>15</v>
      </c>
      <c r="Q261" s="30">
        <v>46212.56</v>
      </c>
      <c r="R261" s="205">
        <v>15</v>
      </c>
      <c r="S261" s="26">
        <f t="shared" si="21"/>
        <v>46212.56</v>
      </c>
      <c r="T261" s="30">
        <v>46212.56</v>
      </c>
      <c r="U261" s="225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 t="s">
        <v>254</v>
      </c>
      <c r="G262" s="35" t="s">
        <v>28</v>
      </c>
      <c r="H262" s="153">
        <v>14</v>
      </c>
      <c r="I262" s="37">
        <v>4</v>
      </c>
      <c r="J262" s="37">
        <v>4</v>
      </c>
      <c r="K262" s="68">
        <v>6622.6</v>
      </c>
      <c r="L262" s="285">
        <v>1</v>
      </c>
      <c r="M262" s="39">
        <f t="shared" si="20"/>
        <v>3010.5</v>
      </c>
      <c r="N262" s="39">
        <f>3010.5</f>
        <v>3010.5</v>
      </c>
      <c r="O262" s="41"/>
      <c r="P262" s="59"/>
      <c r="Q262" s="39"/>
      <c r="R262" s="40"/>
      <c r="S262" s="39">
        <f t="shared" si="21"/>
        <v>0</v>
      </c>
      <c r="T262" s="39"/>
      <c r="U262" s="41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82"/>
      <c r="B263" s="381" t="s">
        <v>187</v>
      </c>
      <c r="C263" s="381" t="s">
        <v>22</v>
      </c>
      <c r="D263" s="381"/>
      <c r="E263" s="381" t="s">
        <v>131</v>
      </c>
      <c r="F263" s="223" t="s">
        <v>343</v>
      </c>
      <c r="G263" s="23" t="s">
        <v>24</v>
      </c>
      <c r="H263" s="48">
        <v>18</v>
      </c>
      <c r="I263" s="203">
        <v>16</v>
      </c>
      <c r="J263" s="203">
        <v>24</v>
      </c>
      <c r="K263" s="65">
        <v>43817.02</v>
      </c>
      <c r="L263" s="224">
        <v>24</v>
      </c>
      <c r="M263" s="50">
        <f t="shared" si="20"/>
        <v>43817.02</v>
      </c>
      <c r="N263" s="65">
        <v>43817.02</v>
      </c>
      <c r="O263" s="225"/>
      <c r="P263" s="108">
        <v>20</v>
      </c>
      <c r="Q263" s="65">
        <v>57368.51</v>
      </c>
      <c r="R263" s="224">
        <v>20</v>
      </c>
      <c r="S263" s="50">
        <f t="shared" si="21"/>
        <v>57368.51</v>
      </c>
      <c r="T263" s="65">
        <v>57368.51</v>
      </c>
      <c r="U263" s="225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9"/>
      <c r="B264" s="380"/>
      <c r="C264" s="380"/>
      <c r="D264" s="380"/>
      <c r="E264" s="380"/>
      <c r="F264" s="233" t="s">
        <v>497</v>
      </c>
      <c r="G264" s="227" t="s">
        <v>25</v>
      </c>
      <c r="H264" s="153">
        <v>5</v>
      </c>
      <c r="I264" s="130">
        <v>3</v>
      </c>
      <c r="J264" s="130">
        <v>3</v>
      </c>
      <c r="K264" s="114">
        <v>6545.7</v>
      </c>
      <c r="L264" s="270">
        <v>3</v>
      </c>
      <c r="M264" s="114">
        <v>6545.7</v>
      </c>
      <c r="N264" s="114">
        <v>6545.7</v>
      </c>
      <c r="O264" s="41"/>
      <c r="P264" s="113">
        <v>4</v>
      </c>
      <c r="Q264" s="114">
        <v>30582.32</v>
      </c>
      <c r="R264" s="270">
        <v>4</v>
      </c>
      <c r="S264" s="114">
        <v>30582.32</v>
      </c>
      <c r="T264" s="114">
        <v>30582.32</v>
      </c>
      <c r="U264" s="2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429</v>
      </c>
      <c r="C265" s="374" t="s">
        <v>22</v>
      </c>
      <c r="D265" s="374"/>
      <c r="E265" s="374" t="s">
        <v>27</v>
      </c>
      <c r="F265" s="204" t="s">
        <v>446</v>
      </c>
      <c r="G265" s="176" t="s">
        <v>24</v>
      </c>
      <c r="H265" s="151"/>
      <c r="I265" s="25"/>
      <c r="J265" s="25"/>
      <c r="K265" s="26"/>
      <c r="L265" s="27"/>
      <c r="M265" s="26">
        <f t="shared" ref="M265:M291" si="22">N265+O265</f>
        <v>0</v>
      </c>
      <c r="N265" s="30"/>
      <c r="O265" s="31"/>
      <c r="P265" s="53">
        <v>1</v>
      </c>
      <c r="Q265" s="30">
        <v>36784.050000000003</v>
      </c>
      <c r="R265" s="205">
        <v>1</v>
      </c>
      <c r="S265" s="26">
        <f t="shared" ref="S265:S291" si="23">T265+U265</f>
        <v>36784.050000000003</v>
      </c>
      <c r="T265" s="30">
        <v>36784.050000000003</v>
      </c>
      <c r="U265" s="3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/>
      <c r="G266" s="229" t="s">
        <v>28</v>
      </c>
      <c r="H266" s="133"/>
      <c r="I266" s="57"/>
      <c r="J266" s="57"/>
      <c r="K266" s="43"/>
      <c r="L266" s="44"/>
      <c r="M266" s="43">
        <f t="shared" si="22"/>
        <v>0</v>
      </c>
      <c r="N266" s="43"/>
      <c r="O266" s="41"/>
      <c r="P266" s="113"/>
      <c r="Q266" s="114"/>
      <c r="R266" s="44"/>
      <c r="S266" s="43">
        <f t="shared" si="23"/>
        <v>0</v>
      </c>
      <c r="T266" s="114"/>
      <c r="U266" s="2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188</v>
      </c>
      <c r="C267" s="374" t="s">
        <v>39</v>
      </c>
      <c r="D267" s="374" t="s">
        <v>474</v>
      </c>
      <c r="E267" s="374" t="s">
        <v>27</v>
      </c>
      <c r="F267" s="358" t="s">
        <v>482</v>
      </c>
      <c r="G267" s="176" t="s">
        <v>24</v>
      </c>
      <c r="H267" s="281">
        <v>4</v>
      </c>
      <c r="I267" s="62">
        <v>2</v>
      </c>
      <c r="J267" s="62">
        <v>3</v>
      </c>
      <c r="K267" s="30">
        <v>3778.21</v>
      </c>
      <c r="L267" s="205">
        <v>1</v>
      </c>
      <c r="M267" s="26">
        <f t="shared" si="22"/>
        <v>1646.5</v>
      </c>
      <c r="N267" s="30">
        <v>1646.5</v>
      </c>
      <c r="O267" s="219"/>
      <c r="P267" s="53">
        <v>3</v>
      </c>
      <c r="Q267" s="30">
        <v>8065.3</v>
      </c>
      <c r="R267" s="205">
        <v>2</v>
      </c>
      <c r="S267" s="26">
        <f t="shared" si="23"/>
        <v>8065.3</v>
      </c>
      <c r="T267" s="30">
        <v>8065.3</v>
      </c>
      <c r="U267" s="219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20.25" customHeight="1">
      <c r="A268" s="373"/>
      <c r="B268" s="375"/>
      <c r="C268" s="375"/>
      <c r="D268" s="375"/>
      <c r="E268" s="375"/>
      <c r="F268" s="220" t="s">
        <v>344</v>
      </c>
      <c r="G268" s="229" t="s">
        <v>28</v>
      </c>
      <c r="H268" s="56">
        <v>9</v>
      </c>
      <c r="I268" s="130">
        <v>1</v>
      </c>
      <c r="J268" s="130">
        <v>1</v>
      </c>
      <c r="K268" s="114">
        <v>1052.5999999999999</v>
      </c>
      <c r="L268" s="44"/>
      <c r="M268" s="43">
        <f t="shared" si="22"/>
        <v>0</v>
      </c>
      <c r="N268" s="43"/>
      <c r="O268" s="222">
        <v>0</v>
      </c>
      <c r="P268" s="113">
        <v>18</v>
      </c>
      <c r="Q268" s="114">
        <v>28406.3</v>
      </c>
      <c r="R268" s="270">
        <v>11</v>
      </c>
      <c r="S268" s="43">
        <f t="shared" si="23"/>
        <v>24068.65</v>
      </c>
      <c r="T268" s="114">
        <f>4050.2+4802.5+4415.4+3311.55+3073.6+4415.4</f>
        <v>24068.65</v>
      </c>
      <c r="U268" s="222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189</v>
      </c>
      <c r="C269" s="374" t="s">
        <v>39</v>
      </c>
      <c r="D269" s="374" t="s">
        <v>427</v>
      </c>
      <c r="E269" s="374" t="s">
        <v>27</v>
      </c>
      <c r="F269" s="232" t="s">
        <v>428</v>
      </c>
      <c r="G269" s="23" t="s">
        <v>24</v>
      </c>
      <c r="H269" s="24">
        <v>19</v>
      </c>
      <c r="I269" s="62">
        <v>15</v>
      </c>
      <c r="J269" s="62">
        <v>19</v>
      </c>
      <c r="K269" s="30">
        <v>38520.519999999997</v>
      </c>
      <c r="L269" s="205">
        <v>18</v>
      </c>
      <c r="M269" s="26">
        <f t="shared" si="22"/>
        <v>43460.22</v>
      </c>
      <c r="N269" s="30">
        <v>38219.47</v>
      </c>
      <c r="O269" s="241">
        <v>5240.75</v>
      </c>
      <c r="P269" s="29">
        <v>3</v>
      </c>
      <c r="Q269" s="30">
        <v>23366.85</v>
      </c>
      <c r="R269" s="205">
        <v>3</v>
      </c>
      <c r="S269" s="26">
        <f t="shared" si="23"/>
        <v>23366.85</v>
      </c>
      <c r="T269" s="30">
        <v>23366.85</v>
      </c>
      <c r="U269" s="2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256</v>
      </c>
      <c r="G270" s="35" t="s">
        <v>28</v>
      </c>
      <c r="H270" s="66">
        <v>7</v>
      </c>
      <c r="I270" s="37">
        <v>4</v>
      </c>
      <c r="J270" s="37">
        <v>4</v>
      </c>
      <c r="K270" s="68">
        <v>7978.72</v>
      </c>
      <c r="L270" s="285">
        <v>2</v>
      </c>
      <c r="M270" s="39">
        <f t="shared" si="22"/>
        <v>5453.32</v>
      </c>
      <c r="N270" s="39">
        <f>1921+3532.32</f>
        <v>5453.32</v>
      </c>
      <c r="O270" s="41"/>
      <c r="P270" s="69"/>
      <c r="Q270" s="39"/>
      <c r="R270" s="40"/>
      <c r="S270" s="39">
        <f t="shared" si="23"/>
        <v>0</v>
      </c>
      <c r="T270" s="39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82"/>
      <c r="B271" s="381" t="s">
        <v>190</v>
      </c>
      <c r="C271" s="381" t="s">
        <v>39</v>
      </c>
      <c r="D271" s="381" t="s">
        <v>191</v>
      </c>
      <c r="E271" s="381" t="s">
        <v>27</v>
      </c>
      <c r="F271" s="46"/>
      <c r="G271" s="47" t="s">
        <v>24</v>
      </c>
      <c r="H271" s="98"/>
      <c r="I271" s="49"/>
      <c r="J271" s="49"/>
      <c r="K271" s="50"/>
      <c r="L271" s="51"/>
      <c r="M271" s="50">
        <f t="shared" si="22"/>
        <v>0</v>
      </c>
      <c r="N271" s="50"/>
      <c r="O271" s="31"/>
      <c r="P271" s="123"/>
      <c r="Q271" s="50"/>
      <c r="R271" s="51"/>
      <c r="S271" s="50">
        <f t="shared" si="23"/>
        <v>0</v>
      </c>
      <c r="T271" s="50"/>
      <c r="U271" s="3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345</v>
      </c>
      <c r="G272" s="35" t="s">
        <v>28</v>
      </c>
      <c r="H272" s="112">
        <v>2</v>
      </c>
      <c r="I272" s="57"/>
      <c r="J272" s="57"/>
      <c r="K272" s="43"/>
      <c r="L272" s="44"/>
      <c r="M272" s="43">
        <f t="shared" si="22"/>
        <v>0</v>
      </c>
      <c r="N272" s="43"/>
      <c r="O272" s="45"/>
      <c r="P272" s="115">
        <v>4</v>
      </c>
      <c r="Q272" s="68">
        <v>5106.7</v>
      </c>
      <c r="R272" s="285">
        <v>6</v>
      </c>
      <c r="S272" s="39">
        <f t="shared" si="23"/>
        <v>8028.28</v>
      </c>
      <c r="T272" s="68">
        <f>3818+2921.58+1288.7</f>
        <v>8028.28</v>
      </c>
      <c r="U272" s="41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192</v>
      </c>
      <c r="C273" s="374" t="s">
        <v>22</v>
      </c>
      <c r="D273" s="374"/>
      <c r="E273" s="374" t="s">
        <v>193</v>
      </c>
      <c r="F273" s="204" t="s">
        <v>318</v>
      </c>
      <c r="G273" s="176" t="s">
        <v>24</v>
      </c>
      <c r="H273" s="61">
        <v>24</v>
      </c>
      <c r="I273" s="62">
        <v>22</v>
      </c>
      <c r="J273" s="62">
        <v>27</v>
      </c>
      <c r="K273" s="30">
        <v>41646.25</v>
      </c>
      <c r="L273" s="205">
        <v>27</v>
      </c>
      <c r="M273" s="26">
        <f t="shared" si="22"/>
        <v>41646.25</v>
      </c>
      <c r="N273" s="30">
        <v>41646.25</v>
      </c>
      <c r="O273" s="100"/>
      <c r="P273" s="64">
        <v>20</v>
      </c>
      <c r="Q273" s="65">
        <v>52584.43</v>
      </c>
      <c r="R273" s="224">
        <v>20</v>
      </c>
      <c r="S273" s="50">
        <f t="shared" si="23"/>
        <v>52584.43</v>
      </c>
      <c r="T273" s="65">
        <v>52584.43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346</v>
      </c>
      <c r="G274" s="229" t="s">
        <v>28</v>
      </c>
      <c r="H274" s="133">
        <v>1</v>
      </c>
      <c r="I274" s="37">
        <v>1</v>
      </c>
      <c r="J274" s="37">
        <v>1</v>
      </c>
      <c r="K274" s="68">
        <v>1728.9</v>
      </c>
      <c r="L274" s="285">
        <v>1</v>
      </c>
      <c r="M274" s="39">
        <f t="shared" si="22"/>
        <v>1728.9</v>
      </c>
      <c r="N274" s="39">
        <f>1728.9</f>
        <v>1728.9</v>
      </c>
      <c r="O274" s="41"/>
      <c r="P274" s="42"/>
      <c r="Q274" s="43"/>
      <c r="R274" s="44"/>
      <c r="S274" s="43">
        <f t="shared" si="23"/>
        <v>0</v>
      </c>
      <c r="T274" s="43"/>
      <c r="U274" s="4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194</v>
      </c>
      <c r="C275" s="377" t="s">
        <v>39</v>
      </c>
      <c r="D275" s="377" t="s">
        <v>319</v>
      </c>
      <c r="E275" s="374" t="s">
        <v>160</v>
      </c>
      <c r="F275" s="232" t="s">
        <v>320</v>
      </c>
      <c r="G275" s="23" t="s">
        <v>24</v>
      </c>
      <c r="H275" s="48">
        <v>7</v>
      </c>
      <c r="I275" s="203">
        <v>6</v>
      </c>
      <c r="J275" s="203">
        <v>6</v>
      </c>
      <c r="K275" s="65">
        <v>6526.74</v>
      </c>
      <c r="L275" s="316">
        <v>6</v>
      </c>
      <c r="M275" s="129">
        <f t="shared" si="22"/>
        <v>6526.74</v>
      </c>
      <c r="N275" s="65">
        <v>6526.74</v>
      </c>
      <c r="O275" s="225"/>
      <c r="P275" s="29">
        <v>3</v>
      </c>
      <c r="Q275" s="30">
        <v>6107.21</v>
      </c>
      <c r="R275" s="205">
        <v>3</v>
      </c>
      <c r="S275" s="26">
        <f t="shared" si="23"/>
        <v>6107.21</v>
      </c>
      <c r="T275" s="30">
        <v>6107.21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347</v>
      </c>
      <c r="G276" s="35" t="s">
        <v>28</v>
      </c>
      <c r="H276" s="117">
        <v>6</v>
      </c>
      <c r="I276" s="37">
        <v>1</v>
      </c>
      <c r="J276" s="37">
        <v>1</v>
      </c>
      <c r="K276" s="68">
        <v>602.1</v>
      </c>
      <c r="L276" s="44"/>
      <c r="M276" s="43">
        <f t="shared" si="22"/>
        <v>0</v>
      </c>
      <c r="N276" s="39"/>
      <c r="O276" s="41"/>
      <c r="P276" s="37">
        <v>8</v>
      </c>
      <c r="Q276" s="37">
        <v>21038.49</v>
      </c>
      <c r="R276" s="285">
        <v>8</v>
      </c>
      <c r="S276" s="39">
        <f t="shared" si="23"/>
        <v>16625.88</v>
      </c>
      <c r="T276" s="68">
        <f>576.3+4045.34+3273.6+633.93+602.1+2709.45+4454+331.16</f>
        <v>16625.88</v>
      </c>
      <c r="U276" s="2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195</v>
      </c>
      <c r="C277" s="377" t="s">
        <v>39</v>
      </c>
      <c r="D277" s="377" t="s">
        <v>231</v>
      </c>
      <c r="E277" s="381" t="s">
        <v>27</v>
      </c>
      <c r="F277" s="204" t="s">
        <v>232</v>
      </c>
      <c r="G277" s="47" t="s">
        <v>24</v>
      </c>
      <c r="H277" s="61">
        <v>4</v>
      </c>
      <c r="I277" s="62">
        <v>1</v>
      </c>
      <c r="J277" s="62">
        <v>1</v>
      </c>
      <c r="K277" s="30">
        <v>2185.62</v>
      </c>
      <c r="L277" s="205">
        <v>1</v>
      </c>
      <c r="M277" s="26">
        <f t="shared" si="22"/>
        <v>2185.62</v>
      </c>
      <c r="N277" s="30">
        <v>2185.62</v>
      </c>
      <c r="O277" s="31"/>
      <c r="P277" s="64">
        <v>7</v>
      </c>
      <c r="Q277" s="65">
        <v>46859.35</v>
      </c>
      <c r="R277" s="224">
        <v>7</v>
      </c>
      <c r="S277" s="50">
        <f t="shared" si="23"/>
        <v>46859.35</v>
      </c>
      <c r="T277" s="65">
        <v>46859.35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1" t="s">
        <v>260</v>
      </c>
      <c r="G278" s="55" t="s">
        <v>28</v>
      </c>
      <c r="H278" s="178">
        <v>11</v>
      </c>
      <c r="I278" s="130">
        <v>5</v>
      </c>
      <c r="J278" s="130">
        <v>5</v>
      </c>
      <c r="K278" s="114">
        <v>14911.98</v>
      </c>
      <c r="L278" s="270">
        <v>3</v>
      </c>
      <c r="M278" s="43">
        <f t="shared" si="22"/>
        <v>8620.94</v>
      </c>
      <c r="N278" s="43">
        <f>1152.6+845.24+6623.1</f>
        <v>8620.94</v>
      </c>
      <c r="O278" s="222"/>
      <c r="P278" s="130">
        <v>9</v>
      </c>
      <c r="Q278" s="130">
        <v>29523.25</v>
      </c>
      <c r="R278" s="270">
        <v>12</v>
      </c>
      <c r="S278" s="43">
        <f t="shared" si="23"/>
        <v>39586.9</v>
      </c>
      <c r="T278" s="114">
        <f>4994.6+12678.6+576.3+6915.6+6915.6+576.3+2113.1+2809.8+2007</f>
        <v>39586.9</v>
      </c>
      <c r="U278" s="222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196</v>
      </c>
      <c r="C279" s="381" t="s">
        <v>22</v>
      </c>
      <c r="D279" s="374"/>
      <c r="E279" s="381" t="s">
        <v>27</v>
      </c>
      <c r="F279" s="22"/>
      <c r="G279" s="23" t="s">
        <v>24</v>
      </c>
      <c r="H279" s="119"/>
      <c r="I279" s="25"/>
      <c r="J279" s="25"/>
      <c r="K279" s="26"/>
      <c r="L279" s="27"/>
      <c r="M279" s="26">
        <f t="shared" si="22"/>
        <v>0</v>
      </c>
      <c r="N279" s="26"/>
      <c r="O279" s="28"/>
      <c r="P279" s="120"/>
      <c r="Q279" s="26"/>
      <c r="R279" s="27"/>
      <c r="S279" s="26">
        <f t="shared" si="23"/>
        <v>0</v>
      </c>
      <c r="T279" s="26"/>
      <c r="U279" s="28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348</v>
      </c>
      <c r="G280" s="35" t="s">
        <v>28</v>
      </c>
      <c r="H280" s="66">
        <v>12</v>
      </c>
      <c r="I280" s="37">
        <v>6</v>
      </c>
      <c r="J280" s="37">
        <v>6</v>
      </c>
      <c r="K280" s="68">
        <v>13045.5</v>
      </c>
      <c r="L280" s="285">
        <v>5</v>
      </c>
      <c r="M280" s="39">
        <f t="shared" si="22"/>
        <v>12042</v>
      </c>
      <c r="N280" s="39">
        <f>1806.3+3211.2+2007+1806.3+3211.2</f>
        <v>12042</v>
      </c>
      <c r="O280" s="41"/>
      <c r="P280" s="67">
        <v>4</v>
      </c>
      <c r="Q280" s="68">
        <v>11282.42</v>
      </c>
      <c r="R280" s="285">
        <v>4</v>
      </c>
      <c r="S280" s="39">
        <f t="shared" si="23"/>
        <v>11576</v>
      </c>
      <c r="T280" s="39">
        <f>2547.3+4226.2+2881.5+1921</f>
        <v>11576</v>
      </c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197</v>
      </c>
      <c r="C281" s="381" t="s">
        <v>39</v>
      </c>
      <c r="D281" s="381" t="s">
        <v>381</v>
      </c>
      <c r="E281" s="381" t="s">
        <v>27</v>
      </c>
      <c r="F281" s="204" t="s">
        <v>382</v>
      </c>
      <c r="G281" s="47" t="s">
        <v>24</v>
      </c>
      <c r="H281" s="151">
        <v>1</v>
      </c>
      <c r="I281" s="49"/>
      <c r="J281" s="49"/>
      <c r="K281" s="50"/>
      <c r="L281" s="51"/>
      <c r="M281" s="50">
        <f t="shared" si="22"/>
        <v>0</v>
      </c>
      <c r="N281" s="50"/>
      <c r="O281" s="31"/>
      <c r="P281" s="108">
        <v>1</v>
      </c>
      <c r="Q281" s="65">
        <v>748.24</v>
      </c>
      <c r="R281" s="224">
        <v>1</v>
      </c>
      <c r="S281" s="50">
        <f t="shared" si="23"/>
        <v>748.24</v>
      </c>
      <c r="T281" s="65">
        <v>748.24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221" t="s">
        <v>349</v>
      </c>
      <c r="G282" s="55" t="s">
        <v>28</v>
      </c>
      <c r="H282" s="153">
        <v>7</v>
      </c>
      <c r="I282" s="130">
        <v>4</v>
      </c>
      <c r="J282" s="130">
        <v>4</v>
      </c>
      <c r="K282" s="114">
        <v>6506.1</v>
      </c>
      <c r="L282" s="270">
        <v>4</v>
      </c>
      <c r="M282" s="43">
        <f t="shared" si="22"/>
        <v>6389.4500000000007</v>
      </c>
      <c r="N282" s="43">
        <f>1056.55+1921+1404.9+2007</f>
        <v>6389.4500000000007</v>
      </c>
      <c r="O282" s="41"/>
      <c r="P282" s="103"/>
      <c r="Q282" s="43"/>
      <c r="R282" s="270">
        <v>2</v>
      </c>
      <c r="S282" s="43">
        <f t="shared" si="23"/>
        <v>3765.16</v>
      </c>
      <c r="T282" s="114">
        <f>1440.75+2324.41</f>
        <v>3765.16</v>
      </c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198</v>
      </c>
      <c r="C283" s="374" t="s">
        <v>39</v>
      </c>
      <c r="D283" s="374" t="s">
        <v>469</v>
      </c>
      <c r="E283" s="374" t="s">
        <v>112</v>
      </c>
      <c r="F283" s="204" t="s">
        <v>470</v>
      </c>
      <c r="G283" s="23" t="s">
        <v>24</v>
      </c>
      <c r="H283" s="48">
        <v>15</v>
      </c>
      <c r="I283" s="62">
        <v>10</v>
      </c>
      <c r="J283" s="62">
        <v>12</v>
      </c>
      <c r="K283" s="30">
        <v>14515.85</v>
      </c>
      <c r="L283" s="205">
        <v>12</v>
      </c>
      <c r="M283" s="26">
        <f t="shared" si="22"/>
        <v>14515.85</v>
      </c>
      <c r="N283" s="30">
        <v>14515.85</v>
      </c>
      <c r="O283" s="31"/>
      <c r="P283" s="53">
        <v>15</v>
      </c>
      <c r="Q283" s="30">
        <v>53553.03</v>
      </c>
      <c r="R283" s="205">
        <v>15</v>
      </c>
      <c r="S283" s="26">
        <f t="shared" si="23"/>
        <v>53553.03</v>
      </c>
      <c r="T283" s="30">
        <v>53553.03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20" t="s">
        <v>350</v>
      </c>
      <c r="G284" s="35" t="s">
        <v>28</v>
      </c>
      <c r="H284" s="153">
        <v>4</v>
      </c>
      <c r="I284" s="37">
        <v>3</v>
      </c>
      <c r="J284" s="37">
        <v>3</v>
      </c>
      <c r="K284" s="68">
        <v>2557.3200000000002</v>
      </c>
      <c r="L284" s="285">
        <v>2</v>
      </c>
      <c r="M284" s="39">
        <f t="shared" si="22"/>
        <v>1926.7199999999998</v>
      </c>
      <c r="N284" s="360">
        <f>602.1+1324.62</f>
        <v>1926.7199999999998</v>
      </c>
      <c r="O284" s="41"/>
      <c r="P284" s="59"/>
      <c r="Q284" s="39"/>
      <c r="R284" s="40"/>
      <c r="S284" s="39">
        <f t="shared" si="23"/>
        <v>0</v>
      </c>
      <c r="T284" s="39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82"/>
      <c r="B285" s="381" t="s">
        <v>199</v>
      </c>
      <c r="C285" s="381" t="s">
        <v>22</v>
      </c>
      <c r="D285" s="381"/>
      <c r="E285" s="381" t="s">
        <v>131</v>
      </c>
      <c r="F285" s="46"/>
      <c r="G285" s="23" t="s">
        <v>24</v>
      </c>
      <c r="H285" s="98"/>
      <c r="I285" s="49"/>
      <c r="J285" s="49"/>
      <c r="K285" s="50"/>
      <c r="L285" s="51"/>
      <c r="M285" s="50">
        <f t="shared" si="22"/>
        <v>0</v>
      </c>
      <c r="N285" s="50"/>
      <c r="O285" s="31"/>
      <c r="P285" s="123"/>
      <c r="Q285" s="50"/>
      <c r="R285" s="51"/>
      <c r="S285" s="50">
        <f t="shared" si="23"/>
        <v>0</v>
      </c>
      <c r="T285" s="50"/>
      <c r="U285" s="3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9"/>
      <c r="B286" s="380"/>
      <c r="C286" s="380"/>
      <c r="D286" s="380"/>
      <c r="E286" s="380"/>
      <c r="F286" s="126"/>
      <c r="G286" s="55" t="s">
        <v>25</v>
      </c>
      <c r="H286" s="118"/>
      <c r="I286" s="57"/>
      <c r="J286" s="57"/>
      <c r="K286" s="43"/>
      <c r="L286" s="44"/>
      <c r="M286" s="43">
        <f t="shared" si="22"/>
        <v>0</v>
      </c>
      <c r="N286" s="43"/>
      <c r="O286" s="41"/>
      <c r="P286" s="103"/>
      <c r="Q286" s="43"/>
      <c r="R286" s="44"/>
      <c r="S286" s="43">
        <f t="shared" si="23"/>
        <v>0</v>
      </c>
      <c r="T286" s="43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2"/>
      <c r="B287" s="374" t="s">
        <v>200</v>
      </c>
      <c r="C287" s="374" t="s">
        <v>39</v>
      </c>
      <c r="D287" s="374" t="s">
        <v>456</v>
      </c>
      <c r="E287" s="374" t="s">
        <v>27</v>
      </c>
      <c r="F287" s="204" t="s">
        <v>457</v>
      </c>
      <c r="G287" s="23" t="s">
        <v>24</v>
      </c>
      <c r="H287" s="61">
        <v>8</v>
      </c>
      <c r="I287" s="62">
        <v>6</v>
      </c>
      <c r="J287" s="62">
        <v>7</v>
      </c>
      <c r="K287" s="30">
        <v>9746.11</v>
      </c>
      <c r="L287" s="205">
        <v>6</v>
      </c>
      <c r="M287" s="26">
        <f t="shared" si="22"/>
        <v>9017.57</v>
      </c>
      <c r="N287" s="30">
        <v>9017.57</v>
      </c>
      <c r="O287" s="31"/>
      <c r="P287" s="29">
        <v>7</v>
      </c>
      <c r="Q287" s="30">
        <v>28873.11</v>
      </c>
      <c r="R287" s="205">
        <v>7</v>
      </c>
      <c r="S287" s="26">
        <f t="shared" si="23"/>
        <v>28873.11</v>
      </c>
      <c r="T287" s="30">
        <v>28873.11</v>
      </c>
      <c r="U287" s="22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33" t="s">
        <v>466</v>
      </c>
      <c r="G288" s="227" t="s">
        <v>28</v>
      </c>
      <c r="H288" s="207">
        <v>5</v>
      </c>
      <c r="I288" s="208">
        <v>4</v>
      </c>
      <c r="J288" s="208">
        <v>4</v>
      </c>
      <c r="K288" s="209">
        <v>5170.8999999999996</v>
      </c>
      <c r="L288" s="290">
        <v>4</v>
      </c>
      <c r="M288" s="211">
        <f t="shared" si="22"/>
        <v>5170.9000000000005</v>
      </c>
      <c r="N288" s="211">
        <f>1056.55+2308.05+1204.2+602.1</f>
        <v>5170.9000000000005</v>
      </c>
      <c r="O288" s="212"/>
      <c r="P288" s="284"/>
      <c r="Q288" s="211"/>
      <c r="R288" s="290">
        <v>1</v>
      </c>
      <c r="S288" s="211">
        <f t="shared" si="23"/>
        <v>1921</v>
      </c>
      <c r="T288" s="209">
        <v>1921</v>
      </c>
      <c r="U288" s="212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2"/>
      <c r="B289" s="374" t="s">
        <v>430</v>
      </c>
      <c r="C289" s="374" t="s">
        <v>39</v>
      </c>
      <c r="D289" s="374" t="s">
        <v>439</v>
      </c>
      <c r="E289" s="374" t="s">
        <v>27</v>
      </c>
      <c r="F289" s="204" t="s">
        <v>440</v>
      </c>
      <c r="G289" s="213" t="s">
        <v>24</v>
      </c>
      <c r="H289" s="61">
        <v>4</v>
      </c>
      <c r="I289" s="62"/>
      <c r="J289" s="62"/>
      <c r="K289" s="30"/>
      <c r="L289" s="27"/>
      <c r="M289" s="26">
        <f t="shared" si="22"/>
        <v>0</v>
      </c>
      <c r="N289" s="26"/>
      <c r="O289" s="241"/>
      <c r="P289" s="214"/>
      <c r="Q289" s="30"/>
      <c r="R289" s="205"/>
      <c r="S289" s="26">
        <f t="shared" si="23"/>
        <v>0</v>
      </c>
      <c r="T289" s="30"/>
      <c r="U289" s="28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0"/>
      <c r="G290" s="215" t="s">
        <v>28</v>
      </c>
      <c r="H290" s="117"/>
      <c r="I290" s="37"/>
      <c r="J290" s="37"/>
      <c r="K290" s="68"/>
      <c r="L290" s="40"/>
      <c r="M290" s="39">
        <f t="shared" si="22"/>
        <v>0</v>
      </c>
      <c r="N290" s="39"/>
      <c r="O290" s="234"/>
      <c r="P290" s="217"/>
      <c r="Q290" s="68"/>
      <c r="R290" s="285"/>
      <c r="S290" s="39">
        <f t="shared" si="23"/>
        <v>0</v>
      </c>
      <c r="T290" s="68"/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6"/>
      <c r="B291" s="377" t="s">
        <v>201</v>
      </c>
      <c r="C291" s="377" t="s">
        <v>39</v>
      </c>
      <c r="D291" s="377" t="s">
        <v>385</v>
      </c>
      <c r="E291" s="377" t="s">
        <v>386</v>
      </c>
      <c r="F291" s="232" t="s">
        <v>387</v>
      </c>
      <c r="G291" s="95" t="s">
        <v>24</v>
      </c>
      <c r="H291" s="265">
        <v>23</v>
      </c>
      <c r="I291" s="266">
        <v>20</v>
      </c>
      <c r="J291" s="266">
        <v>31</v>
      </c>
      <c r="K291" s="79">
        <v>46679.24</v>
      </c>
      <c r="L291" s="268">
        <v>31</v>
      </c>
      <c r="M291" s="81">
        <f t="shared" si="22"/>
        <v>46679.24</v>
      </c>
      <c r="N291" s="79">
        <v>46679.24</v>
      </c>
      <c r="O291" s="313"/>
      <c r="P291" s="267">
        <v>2</v>
      </c>
      <c r="Q291" s="79">
        <v>4356.83</v>
      </c>
      <c r="R291" s="268">
        <v>2</v>
      </c>
      <c r="S291" s="81">
        <f t="shared" si="23"/>
        <v>4356.83</v>
      </c>
      <c r="T291" s="79">
        <v>4356.83</v>
      </c>
      <c r="U291" s="82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220" t="s">
        <v>498</v>
      </c>
      <c r="G292" s="35" t="s">
        <v>25</v>
      </c>
      <c r="H292" s="117">
        <v>1</v>
      </c>
      <c r="I292" s="37">
        <v>1</v>
      </c>
      <c r="J292" s="37">
        <v>1</v>
      </c>
      <c r="K292" s="68">
        <v>551.92999999999995</v>
      </c>
      <c r="L292" s="285">
        <v>1</v>
      </c>
      <c r="M292" s="68">
        <v>551.92999999999995</v>
      </c>
      <c r="N292" s="68">
        <v>551.92999999999995</v>
      </c>
      <c r="O292" s="58"/>
      <c r="P292" s="115">
        <v>2</v>
      </c>
      <c r="Q292" s="68">
        <v>4418.3</v>
      </c>
      <c r="R292" s="285">
        <v>2</v>
      </c>
      <c r="S292" s="68">
        <v>4418.3</v>
      </c>
      <c r="T292" s="68">
        <v>4418.3</v>
      </c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202</v>
      </c>
      <c r="C293" s="381" t="s">
        <v>39</v>
      </c>
      <c r="D293" s="377" t="s">
        <v>441</v>
      </c>
      <c r="E293" s="381" t="s">
        <v>27</v>
      </c>
      <c r="F293" s="204" t="s">
        <v>442</v>
      </c>
      <c r="G293" s="47" t="s">
        <v>24</v>
      </c>
      <c r="H293" s="48">
        <v>5</v>
      </c>
      <c r="I293" s="203">
        <v>2</v>
      </c>
      <c r="J293" s="203">
        <v>2</v>
      </c>
      <c r="K293" s="65">
        <v>2382.04</v>
      </c>
      <c r="L293" s="224">
        <v>2</v>
      </c>
      <c r="M293" s="50">
        <f t="shared" ref="M293:M298" si="24">N293+O293</f>
        <v>2382.04</v>
      </c>
      <c r="N293" s="65">
        <v>2382.04</v>
      </c>
      <c r="O293" s="31"/>
      <c r="P293" s="108">
        <v>2</v>
      </c>
      <c r="Q293" s="65">
        <v>4082.51</v>
      </c>
      <c r="R293" s="224">
        <v>2</v>
      </c>
      <c r="S293" s="50">
        <f t="shared" ref="S293:S297" si="25">T293+U293</f>
        <v>4082.51</v>
      </c>
      <c r="T293" s="65">
        <v>4082.51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1" t="s">
        <v>262</v>
      </c>
      <c r="G294" s="55" t="s">
        <v>28</v>
      </c>
      <c r="H294" s="112">
        <v>6</v>
      </c>
      <c r="I294" s="130">
        <v>1</v>
      </c>
      <c r="J294" s="130">
        <v>1</v>
      </c>
      <c r="K294" s="114">
        <v>1479.17</v>
      </c>
      <c r="L294" s="316">
        <v>1</v>
      </c>
      <c r="M294" s="129">
        <f t="shared" si="24"/>
        <v>1479.17</v>
      </c>
      <c r="N294" s="43">
        <f>1479.17</f>
        <v>1479.17</v>
      </c>
      <c r="O294" s="45"/>
      <c r="P294" s="113">
        <v>4</v>
      </c>
      <c r="Q294" s="114">
        <v>17905.400000000001</v>
      </c>
      <c r="R294" s="316">
        <v>5</v>
      </c>
      <c r="S294" s="129">
        <f t="shared" si="25"/>
        <v>21555.3</v>
      </c>
      <c r="T294" s="114">
        <f>3649.9+1344.7+7107.7+4034.1+5418.9</f>
        <v>21555.3</v>
      </c>
      <c r="U294" s="45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372"/>
      <c r="B295" s="374" t="s">
        <v>203</v>
      </c>
      <c r="C295" s="377" t="s">
        <v>46</v>
      </c>
      <c r="D295" s="377" t="s">
        <v>459</v>
      </c>
      <c r="E295" s="374" t="s">
        <v>27</v>
      </c>
      <c r="F295" s="204" t="s">
        <v>475</v>
      </c>
      <c r="G295" s="23" t="s">
        <v>24</v>
      </c>
      <c r="H295" s="61">
        <v>3</v>
      </c>
      <c r="I295" s="62">
        <v>1</v>
      </c>
      <c r="J295" s="62">
        <v>2</v>
      </c>
      <c r="K295" s="30">
        <v>2954.31</v>
      </c>
      <c r="L295" s="205">
        <v>2</v>
      </c>
      <c r="M295" s="26">
        <f t="shared" si="24"/>
        <v>2954.31</v>
      </c>
      <c r="N295" s="30">
        <v>2954.31</v>
      </c>
      <c r="O295" s="28"/>
      <c r="P295" s="29">
        <v>6</v>
      </c>
      <c r="Q295" s="30">
        <v>3137.95</v>
      </c>
      <c r="R295" s="205">
        <v>1</v>
      </c>
      <c r="S295" s="26">
        <f t="shared" si="25"/>
        <v>3137.95</v>
      </c>
      <c r="T295" s="30">
        <v>3137.95</v>
      </c>
      <c r="U295" s="28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373"/>
      <c r="B296" s="375"/>
      <c r="C296" s="375"/>
      <c r="D296" s="375"/>
      <c r="E296" s="375"/>
      <c r="F296" s="34"/>
      <c r="G296" s="35" t="s">
        <v>28</v>
      </c>
      <c r="H296" s="117"/>
      <c r="I296" s="38"/>
      <c r="J296" s="38"/>
      <c r="K296" s="39"/>
      <c r="L296" s="40"/>
      <c r="M296" s="39">
        <f t="shared" si="24"/>
        <v>0</v>
      </c>
      <c r="N296" s="39"/>
      <c r="O296" s="41"/>
      <c r="P296" s="69"/>
      <c r="Q296" s="39"/>
      <c r="R296" s="40"/>
      <c r="S296" s="39">
        <f t="shared" si="25"/>
        <v>0</v>
      </c>
      <c r="T296" s="39"/>
      <c r="U296" s="41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382"/>
      <c r="B297" s="381" t="s">
        <v>204</v>
      </c>
      <c r="C297" s="377" t="s">
        <v>22</v>
      </c>
      <c r="D297" s="377"/>
      <c r="E297" s="381" t="s">
        <v>23</v>
      </c>
      <c r="F297" s="204" t="s">
        <v>431</v>
      </c>
      <c r="G297" s="47" t="s">
        <v>24</v>
      </c>
      <c r="H297" s="48">
        <v>12</v>
      </c>
      <c r="I297" s="203">
        <v>10</v>
      </c>
      <c r="J297" s="203">
        <v>13</v>
      </c>
      <c r="K297" s="65">
        <v>17554.009999999998</v>
      </c>
      <c r="L297" s="224">
        <v>13</v>
      </c>
      <c r="M297" s="50">
        <f t="shared" si="24"/>
        <v>17554.009999999998</v>
      </c>
      <c r="N297" s="65">
        <v>17554.009999999998</v>
      </c>
      <c r="O297" s="225"/>
      <c r="P297" s="108">
        <v>4</v>
      </c>
      <c r="Q297" s="65">
        <v>3363.11</v>
      </c>
      <c r="R297" s="224">
        <v>4</v>
      </c>
      <c r="S297" s="50">
        <f t="shared" si="25"/>
        <v>3363.11</v>
      </c>
      <c r="T297" s="65">
        <v>3363.11</v>
      </c>
      <c r="U297" s="225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373"/>
      <c r="B298" s="375"/>
      <c r="C298" s="375"/>
      <c r="D298" s="375"/>
      <c r="E298" s="375"/>
      <c r="F298" s="220" t="s">
        <v>499</v>
      </c>
      <c r="G298" s="35" t="s">
        <v>25</v>
      </c>
      <c r="H298" s="111"/>
      <c r="I298" s="38"/>
      <c r="J298" s="38"/>
      <c r="K298" s="39"/>
      <c r="L298" s="40"/>
      <c r="M298" s="39">
        <f t="shared" si="24"/>
        <v>0</v>
      </c>
      <c r="N298" s="39"/>
      <c r="O298" s="41"/>
      <c r="P298" s="115">
        <v>2</v>
      </c>
      <c r="Q298" s="68">
        <v>2305.1999999999998</v>
      </c>
      <c r="R298" s="285">
        <v>1</v>
      </c>
      <c r="S298" s="68">
        <v>2305.1999999999998</v>
      </c>
      <c r="T298" s="68">
        <v>2305.1999999999998</v>
      </c>
      <c r="U298" s="41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179"/>
      <c r="B299" s="180" t="s">
        <v>205</v>
      </c>
      <c r="C299" s="180"/>
      <c r="D299" s="180"/>
      <c r="E299" s="180"/>
      <c r="F299" s="180"/>
      <c r="G299" s="181"/>
      <c r="H299" s="182">
        <f t="shared" ref="H299:U299" si="26">SUM(H9:H298)</f>
        <v>2296</v>
      </c>
      <c r="I299" s="183">
        <f t="shared" si="26"/>
        <v>1481</v>
      </c>
      <c r="J299" s="183">
        <f t="shared" si="26"/>
        <v>1878</v>
      </c>
      <c r="K299" s="184">
        <f t="shared" si="26"/>
        <v>3554547.6900000013</v>
      </c>
      <c r="L299" s="185">
        <f t="shared" si="26"/>
        <v>1753</v>
      </c>
      <c r="M299" s="184">
        <f t="shared" si="26"/>
        <v>3370902.7800000003</v>
      </c>
      <c r="N299" s="184">
        <f t="shared" si="26"/>
        <v>3316085.1300000004</v>
      </c>
      <c r="O299" s="186">
        <f t="shared" si="26"/>
        <v>56021.85</v>
      </c>
      <c r="P299" s="187">
        <f t="shared" si="26"/>
        <v>1468</v>
      </c>
      <c r="Q299" s="188">
        <f t="shared" si="26"/>
        <v>5332048.830000001</v>
      </c>
      <c r="R299" s="185">
        <f t="shared" si="26"/>
        <v>1407</v>
      </c>
      <c r="S299" s="188">
        <f t="shared" si="26"/>
        <v>5249560.5100000007</v>
      </c>
      <c r="T299" s="188">
        <f t="shared" si="26"/>
        <v>5249560.5100000007</v>
      </c>
      <c r="U299" s="189">
        <f t="shared" si="26"/>
        <v>0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I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 t="s">
        <v>206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27.75" customHeight="1">
      <c r="A303" s="4"/>
      <c r="B303" s="4"/>
      <c r="C303" s="4"/>
      <c r="D303" s="4"/>
      <c r="E303" s="4"/>
      <c r="F303" s="394"/>
      <c r="G303" s="395" t="s">
        <v>5</v>
      </c>
      <c r="H303" s="396"/>
      <c r="I303" s="396"/>
      <c r="J303" s="396"/>
      <c r="K303" s="396"/>
      <c r="L303" s="396"/>
      <c r="M303" s="396"/>
      <c r="N303" s="397"/>
      <c r="O303" s="395" t="s">
        <v>6</v>
      </c>
      <c r="P303" s="396"/>
      <c r="Q303" s="396"/>
      <c r="R303" s="396"/>
      <c r="S303" s="396"/>
      <c r="T303" s="397"/>
      <c r="U303" s="393" t="s">
        <v>207</v>
      </c>
      <c r="V303" s="393" t="s">
        <v>208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386"/>
      <c r="G304" s="190" t="s">
        <v>13</v>
      </c>
      <c r="H304" s="190" t="s">
        <v>14</v>
      </c>
      <c r="I304" s="190" t="s">
        <v>15</v>
      </c>
      <c r="J304" s="190" t="s">
        <v>16</v>
      </c>
      <c r="K304" s="191" t="s">
        <v>17</v>
      </c>
      <c r="L304" s="190" t="s">
        <v>18</v>
      </c>
      <c r="M304" s="190" t="s">
        <v>19</v>
      </c>
      <c r="N304" s="190" t="s">
        <v>20</v>
      </c>
      <c r="O304" s="190" t="s">
        <v>15</v>
      </c>
      <c r="P304" s="190" t="s">
        <v>16</v>
      </c>
      <c r="Q304" s="191" t="s">
        <v>17</v>
      </c>
      <c r="R304" s="190" t="s">
        <v>18</v>
      </c>
      <c r="S304" s="190" t="s">
        <v>19</v>
      </c>
      <c r="T304" s="190" t="s">
        <v>20</v>
      </c>
      <c r="U304" s="392"/>
      <c r="V304" s="392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192" t="s">
        <v>24</v>
      </c>
      <c r="G305" s="193">
        <f t="shared" ref="G305:I305" si="27">SUMIF($G$9:$G$298,$F$305,H9:H298)</f>
        <v>1664</v>
      </c>
      <c r="H305" s="193">
        <f t="shared" si="27"/>
        <v>1200</v>
      </c>
      <c r="I305" s="193">
        <f t="shared" si="27"/>
        <v>1596</v>
      </c>
      <c r="J305" s="194">
        <f t="shared" ref="J305:J307" si="28">SUMIF($G$9:$G$298,F305,$K$9:$K$298)</f>
        <v>2985579.3299999996</v>
      </c>
      <c r="K305" s="195">
        <f t="shared" ref="K305:K307" si="29">SUMIF($G$9:$G$298,F305,$L$9:$L$298)</f>
        <v>1526</v>
      </c>
      <c r="L305" s="194">
        <f t="shared" ref="L305:L307" si="30">SUMIF($G$9:$G$298,F305,$M$9:$M$298)</f>
        <v>2918136.7400000007</v>
      </c>
      <c r="M305" s="194">
        <f t="shared" ref="M305:O305" si="31">SUMIF($G$9:$G$298,$F$305,N9:N298)</f>
        <v>2862114.8900000006</v>
      </c>
      <c r="N305" s="194">
        <f t="shared" si="31"/>
        <v>56021.85</v>
      </c>
      <c r="O305" s="193">
        <f t="shared" si="31"/>
        <v>1160</v>
      </c>
      <c r="P305" s="194">
        <f t="shared" ref="P305:P307" si="32">SUMIF($G$9:$G$298,F305,$Q$9:$Q$298)</f>
        <v>4263796.5500000007</v>
      </c>
      <c r="Q305" s="195">
        <f t="shared" ref="Q305:Q307" si="33">SUMIF($G$9:$G$298,F305,$R$9:$R$298)</f>
        <v>1105</v>
      </c>
      <c r="R305" s="194">
        <f t="shared" ref="R305:R307" si="34">SUMIF($G$9:$G$298,F305,$S$9:$S$298)</f>
        <v>4237470.4400000004</v>
      </c>
      <c r="S305" s="194">
        <f t="shared" ref="S305:T305" si="35">SUMIF($G$9:$G$298,$F$305,T9:T298)</f>
        <v>4237470.4400000004</v>
      </c>
      <c r="T305" s="194">
        <f t="shared" si="35"/>
        <v>0</v>
      </c>
      <c r="U305" s="194">
        <f t="shared" ref="U305:U307" si="36">S305+M305</f>
        <v>7099585.330000001</v>
      </c>
      <c r="V305" s="196">
        <f t="shared" ref="V305:V307" si="37">J305-M305+P305-S305</f>
        <v>149790.54999999981</v>
      </c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192" t="s">
        <v>28</v>
      </c>
      <c r="G306" s="236">
        <f t="shared" ref="G306:I306" si="38">SUMIF($G$9:$G$298,$F$306,H9:H298)</f>
        <v>523</v>
      </c>
      <c r="H306" s="193">
        <f t="shared" si="38"/>
        <v>232</v>
      </c>
      <c r="I306" s="193">
        <f t="shared" si="38"/>
        <v>233</v>
      </c>
      <c r="J306" s="194">
        <f t="shared" si="28"/>
        <v>477655.16999999981</v>
      </c>
      <c r="K306" s="195">
        <f t="shared" si="29"/>
        <v>178</v>
      </c>
      <c r="L306" s="194">
        <f t="shared" si="30"/>
        <v>361452.85000000003</v>
      </c>
      <c r="M306" s="194">
        <f t="shared" ref="M306:O306" si="39">SUMIF($G$9:$G$298,$F$306,N9:N298)</f>
        <v>362657.05000000005</v>
      </c>
      <c r="N306" s="194">
        <f t="shared" si="39"/>
        <v>0</v>
      </c>
      <c r="O306" s="193">
        <f t="shared" si="39"/>
        <v>240</v>
      </c>
      <c r="P306" s="194">
        <f t="shared" si="32"/>
        <v>803030.62999999977</v>
      </c>
      <c r="Q306" s="195">
        <f t="shared" si="33"/>
        <v>236</v>
      </c>
      <c r="R306" s="194">
        <f t="shared" si="34"/>
        <v>746868.42000000039</v>
      </c>
      <c r="S306" s="194">
        <f t="shared" ref="S306:T306" si="40">SUMIF($G$9:$G$298,$F$306,T9:T298)</f>
        <v>746868.42000000039</v>
      </c>
      <c r="T306" s="194">
        <f t="shared" si="40"/>
        <v>0</v>
      </c>
      <c r="U306" s="194">
        <f t="shared" si="36"/>
        <v>1109525.4700000004</v>
      </c>
      <c r="V306" s="196">
        <f t="shared" si="37"/>
        <v>171160.32999999914</v>
      </c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192" t="s">
        <v>25</v>
      </c>
      <c r="G307" s="193">
        <f t="shared" ref="G307:I307" si="41">SUMIF($G$9:$G$298,$F$307,H9:H298)</f>
        <v>109</v>
      </c>
      <c r="H307" s="193">
        <f t="shared" si="41"/>
        <v>49</v>
      </c>
      <c r="I307" s="193">
        <f t="shared" si="41"/>
        <v>49</v>
      </c>
      <c r="J307" s="194">
        <f t="shared" si="28"/>
        <v>91313.189999999988</v>
      </c>
      <c r="K307" s="195">
        <f t="shared" si="29"/>
        <v>49</v>
      </c>
      <c r="L307" s="194">
        <f t="shared" si="30"/>
        <v>91313.189999999988</v>
      </c>
      <c r="M307" s="194">
        <f t="shared" ref="M307:O307" si="42">SUMIF($G$9:$G$298,$F$307,N9:N298)</f>
        <v>91313.189999999988</v>
      </c>
      <c r="N307" s="194">
        <f t="shared" si="42"/>
        <v>0</v>
      </c>
      <c r="O307" s="193">
        <f t="shared" si="42"/>
        <v>68</v>
      </c>
      <c r="P307" s="194">
        <f t="shared" si="32"/>
        <v>265221.65000000002</v>
      </c>
      <c r="Q307" s="195">
        <f t="shared" si="33"/>
        <v>66</v>
      </c>
      <c r="R307" s="194">
        <f t="shared" si="34"/>
        <v>265221.65000000002</v>
      </c>
      <c r="S307" s="194">
        <f t="shared" ref="S307:T307" si="43">SUMIF($G$9:$G$298,$F$307,T9:T298)</f>
        <v>265221.65000000002</v>
      </c>
      <c r="T307" s="194">
        <f t="shared" si="43"/>
        <v>0</v>
      </c>
      <c r="U307" s="194">
        <f t="shared" si="36"/>
        <v>356534.84</v>
      </c>
      <c r="V307" s="196">
        <f t="shared" si="37"/>
        <v>0</v>
      </c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197">
        <f t="shared" ref="G308:V308" si="44">G307+G306+G305</f>
        <v>2296</v>
      </c>
      <c r="H308" s="197">
        <f t="shared" si="44"/>
        <v>1481</v>
      </c>
      <c r="I308" s="197">
        <f t="shared" si="44"/>
        <v>1878</v>
      </c>
      <c r="J308" s="198">
        <f t="shared" si="44"/>
        <v>3554547.6899999995</v>
      </c>
      <c r="K308" s="199">
        <f t="shared" si="44"/>
        <v>1753</v>
      </c>
      <c r="L308" s="198">
        <f t="shared" si="44"/>
        <v>3370902.7800000007</v>
      </c>
      <c r="M308" s="198">
        <f t="shared" si="44"/>
        <v>3316085.1300000008</v>
      </c>
      <c r="N308" s="198">
        <f t="shared" si="44"/>
        <v>56021.85</v>
      </c>
      <c r="O308" s="197">
        <f t="shared" si="44"/>
        <v>1468</v>
      </c>
      <c r="P308" s="198">
        <f t="shared" si="44"/>
        <v>5332048.83</v>
      </c>
      <c r="Q308" s="200">
        <f t="shared" si="44"/>
        <v>1407</v>
      </c>
      <c r="R308" s="198">
        <f t="shared" si="44"/>
        <v>5249560.5100000007</v>
      </c>
      <c r="S308" s="198">
        <f t="shared" si="44"/>
        <v>5249560.5100000007</v>
      </c>
      <c r="T308" s="198">
        <f t="shared" si="44"/>
        <v>0</v>
      </c>
      <c r="U308" s="198">
        <f t="shared" si="44"/>
        <v>8565645.6400000006</v>
      </c>
      <c r="V308" s="198">
        <f t="shared" si="44"/>
        <v>320950.87999999896</v>
      </c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K309" s="201"/>
      <c r="L309" s="201"/>
      <c r="R309" s="2"/>
    </row>
    <row r="310" spans="1:32" ht="15.75" customHeight="1">
      <c r="K310" s="201"/>
      <c r="L310" s="201"/>
      <c r="R310" s="2"/>
    </row>
    <row r="311" spans="1:32" ht="15.75" customHeight="1">
      <c r="K311" s="201"/>
      <c r="L311" s="201"/>
      <c r="R311" s="2"/>
    </row>
    <row r="312" spans="1:32" ht="15.75" customHeight="1">
      <c r="K312" s="201"/>
      <c r="L312" s="201"/>
      <c r="R312" s="2"/>
    </row>
    <row r="313" spans="1:32" ht="15.75" customHeight="1">
      <c r="K313" s="201"/>
      <c r="L313" s="201"/>
      <c r="R313" s="2"/>
    </row>
    <row r="314" spans="1:32" ht="15.75" customHeight="1">
      <c r="K314" s="201"/>
      <c r="L314" s="201"/>
      <c r="R314" s="2"/>
    </row>
    <row r="315" spans="1:32" ht="15.75" customHeight="1">
      <c r="K315" s="201"/>
      <c r="L315" s="201"/>
      <c r="R315" s="2"/>
    </row>
    <row r="316" spans="1:32" ht="15.75" customHeight="1">
      <c r="K316" s="201"/>
      <c r="L316" s="201"/>
      <c r="R316" s="2"/>
    </row>
    <row r="317" spans="1:32" ht="15.75" customHeight="1">
      <c r="K317" s="201"/>
      <c r="L317" s="201"/>
      <c r="R317" s="2"/>
    </row>
    <row r="318" spans="1:32" ht="15.75" customHeight="1">
      <c r="K318" s="201"/>
      <c r="L318" s="201"/>
      <c r="R318" s="2"/>
    </row>
    <row r="319" spans="1:32" ht="15.75" customHeight="1">
      <c r="K319" s="201"/>
      <c r="L319" s="201"/>
      <c r="R319" s="2"/>
    </row>
    <row r="320" spans="1:32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K457" s="201"/>
      <c r="L457" s="201"/>
      <c r="R457" s="2"/>
    </row>
    <row r="458" spans="11:18" ht="15.75" customHeight="1">
      <c r="K458" s="201"/>
      <c r="L458" s="201"/>
      <c r="R458" s="2"/>
    </row>
    <row r="459" spans="11:18" ht="15.75" customHeight="1">
      <c r="K459" s="201"/>
      <c r="L459" s="201"/>
      <c r="R459" s="2"/>
    </row>
    <row r="460" spans="11:18" ht="15.75" customHeight="1">
      <c r="K460" s="201"/>
      <c r="L460" s="201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  <row r="934" spans="12:18" ht="15.75" customHeight="1">
      <c r="L934" s="2"/>
      <c r="R934" s="2"/>
    </row>
    <row r="935" spans="12:18" ht="15.75" customHeight="1">
      <c r="L935" s="2"/>
      <c r="R935" s="2"/>
    </row>
    <row r="936" spans="12:18" ht="15.75" customHeight="1">
      <c r="L936" s="2"/>
      <c r="R936" s="2"/>
    </row>
    <row r="937" spans="12:18" ht="15.75" customHeight="1">
      <c r="L937" s="2"/>
      <c r="R937" s="2"/>
    </row>
  </sheetData>
  <mergeCells count="720">
    <mergeCell ref="D192:D193"/>
    <mergeCell ref="E192:E193"/>
    <mergeCell ref="A194:A195"/>
    <mergeCell ref="B202:B203"/>
    <mergeCell ref="C202:C203"/>
    <mergeCell ref="A204:A205"/>
    <mergeCell ref="B204:B205"/>
    <mergeCell ref="C204:C205"/>
    <mergeCell ref="D204:D205"/>
    <mergeCell ref="E204:E205"/>
    <mergeCell ref="A188:A189"/>
    <mergeCell ref="B188:B189"/>
    <mergeCell ref="C188:C189"/>
    <mergeCell ref="B190:B191"/>
    <mergeCell ref="C190:C191"/>
    <mergeCell ref="A190:A191"/>
    <mergeCell ref="A192:A193"/>
    <mergeCell ref="B192:B193"/>
    <mergeCell ref="C192:C193"/>
    <mergeCell ref="A182:A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202:D203"/>
    <mergeCell ref="E202:E203"/>
    <mergeCell ref="A198:A199"/>
    <mergeCell ref="A200:A201"/>
    <mergeCell ref="B200:B201"/>
    <mergeCell ref="C200:C201"/>
    <mergeCell ref="D200:D201"/>
    <mergeCell ref="E200:E201"/>
    <mergeCell ref="A202:A203"/>
    <mergeCell ref="D198:D199"/>
    <mergeCell ref="E198:E199"/>
    <mergeCell ref="B194:B195"/>
    <mergeCell ref="C194:C195"/>
    <mergeCell ref="A196:A197"/>
    <mergeCell ref="B196:B197"/>
    <mergeCell ref="C196:C197"/>
    <mergeCell ref="B198:B199"/>
    <mergeCell ref="C198:C199"/>
    <mergeCell ref="A178:A179"/>
    <mergeCell ref="B178:B179"/>
    <mergeCell ref="C178:C179"/>
    <mergeCell ref="D178:D179"/>
    <mergeCell ref="E178:E179"/>
    <mergeCell ref="D194:D195"/>
    <mergeCell ref="E194:E195"/>
    <mergeCell ref="D196:D197"/>
    <mergeCell ref="E196:E197"/>
    <mergeCell ref="C182:C183"/>
    <mergeCell ref="D182:D183"/>
    <mergeCell ref="A180:A181"/>
    <mergeCell ref="B180:B181"/>
    <mergeCell ref="C180:C181"/>
    <mergeCell ref="D180:D181"/>
    <mergeCell ref="E180:E181"/>
    <mergeCell ref="B182:B183"/>
    <mergeCell ref="E182:E183"/>
    <mergeCell ref="D186:D187"/>
    <mergeCell ref="E186:E187"/>
    <mergeCell ref="D188:D189"/>
    <mergeCell ref="E188:E189"/>
    <mergeCell ref="D190:D191"/>
    <mergeCell ref="E190:E191"/>
    <mergeCell ref="A167:A169"/>
    <mergeCell ref="B167:B169"/>
    <mergeCell ref="C167:C169"/>
    <mergeCell ref="D167:D169"/>
    <mergeCell ref="E167:E169"/>
    <mergeCell ref="C172:C173"/>
    <mergeCell ref="D172:D173"/>
    <mergeCell ref="B176:B177"/>
    <mergeCell ref="C176:C177"/>
    <mergeCell ref="D165:D166"/>
    <mergeCell ref="E165:E166"/>
    <mergeCell ref="A160:A161"/>
    <mergeCell ref="A162:A164"/>
    <mergeCell ref="B162:B164"/>
    <mergeCell ref="C162:C164"/>
    <mergeCell ref="D162:D164"/>
    <mergeCell ref="E162:E164"/>
    <mergeCell ref="A165:A166"/>
    <mergeCell ref="B165:B166"/>
    <mergeCell ref="C165:C166"/>
    <mergeCell ref="C160:C161"/>
    <mergeCell ref="D160:D161"/>
    <mergeCell ref="A158:A159"/>
    <mergeCell ref="B158:B159"/>
    <mergeCell ref="C158:C159"/>
    <mergeCell ref="D158:D159"/>
    <mergeCell ref="E158:E159"/>
    <mergeCell ref="B160:B161"/>
    <mergeCell ref="E160:E161"/>
    <mergeCell ref="A170:A171"/>
    <mergeCell ref="B170:B171"/>
    <mergeCell ref="C170:C171"/>
    <mergeCell ref="D170:D171"/>
    <mergeCell ref="E170:E171"/>
    <mergeCell ref="B172:B173"/>
    <mergeCell ref="E172:E173"/>
    <mergeCell ref="D176:D177"/>
    <mergeCell ref="E176:E177"/>
    <mergeCell ref="A172:A173"/>
    <mergeCell ref="A174:A175"/>
    <mergeCell ref="B174:B175"/>
    <mergeCell ref="C174:C175"/>
    <mergeCell ref="D174:D175"/>
    <mergeCell ref="E174:E175"/>
    <mergeCell ref="A176:A177"/>
    <mergeCell ref="A275:A276"/>
    <mergeCell ref="B275:B276"/>
    <mergeCell ref="C275:C276"/>
    <mergeCell ref="D275:D276"/>
    <mergeCell ref="E275:E276"/>
    <mergeCell ref="A277:A278"/>
    <mergeCell ref="B285:B286"/>
    <mergeCell ref="C285:C286"/>
    <mergeCell ref="A287:A288"/>
    <mergeCell ref="B287:B288"/>
    <mergeCell ref="C287:C288"/>
    <mergeCell ref="D287:D288"/>
    <mergeCell ref="E287:E288"/>
    <mergeCell ref="D269:D270"/>
    <mergeCell ref="E269:E270"/>
    <mergeCell ref="D271:D272"/>
    <mergeCell ref="E271:E272"/>
    <mergeCell ref="D273:D274"/>
    <mergeCell ref="E273:E274"/>
    <mergeCell ref="A265:A266"/>
    <mergeCell ref="A267:A268"/>
    <mergeCell ref="B267:B268"/>
    <mergeCell ref="C267:C268"/>
    <mergeCell ref="D267:D268"/>
    <mergeCell ref="E267:E268"/>
    <mergeCell ref="A269:A270"/>
    <mergeCell ref="B269:B270"/>
    <mergeCell ref="C269:C270"/>
    <mergeCell ref="A271:A272"/>
    <mergeCell ref="B271:B272"/>
    <mergeCell ref="C271:C272"/>
    <mergeCell ref="B273:B274"/>
    <mergeCell ref="C273:C274"/>
    <mergeCell ref="A273:A274"/>
    <mergeCell ref="C265:C266"/>
    <mergeCell ref="D265:D266"/>
    <mergeCell ref="A263:A264"/>
    <mergeCell ref="B263:B264"/>
    <mergeCell ref="C263:C264"/>
    <mergeCell ref="D263:D264"/>
    <mergeCell ref="E263:E264"/>
    <mergeCell ref="B265:B266"/>
    <mergeCell ref="E265:E266"/>
    <mergeCell ref="D293:D294"/>
    <mergeCell ref="E293:E294"/>
    <mergeCell ref="A295:A296"/>
    <mergeCell ref="U303:U304"/>
    <mergeCell ref="V303:V304"/>
    <mergeCell ref="D295:D296"/>
    <mergeCell ref="E295:E296"/>
    <mergeCell ref="D297:D298"/>
    <mergeCell ref="E297:E298"/>
    <mergeCell ref="F303:F304"/>
    <mergeCell ref="G303:N303"/>
    <mergeCell ref="O303:T303"/>
    <mergeCell ref="B295:B296"/>
    <mergeCell ref="C295:C296"/>
    <mergeCell ref="A297:A298"/>
    <mergeCell ref="B297:B298"/>
    <mergeCell ref="C297:C298"/>
    <mergeCell ref="A291:A292"/>
    <mergeCell ref="A293:A294"/>
    <mergeCell ref="B293:B294"/>
    <mergeCell ref="C293:C294"/>
    <mergeCell ref="C291:C292"/>
    <mergeCell ref="D291:D292"/>
    <mergeCell ref="A289:A290"/>
    <mergeCell ref="B289:B290"/>
    <mergeCell ref="C289:C290"/>
    <mergeCell ref="D289:D290"/>
    <mergeCell ref="E289:E290"/>
    <mergeCell ref="B291:B292"/>
    <mergeCell ref="E291:E292"/>
    <mergeCell ref="D285:D286"/>
    <mergeCell ref="E285:E286"/>
    <mergeCell ref="A281:A282"/>
    <mergeCell ref="A283:A284"/>
    <mergeCell ref="B283:B284"/>
    <mergeCell ref="C283:C284"/>
    <mergeCell ref="D283:D284"/>
    <mergeCell ref="E283:E284"/>
    <mergeCell ref="A285:A286"/>
    <mergeCell ref="D277:D278"/>
    <mergeCell ref="E277:E278"/>
    <mergeCell ref="D279:D280"/>
    <mergeCell ref="E279:E280"/>
    <mergeCell ref="D281:D282"/>
    <mergeCell ref="E281:E282"/>
    <mergeCell ref="B277:B278"/>
    <mergeCell ref="C277:C278"/>
    <mergeCell ref="A279:A280"/>
    <mergeCell ref="B279:B280"/>
    <mergeCell ref="C279:C280"/>
    <mergeCell ref="B281:B282"/>
    <mergeCell ref="C281:C282"/>
    <mergeCell ref="A245:A246"/>
    <mergeCell ref="B245:B246"/>
    <mergeCell ref="C245:C246"/>
    <mergeCell ref="D245:D246"/>
    <mergeCell ref="E245:E246"/>
    <mergeCell ref="A247:A248"/>
    <mergeCell ref="B259:B260"/>
    <mergeCell ref="C259:C260"/>
    <mergeCell ref="A261:A262"/>
    <mergeCell ref="B261:B262"/>
    <mergeCell ref="C261:C262"/>
    <mergeCell ref="D261:D262"/>
    <mergeCell ref="E261:E262"/>
    <mergeCell ref="C255:C256"/>
    <mergeCell ref="D255:D256"/>
    <mergeCell ref="A253:A254"/>
    <mergeCell ref="B253:B254"/>
    <mergeCell ref="C253:C254"/>
    <mergeCell ref="D253:D254"/>
    <mergeCell ref="E253:E254"/>
    <mergeCell ref="B255:B256"/>
    <mergeCell ref="E255:E256"/>
    <mergeCell ref="D239:D240"/>
    <mergeCell ref="E239:E240"/>
    <mergeCell ref="D241:D242"/>
    <mergeCell ref="E241:E242"/>
    <mergeCell ref="D243:D244"/>
    <mergeCell ref="E243:E244"/>
    <mergeCell ref="A235:A236"/>
    <mergeCell ref="A237:A238"/>
    <mergeCell ref="B237:B238"/>
    <mergeCell ref="C237:C238"/>
    <mergeCell ref="D237:D238"/>
    <mergeCell ref="E237:E238"/>
    <mergeCell ref="A239:A240"/>
    <mergeCell ref="B239:B240"/>
    <mergeCell ref="C239:C240"/>
    <mergeCell ref="A241:A242"/>
    <mergeCell ref="B241:B242"/>
    <mergeCell ref="C241:C242"/>
    <mergeCell ref="B243:B244"/>
    <mergeCell ref="C243:C244"/>
    <mergeCell ref="A243:A244"/>
    <mergeCell ref="C235:C236"/>
    <mergeCell ref="D235:D236"/>
    <mergeCell ref="A233:A234"/>
    <mergeCell ref="B233:B234"/>
    <mergeCell ref="C233:C234"/>
    <mergeCell ref="D233:D234"/>
    <mergeCell ref="E233:E234"/>
    <mergeCell ref="B235:B236"/>
    <mergeCell ref="E235:E236"/>
    <mergeCell ref="D259:D260"/>
    <mergeCell ref="E259:E260"/>
    <mergeCell ref="A255:A256"/>
    <mergeCell ref="A257:A258"/>
    <mergeCell ref="B257:B258"/>
    <mergeCell ref="C257:C258"/>
    <mergeCell ref="D257:D258"/>
    <mergeCell ref="E257:E258"/>
    <mergeCell ref="A259:A260"/>
    <mergeCell ref="D247:D248"/>
    <mergeCell ref="E247:E248"/>
    <mergeCell ref="D249:D250"/>
    <mergeCell ref="E249:E250"/>
    <mergeCell ref="D251:D252"/>
    <mergeCell ref="E251:E252"/>
    <mergeCell ref="B247:B248"/>
    <mergeCell ref="C247:C248"/>
    <mergeCell ref="A249:A250"/>
    <mergeCell ref="B249:B250"/>
    <mergeCell ref="C249:C250"/>
    <mergeCell ref="B251:B252"/>
    <mergeCell ref="C251:C252"/>
    <mergeCell ref="A219:A220"/>
    <mergeCell ref="B219:B220"/>
    <mergeCell ref="C219:C220"/>
    <mergeCell ref="D219:D220"/>
    <mergeCell ref="E219:E220"/>
    <mergeCell ref="A221:A222"/>
    <mergeCell ref="B229:B230"/>
    <mergeCell ref="C229:C230"/>
    <mergeCell ref="A231:A232"/>
    <mergeCell ref="B231:B232"/>
    <mergeCell ref="C231:C232"/>
    <mergeCell ref="D231:D232"/>
    <mergeCell ref="E231:E232"/>
    <mergeCell ref="D221:D222"/>
    <mergeCell ref="E221:E222"/>
    <mergeCell ref="D223:D224"/>
    <mergeCell ref="E223:E224"/>
    <mergeCell ref="D225:D226"/>
    <mergeCell ref="E225:E226"/>
    <mergeCell ref="B221:B222"/>
    <mergeCell ref="C221:C222"/>
    <mergeCell ref="A223:A224"/>
    <mergeCell ref="B223:B224"/>
    <mergeCell ref="C223:C224"/>
    <mergeCell ref="D213:D214"/>
    <mergeCell ref="E213:E214"/>
    <mergeCell ref="D215:D216"/>
    <mergeCell ref="E215:E216"/>
    <mergeCell ref="D217:D218"/>
    <mergeCell ref="E217:E218"/>
    <mergeCell ref="A208:A209"/>
    <mergeCell ref="A210:A212"/>
    <mergeCell ref="B210:B212"/>
    <mergeCell ref="C210:C212"/>
    <mergeCell ref="D210:D212"/>
    <mergeCell ref="E210:E212"/>
    <mergeCell ref="A213:A214"/>
    <mergeCell ref="B213:B214"/>
    <mergeCell ref="C213:C214"/>
    <mergeCell ref="A215:A216"/>
    <mergeCell ref="B215:B216"/>
    <mergeCell ref="C215:C216"/>
    <mergeCell ref="B217:B218"/>
    <mergeCell ref="C217:C218"/>
    <mergeCell ref="A217:A218"/>
    <mergeCell ref="C208:C209"/>
    <mergeCell ref="D208:D209"/>
    <mergeCell ref="A206:A207"/>
    <mergeCell ref="B206:B207"/>
    <mergeCell ref="C206:C207"/>
    <mergeCell ref="D206:D207"/>
    <mergeCell ref="E206:E207"/>
    <mergeCell ref="B208:B209"/>
    <mergeCell ref="E208:E209"/>
    <mergeCell ref="D229:D230"/>
    <mergeCell ref="E229:E230"/>
    <mergeCell ref="A225:A226"/>
    <mergeCell ref="A227:A228"/>
    <mergeCell ref="B227:B228"/>
    <mergeCell ref="C227:C228"/>
    <mergeCell ref="D227:D228"/>
    <mergeCell ref="E227:E228"/>
    <mergeCell ref="A229:A230"/>
    <mergeCell ref="B225:B226"/>
    <mergeCell ref="C225:C226"/>
    <mergeCell ref="D143:D144"/>
    <mergeCell ref="E143:E144"/>
    <mergeCell ref="A145:A146"/>
    <mergeCell ref="B154:B155"/>
    <mergeCell ref="C154:C155"/>
    <mergeCell ref="A156:A157"/>
    <mergeCell ref="B156:B157"/>
    <mergeCell ref="C156:C157"/>
    <mergeCell ref="D156:D157"/>
    <mergeCell ref="E156:E157"/>
    <mergeCell ref="A139:A140"/>
    <mergeCell ref="B139:B140"/>
    <mergeCell ref="C139:C140"/>
    <mergeCell ref="B141:B142"/>
    <mergeCell ref="C141:C142"/>
    <mergeCell ref="A141:A142"/>
    <mergeCell ref="A143:A144"/>
    <mergeCell ref="B143:B144"/>
    <mergeCell ref="C143:C144"/>
    <mergeCell ref="A133:A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54:D155"/>
    <mergeCell ref="E154:E155"/>
    <mergeCell ref="A149:A150"/>
    <mergeCell ref="A151:A153"/>
    <mergeCell ref="B151:B153"/>
    <mergeCell ref="C151:C153"/>
    <mergeCell ref="D151:D153"/>
    <mergeCell ref="E151:E153"/>
    <mergeCell ref="A154:A155"/>
    <mergeCell ref="D147:D148"/>
    <mergeCell ref="E147:E148"/>
    <mergeCell ref="D149:D150"/>
    <mergeCell ref="E149:E150"/>
    <mergeCell ref="B145:B146"/>
    <mergeCell ref="C145:C146"/>
    <mergeCell ref="A147:A148"/>
    <mergeCell ref="B147:B148"/>
    <mergeCell ref="C147:C148"/>
    <mergeCell ref="B149:B150"/>
    <mergeCell ref="C149:C150"/>
    <mergeCell ref="A124:A126"/>
    <mergeCell ref="A127:A128"/>
    <mergeCell ref="B127:B128"/>
    <mergeCell ref="C127:C128"/>
    <mergeCell ref="A129:A130"/>
    <mergeCell ref="B129:B130"/>
    <mergeCell ref="C129:C130"/>
    <mergeCell ref="D145:D146"/>
    <mergeCell ref="E145:E146"/>
    <mergeCell ref="C133:C134"/>
    <mergeCell ref="D133:D134"/>
    <mergeCell ref="A131:A132"/>
    <mergeCell ref="B131:B132"/>
    <mergeCell ref="C131:C132"/>
    <mergeCell ref="D131:D132"/>
    <mergeCell ref="E131:E132"/>
    <mergeCell ref="B133:B134"/>
    <mergeCell ref="E133:E134"/>
    <mergeCell ref="D137:D138"/>
    <mergeCell ref="E137:E138"/>
    <mergeCell ref="D139:D140"/>
    <mergeCell ref="E139:E140"/>
    <mergeCell ref="D141:D142"/>
    <mergeCell ref="E141:E142"/>
    <mergeCell ref="B124:B126"/>
    <mergeCell ref="C124:C126"/>
    <mergeCell ref="D127:D128"/>
    <mergeCell ref="D129:D130"/>
    <mergeCell ref="D120:D121"/>
    <mergeCell ref="E120:E121"/>
    <mergeCell ref="D122:D123"/>
    <mergeCell ref="E122:E123"/>
    <mergeCell ref="D124:D126"/>
    <mergeCell ref="E124:E126"/>
    <mergeCell ref="E127:E128"/>
    <mergeCell ref="E129:E130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16:A117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7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16</v>
      </c>
      <c r="I9" s="62">
        <v>8</v>
      </c>
      <c r="J9" s="62">
        <v>9</v>
      </c>
      <c r="K9" s="62">
        <v>15040.91</v>
      </c>
      <c r="L9" s="205">
        <v>8</v>
      </c>
      <c r="M9" s="26">
        <f t="shared" ref="M9:M33" si="0">N9+O9</f>
        <v>10196.11</v>
      </c>
      <c r="N9" s="30">
        <v>10196.11</v>
      </c>
      <c r="O9" s="28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9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14</v>
      </c>
      <c r="I13" s="266">
        <v>13</v>
      </c>
      <c r="J13" s="266">
        <v>23</v>
      </c>
      <c r="K13" s="79">
        <v>64829.35</v>
      </c>
      <c r="L13" s="268">
        <v>23</v>
      </c>
      <c r="M13" s="81">
        <f t="shared" si="0"/>
        <v>64829.35</v>
      </c>
      <c r="N13" s="79">
        <v>64829.35</v>
      </c>
      <c r="O13" s="97"/>
      <c r="P13" s="267">
        <v>15</v>
      </c>
      <c r="Q13" s="79">
        <v>116855.85</v>
      </c>
      <c r="R13" s="268">
        <v>15</v>
      </c>
      <c r="S13" s="81">
        <f t="shared" si="1"/>
        <v>116855.85</v>
      </c>
      <c r="T13" s="79">
        <v>116855.85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7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1</v>
      </c>
      <c r="Q14" s="68">
        <v>11718.1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29</v>
      </c>
      <c r="I15" s="62">
        <v>29</v>
      </c>
      <c r="J15" s="62">
        <v>50</v>
      </c>
      <c r="K15" s="30">
        <v>124437.22</v>
      </c>
      <c r="L15" s="205">
        <v>49</v>
      </c>
      <c r="M15" s="26">
        <f t="shared" si="0"/>
        <v>124035.82</v>
      </c>
      <c r="N15" s="30">
        <v>124035.82</v>
      </c>
      <c r="O15" s="299"/>
      <c r="P15" s="64">
        <v>20</v>
      </c>
      <c r="Q15" s="65">
        <v>105437</v>
      </c>
      <c r="R15" s="224">
        <v>20</v>
      </c>
      <c r="S15" s="50">
        <f t="shared" si="1"/>
        <v>105437</v>
      </c>
      <c r="T15" s="65">
        <v>105437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4</v>
      </c>
      <c r="J16" s="37">
        <v>4</v>
      </c>
      <c r="K16" s="68">
        <v>9438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6</v>
      </c>
      <c r="Q16" s="68">
        <v>25437.3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6</v>
      </c>
      <c r="I18" s="208">
        <v>2</v>
      </c>
      <c r="J18" s="208">
        <v>2</v>
      </c>
      <c r="K18" s="209">
        <v>1837.5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10</v>
      </c>
      <c r="Q18" s="209">
        <v>44714.91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17</v>
      </c>
      <c r="I19" s="62">
        <v>6</v>
      </c>
      <c r="J19" s="62">
        <v>6</v>
      </c>
      <c r="K19" s="30">
        <v>9901.23</v>
      </c>
      <c r="L19" s="205">
        <v>6</v>
      </c>
      <c r="M19" s="26">
        <f t="shared" si="0"/>
        <v>9901.23</v>
      </c>
      <c r="N19" s="30">
        <v>9901.23</v>
      </c>
      <c r="O19" s="264"/>
      <c r="P19" s="53">
        <v>12</v>
      </c>
      <c r="Q19" s="30">
        <v>31543.78</v>
      </c>
      <c r="R19" s="205">
        <v>12</v>
      </c>
      <c r="S19" s="26">
        <f t="shared" si="1"/>
        <v>31543.78</v>
      </c>
      <c r="T19" s="30">
        <v>31543.78</v>
      </c>
      <c r="U19" s="2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9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15</v>
      </c>
      <c r="I21" s="266">
        <v>11</v>
      </c>
      <c r="J21" s="266">
        <v>17</v>
      </c>
      <c r="K21" s="79">
        <v>32485.85</v>
      </c>
      <c r="L21" s="268">
        <v>17</v>
      </c>
      <c r="M21" s="81">
        <f t="shared" si="0"/>
        <v>32485.85</v>
      </c>
      <c r="N21" s="79">
        <v>32485.85</v>
      </c>
      <c r="O21" s="269"/>
      <c r="P21" s="267">
        <v>11</v>
      </c>
      <c r="Q21" s="79">
        <v>26007.8</v>
      </c>
      <c r="R21" s="268">
        <v>11</v>
      </c>
      <c r="S21" s="81">
        <f t="shared" si="1"/>
        <v>26007.8</v>
      </c>
      <c r="T21" s="79">
        <v>26007.8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23</v>
      </c>
      <c r="I23" s="203">
        <v>21</v>
      </c>
      <c r="J23" s="203">
        <v>33</v>
      </c>
      <c r="K23" s="65">
        <v>47551.15</v>
      </c>
      <c r="L23" s="224">
        <v>33</v>
      </c>
      <c r="M23" s="50">
        <f t="shared" si="0"/>
        <v>47551.15</v>
      </c>
      <c r="N23" s="65">
        <v>47551.15</v>
      </c>
      <c r="O23" s="225"/>
      <c r="P23" s="53">
        <v>18</v>
      </c>
      <c r="Q23" s="30">
        <v>40711.599999999999</v>
      </c>
      <c r="R23" s="205">
        <v>17</v>
      </c>
      <c r="S23" s="26">
        <f t="shared" si="1"/>
        <v>40711.599999999999</v>
      </c>
      <c r="T23" s="30">
        <v>40711.599999999999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3</v>
      </c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19</v>
      </c>
      <c r="I25" s="62">
        <v>15</v>
      </c>
      <c r="J25" s="62">
        <v>15</v>
      </c>
      <c r="K25" s="62">
        <v>12972.19</v>
      </c>
      <c r="L25" s="205">
        <v>15</v>
      </c>
      <c r="M25" s="26">
        <f t="shared" si="0"/>
        <v>12972.19</v>
      </c>
      <c r="N25" s="30">
        <v>12972.19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6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17</v>
      </c>
      <c r="I27" s="203">
        <v>14</v>
      </c>
      <c r="J27" s="203">
        <v>22</v>
      </c>
      <c r="K27" s="65">
        <v>39652.28</v>
      </c>
      <c r="L27" s="224">
        <v>22</v>
      </c>
      <c r="M27" s="50">
        <f t="shared" si="0"/>
        <v>39652.28</v>
      </c>
      <c r="N27" s="65">
        <v>39652.28</v>
      </c>
      <c r="O27" s="225"/>
      <c r="P27" s="53">
        <v>16</v>
      </c>
      <c r="Q27" s="30">
        <v>45117.43</v>
      </c>
      <c r="R27" s="205">
        <v>16</v>
      </c>
      <c r="S27" s="26">
        <f t="shared" si="1"/>
        <v>45117.43</v>
      </c>
      <c r="T27" s="30">
        <v>45117.43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9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12</v>
      </c>
      <c r="Q28" s="68">
        <v>52460.7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1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5</v>
      </c>
      <c r="S29" s="26">
        <f t="shared" si="1"/>
        <v>16015.34</v>
      </c>
      <c r="T29" s="30">
        <v>16015.34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8</v>
      </c>
      <c r="I30" s="130">
        <v>4</v>
      </c>
      <c r="J30" s="130">
        <v>4</v>
      </c>
      <c r="K30" s="114">
        <v>8988.4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16</v>
      </c>
      <c r="I33" s="203">
        <v>9</v>
      </c>
      <c r="J33" s="203">
        <v>11</v>
      </c>
      <c r="K33" s="65">
        <v>19491.419999999998</v>
      </c>
      <c r="L33" s="224">
        <v>11</v>
      </c>
      <c r="M33" s="50">
        <f t="shared" si="0"/>
        <v>19491.419999999998</v>
      </c>
      <c r="N33" s="65">
        <v>19491.419999999998</v>
      </c>
      <c r="O33" s="225"/>
      <c r="P33" s="108">
        <v>11</v>
      </c>
      <c r="Q33" s="65">
        <v>33775.75</v>
      </c>
      <c r="R33" s="224">
        <v>11</v>
      </c>
      <c r="S33" s="26">
        <f t="shared" si="1"/>
        <v>33775.75</v>
      </c>
      <c r="T33" s="65">
        <v>33775.75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8</v>
      </c>
      <c r="J34" s="130">
        <v>8</v>
      </c>
      <c r="K34" s="114">
        <v>18612.400000000001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10</v>
      </c>
      <c r="M37" s="50">
        <f t="shared" si="2"/>
        <v>10039.700000000001</v>
      </c>
      <c r="N37" s="65">
        <v>10039.700000000001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4</v>
      </c>
      <c r="J38" s="208">
        <v>4</v>
      </c>
      <c r="K38" s="209">
        <v>6273.9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25"/>
      <c r="J39" s="25"/>
      <c r="K39" s="26"/>
      <c r="L39" s="27"/>
      <c r="M39" s="26">
        <f t="shared" si="2"/>
        <v>0</v>
      </c>
      <c r="N39" s="26"/>
      <c r="O39" s="28"/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7</v>
      </c>
      <c r="I43" s="62">
        <v>4</v>
      </c>
      <c r="J43" s="62">
        <v>6</v>
      </c>
      <c r="K43" s="30">
        <v>19565.71</v>
      </c>
      <c r="L43" s="205">
        <v>6</v>
      </c>
      <c r="M43" s="26">
        <f t="shared" si="2"/>
        <v>19565.71</v>
      </c>
      <c r="N43" s="30">
        <v>19565.71</v>
      </c>
      <c r="O43" s="100"/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20</v>
      </c>
      <c r="I45" s="266">
        <v>19</v>
      </c>
      <c r="J45" s="266">
        <v>25</v>
      </c>
      <c r="K45" s="79">
        <v>42205.75</v>
      </c>
      <c r="L45" s="268">
        <v>24</v>
      </c>
      <c r="M45" s="81">
        <f t="shared" si="2"/>
        <v>39175.68</v>
      </c>
      <c r="N45" s="79">
        <v>39175.68</v>
      </c>
      <c r="O45" s="314"/>
      <c r="P45" s="53">
        <v>21</v>
      </c>
      <c r="Q45" s="30">
        <v>80220.240000000005</v>
      </c>
      <c r="R45" s="205">
        <v>20</v>
      </c>
      <c r="S45" s="26">
        <f t="shared" si="3"/>
        <v>79577.89</v>
      </c>
      <c r="T45" s="30">
        <v>79577.89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29</v>
      </c>
      <c r="I47" s="62">
        <v>12</v>
      </c>
      <c r="J47" s="62">
        <v>15</v>
      </c>
      <c r="K47" s="30">
        <v>26748.73</v>
      </c>
      <c r="L47" s="205">
        <v>15</v>
      </c>
      <c r="M47" s="26">
        <f t="shared" si="2"/>
        <v>26748.73</v>
      </c>
      <c r="N47" s="30">
        <v>26748.73</v>
      </c>
      <c r="O47" s="28"/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5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8</v>
      </c>
      <c r="J50" s="266">
        <v>15</v>
      </c>
      <c r="K50" s="79">
        <v>29460.55</v>
      </c>
      <c r="L50" s="268">
        <v>9</v>
      </c>
      <c r="M50" s="81">
        <f t="shared" si="2"/>
        <v>29460.55</v>
      </c>
      <c r="N50" s="79">
        <v>14889.74</v>
      </c>
      <c r="O50" s="336">
        <v>14570.81</v>
      </c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2</v>
      </c>
      <c r="J53" s="338">
        <v>2</v>
      </c>
      <c r="K53" s="339">
        <v>2634.9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7</v>
      </c>
      <c r="I56" s="266">
        <v>3</v>
      </c>
      <c r="J56" s="266">
        <v>4</v>
      </c>
      <c r="K56" s="79">
        <v>7445.63</v>
      </c>
      <c r="L56" s="268">
        <v>4</v>
      </c>
      <c r="M56" s="81">
        <f t="shared" si="2"/>
        <v>7445.63</v>
      </c>
      <c r="N56" s="79">
        <v>7445.63</v>
      </c>
      <c r="O56" s="97"/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10</v>
      </c>
      <c r="I57" s="130">
        <v>7</v>
      </c>
      <c r="J57" s="130">
        <v>7</v>
      </c>
      <c r="K57" s="114">
        <v>17454.48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4</v>
      </c>
      <c r="K58" s="30">
        <v>5581.3</v>
      </c>
      <c r="L58" s="205">
        <v>4</v>
      </c>
      <c r="M58" s="26">
        <f t="shared" si="2"/>
        <v>5581.3</v>
      </c>
      <c r="N58" s="30">
        <v>5581.3</v>
      </c>
      <c r="O58" s="31"/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8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11</v>
      </c>
      <c r="Q59" s="68">
        <v>27095.83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9</v>
      </c>
      <c r="J60" s="203">
        <v>12</v>
      </c>
      <c r="K60" s="65">
        <v>24355.05</v>
      </c>
      <c r="L60" s="224">
        <v>9</v>
      </c>
      <c r="M60" s="50">
        <f t="shared" si="2"/>
        <v>17478.27</v>
      </c>
      <c r="N60" s="65">
        <v>17478.27</v>
      </c>
      <c r="O60" s="31"/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20</v>
      </c>
      <c r="I62" s="62">
        <v>18</v>
      </c>
      <c r="J62" s="62">
        <v>23</v>
      </c>
      <c r="K62" s="30">
        <v>41030.51</v>
      </c>
      <c r="L62" s="205">
        <v>23</v>
      </c>
      <c r="M62" s="26">
        <f t="shared" si="2"/>
        <v>41030.51</v>
      </c>
      <c r="N62" s="30">
        <v>41030.51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7</v>
      </c>
      <c r="I63" s="37">
        <v>6</v>
      </c>
      <c r="J63" s="37">
        <v>6</v>
      </c>
      <c r="K63" s="68">
        <v>9085.2999999999993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40</v>
      </c>
      <c r="I64" s="203">
        <v>35</v>
      </c>
      <c r="J64" s="203">
        <v>53</v>
      </c>
      <c r="K64" s="65">
        <v>107987.3</v>
      </c>
      <c r="L64" s="224">
        <v>53</v>
      </c>
      <c r="M64" s="50">
        <f t="shared" si="2"/>
        <v>107987.3</v>
      </c>
      <c r="N64" s="65">
        <v>107987.3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16</v>
      </c>
      <c r="I66" s="62">
        <v>11</v>
      </c>
      <c r="J66" s="62">
        <v>12</v>
      </c>
      <c r="K66" s="30">
        <v>13951.52</v>
      </c>
      <c r="L66" s="205">
        <v>12</v>
      </c>
      <c r="M66" s="26">
        <f t="shared" si="2"/>
        <v>13951.52</v>
      </c>
      <c r="N66" s="30">
        <v>13951.52</v>
      </c>
      <c r="O66" s="28"/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10</v>
      </c>
      <c r="I67" s="208"/>
      <c r="J67" s="208"/>
      <c r="K67" s="209"/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6</v>
      </c>
      <c r="J68" s="62">
        <v>7</v>
      </c>
      <c r="K68" s="30">
        <v>13445.23</v>
      </c>
      <c r="L68" s="205">
        <v>7</v>
      </c>
      <c r="M68" s="26">
        <f t="shared" si="2"/>
        <v>13445.23</v>
      </c>
      <c r="N68" s="30">
        <v>13445.23</v>
      </c>
      <c r="O68" s="28"/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9</v>
      </c>
      <c r="I69" s="37">
        <v>2</v>
      </c>
      <c r="J69" s="37">
        <v>2</v>
      </c>
      <c r="K69" s="68">
        <v>3132.58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10</v>
      </c>
      <c r="I70" s="266">
        <v>4</v>
      </c>
      <c r="J70" s="266">
        <v>5</v>
      </c>
      <c r="K70" s="79">
        <v>14670.7</v>
      </c>
      <c r="L70" s="268">
        <v>5</v>
      </c>
      <c r="M70" s="81">
        <f t="shared" si="2"/>
        <v>14670.7</v>
      </c>
      <c r="N70" s="79">
        <v>14670.7</v>
      </c>
      <c r="O70" s="219"/>
      <c r="P70" s="267">
        <v>4</v>
      </c>
      <c r="Q70" s="79">
        <v>8585.01</v>
      </c>
      <c r="R70" s="268">
        <v>4</v>
      </c>
      <c r="S70" s="81">
        <f t="shared" si="3"/>
        <v>8585.01</v>
      </c>
      <c r="T70" s="79">
        <v>8585.01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6</v>
      </c>
      <c r="J71" s="130">
        <v>6</v>
      </c>
      <c r="K71" s="114">
        <v>9712.0300000000007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5</v>
      </c>
      <c r="Q71" s="114">
        <v>40999.1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12</v>
      </c>
      <c r="I74" s="203">
        <v>3</v>
      </c>
      <c r="J74" s="203">
        <v>3</v>
      </c>
      <c r="K74" s="65">
        <v>5482.32</v>
      </c>
      <c r="L74" s="224">
        <v>3</v>
      </c>
      <c r="M74" s="50">
        <f t="shared" si="2"/>
        <v>5482.32</v>
      </c>
      <c r="N74" s="65">
        <v>5482.32</v>
      </c>
      <c r="O74" s="31"/>
      <c r="P74" s="108">
        <v>20</v>
      </c>
      <c r="Q74" s="65">
        <v>89755.89</v>
      </c>
      <c r="R74" s="224">
        <v>19</v>
      </c>
      <c r="S74" s="50">
        <f t="shared" si="3"/>
        <v>88488.03</v>
      </c>
      <c r="T74" s="65">
        <v>88488.03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3</v>
      </c>
      <c r="J75" s="130">
        <v>3</v>
      </c>
      <c r="K75" s="114">
        <v>7880.4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18</v>
      </c>
      <c r="I76" s="62">
        <v>11</v>
      </c>
      <c r="J76" s="62">
        <v>14</v>
      </c>
      <c r="K76" s="30">
        <v>36070.71</v>
      </c>
      <c r="L76" s="205">
        <v>14</v>
      </c>
      <c r="M76" s="26">
        <f t="shared" si="2"/>
        <v>36070.71</v>
      </c>
      <c r="N76" s="30">
        <v>36070.71</v>
      </c>
      <c r="O76" s="225"/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7</v>
      </c>
      <c r="I77" s="37">
        <v>3</v>
      </c>
      <c r="J77" s="37">
        <v>3</v>
      </c>
      <c r="K77" s="68">
        <v>10490.7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12</v>
      </c>
      <c r="I80" s="62">
        <v>10</v>
      </c>
      <c r="J80" s="62">
        <v>15</v>
      </c>
      <c r="K80" s="30">
        <v>27866.78</v>
      </c>
      <c r="L80" s="205">
        <v>14</v>
      </c>
      <c r="M80" s="26">
        <f t="shared" si="2"/>
        <v>25458.38</v>
      </c>
      <c r="N80" s="30">
        <v>25458.38</v>
      </c>
      <c r="O80" s="31"/>
      <c r="P80" s="53">
        <v>3</v>
      </c>
      <c r="Q80" s="30">
        <v>6335.58</v>
      </c>
      <c r="R80" s="205">
        <v>3</v>
      </c>
      <c r="S80" s="26">
        <f t="shared" si="3"/>
        <v>6335.58</v>
      </c>
      <c r="T80" s="30">
        <v>6335.58</v>
      </c>
      <c r="U80" s="3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6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2</v>
      </c>
      <c r="S81" s="68">
        <v>8429.4</v>
      </c>
      <c r="T81" s="68">
        <v>8429.4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13</v>
      </c>
      <c r="I82" s="203">
        <v>9</v>
      </c>
      <c r="J82" s="203">
        <v>14</v>
      </c>
      <c r="K82" s="158">
        <v>36747.9</v>
      </c>
      <c r="L82" s="224">
        <v>14</v>
      </c>
      <c r="M82" s="50">
        <f t="shared" ref="M82:M98" si="4">N82+O82</f>
        <v>36747.9</v>
      </c>
      <c r="N82" s="65">
        <v>36747.9</v>
      </c>
      <c r="O82" s="225"/>
      <c r="P82" s="108">
        <v>14</v>
      </c>
      <c r="Q82" s="65">
        <v>56372.24</v>
      </c>
      <c r="R82" s="224">
        <v>13</v>
      </c>
      <c r="S82" s="50">
        <f t="shared" ref="S82:S98" si="5">T82+U82</f>
        <v>52889.43</v>
      </c>
      <c r="T82" s="65">
        <v>52889.43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51</v>
      </c>
      <c r="I84" s="62">
        <v>50</v>
      </c>
      <c r="J84" s="62">
        <v>79</v>
      </c>
      <c r="K84" s="30">
        <v>158684.14000000001</v>
      </c>
      <c r="L84" s="205">
        <v>64</v>
      </c>
      <c r="M84" s="26">
        <f t="shared" si="4"/>
        <v>159685.93</v>
      </c>
      <c r="N84" s="30">
        <v>130892.7</v>
      </c>
      <c r="O84" s="225">
        <v>28793.23</v>
      </c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11</v>
      </c>
      <c r="I86" s="62">
        <v>8</v>
      </c>
      <c r="J86" s="62">
        <v>8</v>
      </c>
      <c r="K86" s="30">
        <v>15378.24</v>
      </c>
      <c r="L86" s="205">
        <v>8</v>
      </c>
      <c r="M86" s="26">
        <f t="shared" si="4"/>
        <v>15378.24</v>
      </c>
      <c r="N86" s="30">
        <v>15378.24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8</v>
      </c>
      <c r="I87" s="208">
        <v>2</v>
      </c>
      <c r="J87" s="208">
        <v>2</v>
      </c>
      <c r="K87" s="209">
        <v>8727.6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16</v>
      </c>
      <c r="I90" s="266">
        <v>12</v>
      </c>
      <c r="J90" s="266">
        <v>21</v>
      </c>
      <c r="K90" s="79">
        <v>35545.67</v>
      </c>
      <c r="L90" s="268">
        <v>21</v>
      </c>
      <c r="M90" s="81">
        <f t="shared" si="4"/>
        <v>35545.67</v>
      </c>
      <c r="N90" s="79">
        <v>35545.67</v>
      </c>
      <c r="O90" s="269"/>
      <c r="P90" s="267">
        <v>13</v>
      </c>
      <c r="Q90" s="79">
        <v>30601.65</v>
      </c>
      <c r="R90" s="268">
        <v>11</v>
      </c>
      <c r="S90" s="81">
        <f t="shared" si="5"/>
        <v>29497.05</v>
      </c>
      <c r="T90" s="79">
        <v>29497.05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4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29</v>
      </c>
      <c r="I98" s="62">
        <v>20</v>
      </c>
      <c r="J98" s="62">
        <v>27</v>
      </c>
      <c r="K98" s="30">
        <v>46026.71</v>
      </c>
      <c r="L98" s="205">
        <v>24</v>
      </c>
      <c r="M98" s="26">
        <f t="shared" si="4"/>
        <v>42965.08</v>
      </c>
      <c r="N98" s="30">
        <v>42965.08</v>
      </c>
      <c r="O98" s="31"/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12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3</v>
      </c>
      <c r="M100" s="50">
        <f>N100+O100</f>
        <v>5605.94</v>
      </c>
      <c r="N100" s="65">
        <v>5605.94</v>
      </c>
      <c r="O100" s="31"/>
      <c r="P100" s="108">
        <v>11</v>
      </c>
      <c r="Q100" s="65">
        <v>118841.12</v>
      </c>
      <c r="R100" s="224">
        <v>11</v>
      </c>
      <c r="S100" s="50">
        <f t="shared" ref="S100:S108" si="6">T100+U100</f>
        <v>118841.12</v>
      </c>
      <c r="T100" s="65">
        <v>118841.12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3</v>
      </c>
      <c r="J101" s="130">
        <v>3</v>
      </c>
      <c r="K101" s="114">
        <v>3151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6</v>
      </c>
      <c r="I102" s="62">
        <v>3</v>
      </c>
      <c r="J102" s="62">
        <v>4</v>
      </c>
      <c r="K102" s="30">
        <v>8733.91</v>
      </c>
      <c r="L102" s="205">
        <v>4</v>
      </c>
      <c r="M102" s="26">
        <f t="shared" ref="M102:M108" si="7">N102+O102</f>
        <v>8733.91</v>
      </c>
      <c r="N102" s="30">
        <v>8733.91</v>
      </c>
      <c r="O102" s="31"/>
      <c r="P102" s="53">
        <v>10</v>
      </c>
      <c r="Q102" s="30">
        <v>63373.52</v>
      </c>
      <c r="R102" s="205">
        <v>10</v>
      </c>
      <c r="S102" s="26">
        <f t="shared" si="6"/>
        <v>63373.52</v>
      </c>
      <c r="T102" s="30">
        <v>63373.52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3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38"/>
      <c r="J105" s="38"/>
      <c r="K105" s="39"/>
      <c r="L105" s="40"/>
      <c r="M105" s="39">
        <f t="shared" si="7"/>
        <v>0</v>
      </c>
      <c r="N105" s="39"/>
      <c r="O105" s="41"/>
      <c r="P105" s="59"/>
      <c r="Q105" s="39"/>
      <c r="R105" s="40"/>
      <c r="S105" s="39">
        <f t="shared" si="6"/>
        <v>0</v>
      </c>
      <c r="T105" s="39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85</v>
      </c>
      <c r="C106" s="374" t="s">
        <v>22</v>
      </c>
      <c r="D106" s="374"/>
      <c r="E106" s="374" t="s">
        <v>27</v>
      </c>
      <c r="F106" s="204" t="s">
        <v>501</v>
      </c>
      <c r="G106" s="176" t="s">
        <v>24</v>
      </c>
      <c r="H106" s="48"/>
      <c r="I106" s="266"/>
      <c r="J106" s="266"/>
      <c r="K106" s="79"/>
      <c r="L106" s="268"/>
      <c r="M106" s="361">
        <f t="shared" si="7"/>
        <v>0</v>
      </c>
      <c r="N106" s="79"/>
      <c r="O106" s="82"/>
      <c r="P106" s="267">
        <v>1</v>
      </c>
      <c r="Q106" s="79">
        <v>37459.5</v>
      </c>
      <c r="R106" s="268">
        <v>1</v>
      </c>
      <c r="S106" s="361">
        <f t="shared" si="6"/>
        <v>37459.5</v>
      </c>
      <c r="T106" s="79">
        <v>37459.5</v>
      </c>
      <c r="U106" s="336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305"/>
      <c r="G107" s="229" t="s">
        <v>28</v>
      </c>
      <c r="H107" s="353"/>
      <c r="I107" s="231"/>
      <c r="J107" s="231"/>
      <c r="K107" s="91"/>
      <c r="L107" s="330"/>
      <c r="M107" s="43">
        <f t="shared" si="7"/>
        <v>0</v>
      </c>
      <c r="N107" s="91"/>
      <c r="O107" s="89"/>
      <c r="P107" s="329"/>
      <c r="Q107" s="91"/>
      <c r="R107" s="330"/>
      <c r="S107" s="43">
        <f t="shared" si="6"/>
        <v>0</v>
      </c>
      <c r="T107" s="91"/>
      <c r="U107" s="342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94</v>
      </c>
      <c r="C108" s="374" t="s">
        <v>39</v>
      </c>
      <c r="D108" s="374" t="s">
        <v>95</v>
      </c>
      <c r="E108" s="374" t="s">
        <v>96</v>
      </c>
      <c r="F108" s="204" t="s">
        <v>292</v>
      </c>
      <c r="G108" s="176" t="s">
        <v>24</v>
      </c>
      <c r="H108" s="265">
        <v>8</v>
      </c>
      <c r="I108" s="62">
        <v>6</v>
      </c>
      <c r="J108" s="62">
        <v>8</v>
      </c>
      <c r="K108" s="30">
        <v>20920.14</v>
      </c>
      <c r="L108" s="205">
        <v>8</v>
      </c>
      <c r="M108" s="26">
        <f t="shared" si="7"/>
        <v>20920.14</v>
      </c>
      <c r="N108" s="30">
        <v>20920.14</v>
      </c>
      <c r="O108" s="219"/>
      <c r="P108" s="53">
        <v>28</v>
      </c>
      <c r="Q108" s="30">
        <v>97450.12</v>
      </c>
      <c r="R108" s="205">
        <v>28</v>
      </c>
      <c r="S108" s="26">
        <f t="shared" si="6"/>
        <v>97450.12</v>
      </c>
      <c r="T108" s="30">
        <v>97450.12</v>
      </c>
      <c r="U108" s="269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293</v>
      </c>
      <c r="G109" s="307" t="s">
        <v>25</v>
      </c>
      <c r="H109" s="112">
        <v>10</v>
      </c>
      <c r="I109" s="130">
        <v>8</v>
      </c>
      <c r="J109" s="130">
        <v>8</v>
      </c>
      <c r="K109" s="114">
        <v>10899.4</v>
      </c>
      <c r="L109" s="270">
        <v>8</v>
      </c>
      <c r="M109" s="114">
        <v>10899.4</v>
      </c>
      <c r="N109" s="114">
        <v>10899.4</v>
      </c>
      <c r="O109" s="234"/>
      <c r="P109" s="113">
        <v>10</v>
      </c>
      <c r="Q109" s="114">
        <v>23220.94</v>
      </c>
      <c r="R109" s="270">
        <v>10</v>
      </c>
      <c r="S109" s="114">
        <v>23220.94</v>
      </c>
      <c r="T109" s="114">
        <v>23220.94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97</v>
      </c>
      <c r="C110" s="374" t="s">
        <v>22</v>
      </c>
      <c r="D110" s="374"/>
      <c r="E110" s="374" t="s">
        <v>27</v>
      </c>
      <c r="F110" s="232" t="s">
        <v>406</v>
      </c>
      <c r="G110" s="176" t="s">
        <v>24</v>
      </c>
      <c r="H110" s="248">
        <v>9</v>
      </c>
      <c r="I110" s="62">
        <v>7</v>
      </c>
      <c r="J110" s="62">
        <v>7</v>
      </c>
      <c r="K110" s="30">
        <v>6110.93</v>
      </c>
      <c r="L110" s="205">
        <v>7</v>
      </c>
      <c r="M110" s="26">
        <f t="shared" ref="M110:M125" si="8">N110+O110</f>
        <v>6110.93</v>
      </c>
      <c r="N110" s="30">
        <v>6110.93</v>
      </c>
      <c r="O110" s="225"/>
      <c r="P110" s="53">
        <v>7</v>
      </c>
      <c r="Q110" s="30">
        <v>12035.94</v>
      </c>
      <c r="R110" s="205">
        <v>7</v>
      </c>
      <c r="S110" s="26">
        <f t="shared" ref="S110:S143" si="9">T110+U110</f>
        <v>12035.94</v>
      </c>
      <c r="T110" s="30">
        <v>12035.94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294</v>
      </c>
      <c r="G111" s="229" t="s">
        <v>28</v>
      </c>
      <c r="H111" s="251">
        <v>7</v>
      </c>
      <c r="I111" s="208">
        <v>4</v>
      </c>
      <c r="J111" s="208">
        <v>4</v>
      </c>
      <c r="K111" s="209">
        <v>5955.1</v>
      </c>
      <c r="L111" s="290">
        <v>4</v>
      </c>
      <c r="M111" s="211">
        <f t="shared" si="8"/>
        <v>5955.0999999999995</v>
      </c>
      <c r="N111" s="209">
        <f>1344.7+3265.7+1344.7</f>
        <v>5955.0999999999995</v>
      </c>
      <c r="O111" s="212"/>
      <c r="P111" s="103"/>
      <c r="Q111" s="43"/>
      <c r="R111" s="270">
        <v>1</v>
      </c>
      <c r="S111" s="43">
        <f t="shared" si="9"/>
        <v>2209.15</v>
      </c>
      <c r="T111" s="114">
        <v>2209.15</v>
      </c>
      <c r="U111" s="23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6"/>
      <c r="B112" s="377" t="s">
        <v>98</v>
      </c>
      <c r="C112" s="377" t="s">
        <v>39</v>
      </c>
      <c r="D112" s="377" t="s">
        <v>270</v>
      </c>
      <c r="E112" s="377" t="s">
        <v>99</v>
      </c>
      <c r="F112" s="232" t="s">
        <v>271</v>
      </c>
      <c r="G112" s="73" t="s">
        <v>24</v>
      </c>
      <c r="H112" s="24">
        <v>17</v>
      </c>
      <c r="I112" s="62">
        <v>10</v>
      </c>
      <c r="J112" s="62">
        <v>16</v>
      </c>
      <c r="K112" s="30">
        <v>29995.7</v>
      </c>
      <c r="L112" s="205">
        <v>16</v>
      </c>
      <c r="M112" s="26">
        <f t="shared" si="8"/>
        <v>29995.7</v>
      </c>
      <c r="N112" s="30">
        <v>29995.7</v>
      </c>
      <c r="O112" s="241"/>
      <c r="P112" s="214">
        <v>14</v>
      </c>
      <c r="Q112" s="30">
        <v>75827.070000000007</v>
      </c>
      <c r="R112" s="205">
        <v>14</v>
      </c>
      <c r="S112" s="26">
        <f t="shared" si="9"/>
        <v>75827.070000000007</v>
      </c>
      <c r="T112" s="30">
        <v>75827.070000000007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295</v>
      </c>
      <c r="G113" s="215" t="s">
        <v>28</v>
      </c>
      <c r="H113" s="66">
        <v>11</v>
      </c>
      <c r="I113" s="286">
        <v>7</v>
      </c>
      <c r="J113" s="286">
        <v>7</v>
      </c>
      <c r="K113" s="287">
        <v>21767.4</v>
      </c>
      <c r="L113" s="315">
        <v>7</v>
      </c>
      <c r="M113" s="39">
        <f t="shared" si="8"/>
        <v>21767.4</v>
      </c>
      <c r="N113" s="39">
        <f>1921+3073.6+1921+3010.5+1404.9+2408.4+8028</f>
        <v>21767.4</v>
      </c>
      <c r="O113" s="41"/>
      <c r="P113" s="217">
        <v>4</v>
      </c>
      <c r="Q113" s="37">
        <v>19940.650000000001</v>
      </c>
      <c r="R113" s="285">
        <v>4</v>
      </c>
      <c r="S113" s="39">
        <f t="shared" si="9"/>
        <v>21093.25</v>
      </c>
      <c r="T113" s="68">
        <f>1056.55+3457.8+4226.2+12352.7</f>
        <v>21093.25</v>
      </c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100</v>
      </c>
      <c r="C114" s="374" t="s">
        <v>39</v>
      </c>
      <c r="D114" s="381" t="s">
        <v>296</v>
      </c>
      <c r="E114" s="381" t="s">
        <v>27</v>
      </c>
      <c r="F114" s="223" t="s">
        <v>297</v>
      </c>
      <c r="G114" s="47" t="s">
        <v>24</v>
      </c>
      <c r="H114" s="218"/>
      <c r="I114" s="96"/>
      <c r="J114" s="96"/>
      <c r="K114" s="81"/>
      <c r="L114" s="80"/>
      <c r="M114" s="81">
        <f t="shared" si="8"/>
        <v>0</v>
      </c>
      <c r="N114" s="81"/>
      <c r="O114" s="219"/>
      <c r="P114" s="108">
        <v>4</v>
      </c>
      <c r="Q114" s="65">
        <v>17684.7</v>
      </c>
      <c r="R114" s="224">
        <v>4</v>
      </c>
      <c r="S114" s="50">
        <f t="shared" si="9"/>
        <v>17684.7</v>
      </c>
      <c r="T114" s="65">
        <v>17684.7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220" t="s">
        <v>298</v>
      </c>
      <c r="G115" s="35" t="s">
        <v>28</v>
      </c>
      <c r="H115" s="133">
        <v>5</v>
      </c>
      <c r="I115" s="37">
        <v>1</v>
      </c>
      <c r="J115" s="37">
        <v>1</v>
      </c>
      <c r="K115" s="68">
        <v>864.45</v>
      </c>
      <c r="L115" s="285">
        <v>1</v>
      </c>
      <c r="M115" s="39">
        <f t="shared" si="8"/>
        <v>864.15</v>
      </c>
      <c r="N115" s="39">
        <f>864.15</f>
        <v>864.15</v>
      </c>
      <c r="O115" s="41"/>
      <c r="P115" s="115">
        <v>1</v>
      </c>
      <c r="Q115" s="68">
        <v>1152.5999999999999</v>
      </c>
      <c r="R115" s="40"/>
      <c r="S115" s="39">
        <f t="shared" si="9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102</v>
      </c>
      <c r="C116" s="381" t="s">
        <v>22</v>
      </c>
      <c r="D116" s="381"/>
      <c r="E116" s="381" t="s">
        <v>67</v>
      </c>
      <c r="F116" s="223" t="s">
        <v>272</v>
      </c>
      <c r="G116" s="23" t="s">
        <v>24</v>
      </c>
      <c r="H116" s="48">
        <v>15</v>
      </c>
      <c r="I116" s="203">
        <v>12</v>
      </c>
      <c r="J116" s="203">
        <v>13</v>
      </c>
      <c r="K116" s="65">
        <v>23143.51</v>
      </c>
      <c r="L116" s="224">
        <v>13</v>
      </c>
      <c r="M116" s="50">
        <f t="shared" si="8"/>
        <v>23143.51</v>
      </c>
      <c r="N116" s="65">
        <v>23143.51</v>
      </c>
      <c r="O116" s="225"/>
      <c r="P116" s="108">
        <v>12</v>
      </c>
      <c r="Q116" s="65">
        <v>49261.74</v>
      </c>
      <c r="R116" s="224">
        <v>12</v>
      </c>
      <c r="S116" s="50">
        <f t="shared" si="9"/>
        <v>49261.74</v>
      </c>
      <c r="T116" s="65">
        <v>49261.74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9"/>
      <c r="B117" s="380"/>
      <c r="C117" s="380"/>
      <c r="D117" s="380"/>
      <c r="E117" s="380"/>
      <c r="F117" s="220" t="s">
        <v>299</v>
      </c>
      <c r="G117" s="55" t="s">
        <v>28</v>
      </c>
      <c r="H117" s="153">
        <v>10</v>
      </c>
      <c r="I117" s="130">
        <v>6</v>
      </c>
      <c r="J117" s="130">
        <v>6</v>
      </c>
      <c r="K117" s="114">
        <v>13482.3</v>
      </c>
      <c r="L117" s="316">
        <v>6</v>
      </c>
      <c r="M117" s="50">
        <f t="shared" si="8"/>
        <v>5770.3</v>
      </c>
      <c r="N117" s="43">
        <f>1290.6+1152.6+1290.6+694.3+602.1+740.1</f>
        <v>5770.3</v>
      </c>
      <c r="O117" s="41"/>
      <c r="P117" s="113">
        <v>3</v>
      </c>
      <c r="Q117" s="114">
        <v>14347.1</v>
      </c>
      <c r="R117" s="270">
        <v>4</v>
      </c>
      <c r="S117" s="43">
        <f t="shared" si="9"/>
        <v>19149.900000000001</v>
      </c>
      <c r="T117" s="114">
        <f>4358.2+3649.9+4802.5+6339.3</f>
        <v>19149.900000000001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103</v>
      </c>
      <c r="C118" s="374" t="s">
        <v>22</v>
      </c>
      <c r="D118" s="374"/>
      <c r="E118" s="374" t="s">
        <v>67</v>
      </c>
      <c r="F118" s="232" t="s">
        <v>407</v>
      </c>
      <c r="G118" s="23" t="s">
        <v>24</v>
      </c>
      <c r="H118" s="48">
        <v>8</v>
      </c>
      <c r="I118" s="62">
        <v>4</v>
      </c>
      <c r="J118" s="62">
        <v>5</v>
      </c>
      <c r="K118" s="30">
        <v>8528</v>
      </c>
      <c r="L118" s="205">
        <v>5</v>
      </c>
      <c r="M118" s="26">
        <f t="shared" si="8"/>
        <v>8528</v>
      </c>
      <c r="N118" s="30">
        <v>8528</v>
      </c>
      <c r="O118" s="225"/>
      <c r="P118" s="53">
        <v>6</v>
      </c>
      <c r="Q118" s="30">
        <v>12782.06</v>
      </c>
      <c r="R118" s="205">
        <v>6</v>
      </c>
      <c r="S118" s="26">
        <f t="shared" si="9"/>
        <v>12782.06</v>
      </c>
      <c r="T118" s="30">
        <v>12782.06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220" t="s">
        <v>300</v>
      </c>
      <c r="G119" s="35" t="s">
        <v>28</v>
      </c>
      <c r="H119" s="133">
        <v>7</v>
      </c>
      <c r="I119" s="37">
        <v>7</v>
      </c>
      <c r="J119" s="37">
        <v>8</v>
      </c>
      <c r="K119" s="68">
        <v>18950.099999999999</v>
      </c>
      <c r="L119" s="285">
        <v>6</v>
      </c>
      <c r="M119" s="39">
        <f t="shared" si="8"/>
        <v>17111.8</v>
      </c>
      <c r="N119" s="39">
        <f>1580.8+3353.7+4415.4+1404.9+762.1+5594.9</f>
        <v>17111.8</v>
      </c>
      <c r="O119" s="41"/>
      <c r="P119" s="115">
        <v>3</v>
      </c>
      <c r="Q119" s="68">
        <v>4092.9</v>
      </c>
      <c r="R119" s="285">
        <v>3</v>
      </c>
      <c r="S119" s="39">
        <f t="shared" si="9"/>
        <v>8836.6</v>
      </c>
      <c r="T119" s="39">
        <f>5378.8+1344.7+2113.1</f>
        <v>8836.6</v>
      </c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104</v>
      </c>
      <c r="C120" s="374" t="s">
        <v>39</v>
      </c>
      <c r="D120" s="374" t="s">
        <v>301</v>
      </c>
      <c r="E120" s="374" t="s">
        <v>27</v>
      </c>
      <c r="F120" s="204" t="s">
        <v>302</v>
      </c>
      <c r="G120" s="176" t="s">
        <v>24</v>
      </c>
      <c r="H120" s="48">
        <v>25</v>
      </c>
      <c r="I120" s="203">
        <v>19</v>
      </c>
      <c r="J120" s="203">
        <v>23</v>
      </c>
      <c r="K120" s="65">
        <v>56337.54</v>
      </c>
      <c r="L120" s="224">
        <v>23</v>
      </c>
      <c r="M120" s="50">
        <f t="shared" si="8"/>
        <v>56337.54</v>
      </c>
      <c r="N120" s="65">
        <v>56337.54</v>
      </c>
      <c r="O120" s="225"/>
      <c r="P120" s="108">
        <v>23</v>
      </c>
      <c r="Q120" s="65">
        <v>105066.33</v>
      </c>
      <c r="R120" s="224">
        <v>22</v>
      </c>
      <c r="S120" s="50">
        <f t="shared" si="9"/>
        <v>103740.81</v>
      </c>
      <c r="T120" s="65">
        <v>103740.81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229" t="s">
        <v>28</v>
      </c>
      <c r="H121" s="116"/>
      <c r="I121" s="57"/>
      <c r="J121" s="57"/>
      <c r="K121" s="43"/>
      <c r="L121" s="44"/>
      <c r="M121" s="43">
        <f t="shared" si="8"/>
        <v>0</v>
      </c>
      <c r="N121" s="43"/>
      <c r="O121" s="41"/>
      <c r="P121" s="113">
        <v>1</v>
      </c>
      <c r="Q121" s="114">
        <v>1545.39</v>
      </c>
      <c r="R121" s="44"/>
      <c r="S121" s="43">
        <f t="shared" si="9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106</v>
      </c>
      <c r="C122" s="377" t="s">
        <v>39</v>
      </c>
      <c r="D122" s="374" t="s">
        <v>107</v>
      </c>
      <c r="E122" s="374" t="s">
        <v>27</v>
      </c>
      <c r="F122" s="232" t="s">
        <v>366</v>
      </c>
      <c r="G122" s="23" t="s">
        <v>24</v>
      </c>
      <c r="H122" s="48">
        <v>10</v>
      </c>
      <c r="I122" s="62">
        <v>9</v>
      </c>
      <c r="J122" s="62">
        <v>9</v>
      </c>
      <c r="K122" s="30">
        <v>7593.07</v>
      </c>
      <c r="L122" s="205">
        <v>9</v>
      </c>
      <c r="M122" s="26">
        <f t="shared" si="8"/>
        <v>7593.07</v>
      </c>
      <c r="N122" s="30">
        <v>7593.07</v>
      </c>
      <c r="O122" s="31"/>
      <c r="P122" s="53">
        <v>12</v>
      </c>
      <c r="Q122" s="30">
        <v>83574.48</v>
      </c>
      <c r="R122" s="205">
        <v>12</v>
      </c>
      <c r="S122" s="26">
        <f t="shared" si="9"/>
        <v>83574.48</v>
      </c>
      <c r="T122" s="30">
        <v>83574.48</v>
      </c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233</v>
      </c>
      <c r="G123" s="227" t="s">
        <v>28</v>
      </c>
      <c r="H123" s="153">
        <v>6</v>
      </c>
      <c r="I123" s="130">
        <v>5</v>
      </c>
      <c r="J123" s="130">
        <v>5</v>
      </c>
      <c r="K123" s="114">
        <v>1535.36</v>
      </c>
      <c r="L123" s="270">
        <v>1</v>
      </c>
      <c r="M123" s="43">
        <f t="shared" si="8"/>
        <v>576.29999999999995</v>
      </c>
      <c r="N123" s="43">
        <f>576.3</f>
        <v>576.29999999999995</v>
      </c>
      <c r="O123" s="41"/>
      <c r="P123" s="113">
        <v>5</v>
      </c>
      <c r="Q123" s="114">
        <v>5892</v>
      </c>
      <c r="R123" s="270">
        <v>2</v>
      </c>
      <c r="S123" s="43">
        <f t="shared" si="9"/>
        <v>2881.5</v>
      </c>
      <c r="T123" s="57">
        <f>576.3+2305.2</f>
        <v>2881.5</v>
      </c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108</v>
      </c>
      <c r="C124" s="374" t="s">
        <v>46</v>
      </c>
      <c r="D124" s="374" t="s">
        <v>109</v>
      </c>
      <c r="E124" s="374" t="s">
        <v>27</v>
      </c>
      <c r="F124" s="204" t="s">
        <v>273</v>
      </c>
      <c r="G124" s="176" t="s">
        <v>24</v>
      </c>
      <c r="H124" s="151">
        <v>18</v>
      </c>
      <c r="I124" s="62">
        <v>14</v>
      </c>
      <c r="J124" s="62">
        <v>14</v>
      </c>
      <c r="K124" s="30">
        <v>12003.49</v>
      </c>
      <c r="L124" s="205">
        <v>14</v>
      </c>
      <c r="M124" s="26">
        <f t="shared" si="8"/>
        <v>12003.49</v>
      </c>
      <c r="N124" s="30">
        <v>12003.49</v>
      </c>
      <c r="O124" s="31"/>
      <c r="P124" s="53">
        <v>9</v>
      </c>
      <c r="Q124" s="30">
        <v>34430.15</v>
      </c>
      <c r="R124" s="205">
        <v>9</v>
      </c>
      <c r="S124" s="26">
        <f t="shared" si="9"/>
        <v>34430.15</v>
      </c>
      <c r="T124" s="30">
        <v>34430.15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87"/>
      <c r="B125" s="386"/>
      <c r="C125" s="386"/>
      <c r="D125" s="386"/>
      <c r="E125" s="386"/>
      <c r="F125" s="235" t="s">
        <v>234</v>
      </c>
      <c r="G125" s="252" t="s">
        <v>28</v>
      </c>
      <c r="H125" s="48">
        <v>8</v>
      </c>
      <c r="I125" s="246">
        <v>4</v>
      </c>
      <c r="J125" s="246">
        <v>4</v>
      </c>
      <c r="K125" s="158">
        <v>3561</v>
      </c>
      <c r="L125" s="317">
        <v>2</v>
      </c>
      <c r="M125" s="142">
        <f t="shared" si="8"/>
        <v>2583.3000000000002</v>
      </c>
      <c r="N125" s="142">
        <f>576.3+2007</f>
        <v>2583.3000000000002</v>
      </c>
      <c r="O125" s="45"/>
      <c r="P125" s="157">
        <v>8</v>
      </c>
      <c r="Q125" s="158">
        <v>15445.86</v>
      </c>
      <c r="R125" s="317">
        <v>5</v>
      </c>
      <c r="S125" s="142">
        <f t="shared" si="9"/>
        <v>13044.61</v>
      </c>
      <c r="T125" s="142">
        <f>288.15+576.3+5648.76+3649.9+2881.5</f>
        <v>13044.61</v>
      </c>
      <c r="U125" s="4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3"/>
      <c r="B126" s="375"/>
      <c r="C126" s="375"/>
      <c r="D126" s="375"/>
      <c r="E126" s="375"/>
      <c r="F126" s="359" t="s">
        <v>490</v>
      </c>
      <c r="G126" s="253" t="s">
        <v>25</v>
      </c>
      <c r="H126" s="306">
        <v>1</v>
      </c>
      <c r="I126" s="37">
        <v>1</v>
      </c>
      <c r="J126" s="37">
        <v>1</v>
      </c>
      <c r="K126" s="68">
        <v>2881.5</v>
      </c>
      <c r="L126" s="285">
        <v>1</v>
      </c>
      <c r="M126" s="68">
        <v>2881.5</v>
      </c>
      <c r="N126" s="68">
        <v>2881.5</v>
      </c>
      <c r="O126" s="41"/>
      <c r="P126" s="59"/>
      <c r="Q126" s="39"/>
      <c r="R126" s="40"/>
      <c r="S126" s="39">
        <f t="shared" si="9"/>
        <v>0</v>
      </c>
      <c r="T126" s="39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6"/>
      <c r="B127" s="377" t="s">
        <v>110</v>
      </c>
      <c r="C127" s="377" t="s">
        <v>22</v>
      </c>
      <c r="D127" s="377"/>
      <c r="E127" s="377" t="s">
        <v>67</v>
      </c>
      <c r="F127" s="232" t="s">
        <v>274</v>
      </c>
      <c r="G127" s="23" t="s">
        <v>24</v>
      </c>
      <c r="H127" s="48">
        <v>5</v>
      </c>
      <c r="I127" s="203">
        <v>4</v>
      </c>
      <c r="J127" s="203">
        <v>6</v>
      </c>
      <c r="K127" s="65">
        <v>7512.06</v>
      </c>
      <c r="L127" s="224">
        <v>6</v>
      </c>
      <c r="M127" s="50">
        <f t="shared" ref="M127:M143" si="10">N127+O127</f>
        <v>7512.06</v>
      </c>
      <c r="N127" s="65">
        <v>7512.06</v>
      </c>
      <c r="O127" s="31"/>
      <c r="P127" s="108">
        <v>9</v>
      </c>
      <c r="Q127" s="65">
        <v>40341.25</v>
      </c>
      <c r="R127" s="224">
        <v>9</v>
      </c>
      <c r="S127" s="50">
        <f t="shared" si="9"/>
        <v>40341.25</v>
      </c>
      <c r="T127" s="65">
        <v>40341.25</v>
      </c>
      <c r="U127" s="22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34"/>
      <c r="G128" s="55" t="s">
        <v>28</v>
      </c>
      <c r="H128" s="116"/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111</v>
      </c>
      <c r="C129" s="374" t="s">
        <v>39</v>
      </c>
      <c r="D129" s="374" t="s">
        <v>435</v>
      </c>
      <c r="E129" s="374" t="s">
        <v>112</v>
      </c>
      <c r="F129" s="232" t="s">
        <v>436</v>
      </c>
      <c r="G129" s="23" t="s">
        <v>24</v>
      </c>
      <c r="H129" s="48">
        <v>14</v>
      </c>
      <c r="I129" s="62">
        <v>12</v>
      </c>
      <c r="J129" s="62">
        <v>17</v>
      </c>
      <c r="K129" s="30">
        <v>41780.9</v>
      </c>
      <c r="L129" s="205">
        <v>17</v>
      </c>
      <c r="M129" s="26">
        <f t="shared" si="10"/>
        <v>41780.9</v>
      </c>
      <c r="N129" s="30">
        <v>41780.9</v>
      </c>
      <c r="O129" s="31"/>
      <c r="P129" s="53">
        <v>5</v>
      </c>
      <c r="Q129" s="30">
        <v>19946.89</v>
      </c>
      <c r="R129" s="205">
        <v>5</v>
      </c>
      <c r="S129" s="26">
        <f t="shared" si="9"/>
        <v>19946.89</v>
      </c>
      <c r="T129" s="30">
        <v>19946.89</v>
      </c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9"/>
      <c r="B130" s="380"/>
      <c r="C130" s="380"/>
      <c r="D130" s="380"/>
      <c r="E130" s="380"/>
      <c r="F130" s="233" t="s">
        <v>235</v>
      </c>
      <c r="G130" s="227" t="s">
        <v>28</v>
      </c>
      <c r="H130" s="133">
        <v>1</v>
      </c>
      <c r="I130" s="57"/>
      <c r="J130" s="57"/>
      <c r="K130" s="43"/>
      <c r="L130" s="44"/>
      <c r="M130" s="43">
        <f t="shared" si="10"/>
        <v>0</v>
      </c>
      <c r="N130" s="43"/>
      <c r="O130" s="41"/>
      <c r="P130" s="103"/>
      <c r="Q130" s="43"/>
      <c r="R130" s="44"/>
      <c r="S130" s="43">
        <f t="shared" si="9"/>
        <v>0</v>
      </c>
      <c r="T130" s="43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113</v>
      </c>
      <c r="C131" s="374" t="s">
        <v>39</v>
      </c>
      <c r="D131" s="374" t="s">
        <v>114</v>
      </c>
      <c r="E131" s="374" t="s">
        <v>27</v>
      </c>
      <c r="F131" s="204" t="s">
        <v>305</v>
      </c>
      <c r="G131" s="176" t="s">
        <v>24</v>
      </c>
      <c r="H131" s="48">
        <v>21</v>
      </c>
      <c r="I131" s="62">
        <v>21</v>
      </c>
      <c r="J131" s="62">
        <v>29</v>
      </c>
      <c r="K131" s="30">
        <v>70031.350000000006</v>
      </c>
      <c r="L131" s="205">
        <v>26</v>
      </c>
      <c r="M131" s="26">
        <f t="shared" si="10"/>
        <v>66481.97</v>
      </c>
      <c r="N131" s="30">
        <v>66481.97</v>
      </c>
      <c r="O131" s="225"/>
      <c r="P131" s="53">
        <v>11</v>
      </c>
      <c r="Q131" s="30">
        <v>31033.06</v>
      </c>
      <c r="R131" s="205">
        <v>11</v>
      </c>
      <c r="S131" s="26">
        <f t="shared" si="9"/>
        <v>31033.06</v>
      </c>
      <c r="T131" s="30">
        <v>31033.06</v>
      </c>
      <c r="U131" s="22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0" t="s">
        <v>306</v>
      </c>
      <c r="G132" s="229" t="s">
        <v>28</v>
      </c>
      <c r="H132" s="56">
        <v>6</v>
      </c>
      <c r="I132" s="130">
        <v>3</v>
      </c>
      <c r="J132" s="130">
        <v>3</v>
      </c>
      <c r="K132" s="114">
        <v>4816.8</v>
      </c>
      <c r="L132" s="270">
        <v>3</v>
      </c>
      <c r="M132" s="43">
        <f t="shared" si="10"/>
        <v>4905.7000000000007</v>
      </c>
      <c r="N132" s="43">
        <f>1152.6+1344.7+2408.4</f>
        <v>4905.7000000000007</v>
      </c>
      <c r="O132" s="45"/>
      <c r="P132" s="113">
        <v>2</v>
      </c>
      <c r="Q132" s="114">
        <v>5186.7</v>
      </c>
      <c r="R132" s="270">
        <v>2</v>
      </c>
      <c r="S132" s="43">
        <f t="shared" si="9"/>
        <v>5186.7</v>
      </c>
      <c r="T132" s="43">
        <f>5186.7</f>
        <v>5186.7</v>
      </c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2"/>
      <c r="B133" s="374" t="s">
        <v>115</v>
      </c>
      <c r="C133" s="374" t="s">
        <v>22</v>
      </c>
      <c r="D133" s="374"/>
      <c r="E133" s="374" t="s">
        <v>27</v>
      </c>
      <c r="F133" s="22"/>
      <c r="G133" s="23" t="s">
        <v>24</v>
      </c>
      <c r="H133" s="104"/>
      <c r="I133" s="25"/>
      <c r="J133" s="25"/>
      <c r="K133" s="26"/>
      <c r="L133" s="148"/>
      <c r="M133" s="149">
        <f t="shared" si="10"/>
        <v>0</v>
      </c>
      <c r="N133" s="26"/>
      <c r="O133" s="100"/>
      <c r="P133" s="120"/>
      <c r="Q133" s="26"/>
      <c r="R133" s="27"/>
      <c r="S133" s="26">
        <f t="shared" si="9"/>
        <v>0</v>
      </c>
      <c r="T133" s="26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06"/>
      <c r="I134" s="38"/>
      <c r="J134" s="38"/>
      <c r="K134" s="39"/>
      <c r="L134" s="40"/>
      <c r="M134" s="39">
        <f t="shared" si="10"/>
        <v>0</v>
      </c>
      <c r="N134" s="39"/>
      <c r="O134" s="41"/>
      <c r="P134" s="69"/>
      <c r="Q134" s="39"/>
      <c r="R134" s="40"/>
      <c r="S134" s="39">
        <f t="shared" si="9"/>
        <v>0</v>
      </c>
      <c r="T134" s="39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116</v>
      </c>
      <c r="C135" s="381" t="s">
        <v>22</v>
      </c>
      <c r="D135" s="381"/>
      <c r="E135" s="381" t="s">
        <v>27</v>
      </c>
      <c r="F135" s="223" t="s">
        <v>307</v>
      </c>
      <c r="G135" s="47" t="s">
        <v>24</v>
      </c>
      <c r="H135" s="61">
        <v>9</v>
      </c>
      <c r="I135" s="62">
        <v>7</v>
      </c>
      <c r="J135" s="62">
        <v>11</v>
      </c>
      <c r="K135" s="30">
        <v>19669.79</v>
      </c>
      <c r="L135" s="205">
        <v>11</v>
      </c>
      <c r="M135" s="26">
        <f t="shared" si="10"/>
        <v>19669.79</v>
      </c>
      <c r="N135" s="30">
        <v>19669.79</v>
      </c>
      <c r="O135" s="243"/>
      <c r="P135" s="64">
        <v>4</v>
      </c>
      <c r="Q135" s="65">
        <v>10597.93</v>
      </c>
      <c r="R135" s="224">
        <v>4</v>
      </c>
      <c r="S135" s="50">
        <f t="shared" si="9"/>
        <v>10597.93</v>
      </c>
      <c r="T135" s="65">
        <v>10597.93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35" t="s">
        <v>28</v>
      </c>
      <c r="H136" s="133">
        <v>7</v>
      </c>
      <c r="I136" s="38"/>
      <c r="J136" s="38"/>
      <c r="K136" s="39"/>
      <c r="L136" s="40"/>
      <c r="M136" s="39">
        <f t="shared" si="10"/>
        <v>0</v>
      </c>
      <c r="N136" s="39"/>
      <c r="O136" s="41"/>
      <c r="P136" s="67">
        <v>1</v>
      </c>
      <c r="Q136" s="68">
        <v>2305.1999999999998</v>
      </c>
      <c r="R136" s="285">
        <v>1</v>
      </c>
      <c r="S136" s="39">
        <f t="shared" si="9"/>
        <v>2305.1999999999998</v>
      </c>
      <c r="T136" s="39">
        <f>2305.2</f>
        <v>2305.1999999999998</v>
      </c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82"/>
      <c r="B137" s="381" t="s">
        <v>117</v>
      </c>
      <c r="C137" s="381" t="s">
        <v>22</v>
      </c>
      <c r="D137" s="381"/>
      <c r="E137" s="381" t="s">
        <v>67</v>
      </c>
      <c r="F137" s="223" t="s">
        <v>308</v>
      </c>
      <c r="G137" s="23" t="s">
        <v>24</v>
      </c>
      <c r="H137" s="48">
        <v>24</v>
      </c>
      <c r="I137" s="203">
        <v>19</v>
      </c>
      <c r="J137" s="203">
        <v>31</v>
      </c>
      <c r="K137" s="65">
        <v>81209.14</v>
      </c>
      <c r="L137" s="224">
        <v>28</v>
      </c>
      <c r="M137" s="50">
        <f t="shared" si="10"/>
        <v>74086.789999999994</v>
      </c>
      <c r="N137" s="65">
        <v>74086.789999999994</v>
      </c>
      <c r="O137" s="225"/>
      <c r="P137" s="108">
        <v>34</v>
      </c>
      <c r="Q137" s="65">
        <v>126059.69</v>
      </c>
      <c r="R137" s="224">
        <v>32</v>
      </c>
      <c r="S137" s="50">
        <f t="shared" si="9"/>
        <v>119894.49</v>
      </c>
      <c r="T137" s="65">
        <v>119894.49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9"/>
      <c r="B138" s="380"/>
      <c r="C138" s="380"/>
      <c r="D138" s="380"/>
      <c r="E138" s="380"/>
      <c r="F138" s="226"/>
      <c r="G138" s="227" t="s">
        <v>28</v>
      </c>
      <c r="H138" s="116"/>
      <c r="I138" s="57"/>
      <c r="J138" s="57"/>
      <c r="K138" s="43"/>
      <c r="L138" s="44"/>
      <c r="M138" s="43">
        <f t="shared" si="10"/>
        <v>0</v>
      </c>
      <c r="N138" s="43"/>
      <c r="O138" s="41"/>
      <c r="P138" s="103"/>
      <c r="Q138" s="43"/>
      <c r="R138" s="44"/>
      <c r="S138" s="43">
        <f t="shared" si="9"/>
        <v>0</v>
      </c>
      <c r="T138" s="43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118</v>
      </c>
      <c r="C139" s="374" t="s">
        <v>39</v>
      </c>
      <c r="D139" s="374" t="s">
        <v>309</v>
      </c>
      <c r="E139" s="374" t="s">
        <v>27</v>
      </c>
      <c r="F139" s="204" t="s">
        <v>310</v>
      </c>
      <c r="G139" s="176" t="s">
        <v>24</v>
      </c>
      <c r="H139" s="151">
        <v>20</v>
      </c>
      <c r="I139" s="62">
        <v>11</v>
      </c>
      <c r="J139" s="62">
        <v>15</v>
      </c>
      <c r="K139" s="30">
        <v>27166.73</v>
      </c>
      <c r="L139" s="205">
        <v>11</v>
      </c>
      <c r="M139" s="26">
        <f t="shared" si="10"/>
        <v>21795.34</v>
      </c>
      <c r="N139" s="30">
        <v>21795.34</v>
      </c>
      <c r="O139" s="31"/>
      <c r="P139" s="53">
        <v>13</v>
      </c>
      <c r="Q139" s="30">
        <v>52477.24</v>
      </c>
      <c r="R139" s="205">
        <v>13</v>
      </c>
      <c r="S139" s="26">
        <f t="shared" si="9"/>
        <v>52477.24</v>
      </c>
      <c r="T139" s="30">
        <v>52477.24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75"/>
      <c r="C140" s="375"/>
      <c r="D140" s="375"/>
      <c r="E140" s="375"/>
      <c r="F140" s="152"/>
      <c r="G140" s="229" t="s">
        <v>28</v>
      </c>
      <c r="H140" s="116"/>
      <c r="I140" s="38"/>
      <c r="J140" s="38"/>
      <c r="K140" s="39"/>
      <c r="L140" s="40"/>
      <c r="M140" s="39">
        <f t="shared" si="10"/>
        <v>0</v>
      </c>
      <c r="N140" s="39"/>
      <c r="O140" s="41"/>
      <c r="P140" s="59"/>
      <c r="Q140" s="39"/>
      <c r="R140" s="40"/>
      <c r="S140" s="39">
        <f t="shared" si="9"/>
        <v>0</v>
      </c>
      <c r="T140" s="39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502</v>
      </c>
      <c r="C141" s="374"/>
      <c r="D141" s="374"/>
      <c r="E141" s="374"/>
      <c r="F141" s="232"/>
      <c r="G141" s="176" t="s">
        <v>24</v>
      </c>
      <c r="H141" s="151"/>
      <c r="I141" s="266"/>
      <c r="J141" s="266"/>
      <c r="K141" s="79"/>
      <c r="L141" s="268"/>
      <c r="M141" s="142">
        <f t="shared" si="10"/>
        <v>0</v>
      </c>
      <c r="N141" s="79"/>
      <c r="O141" s="82"/>
      <c r="P141" s="267"/>
      <c r="Q141" s="79"/>
      <c r="R141" s="268"/>
      <c r="S141" s="142">
        <f t="shared" si="9"/>
        <v>0</v>
      </c>
      <c r="T141" s="79"/>
      <c r="U141" s="336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86"/>
      <c r="D142" s="386"/>
      <c r="E142" s="386"/>
      <c r="F142" s="356"/>
      <c r="G142" s="229" t="s">
        <v>28</v>
      </c>
      <c r="H142" s="362">
        <v>2</v>
      </c>
      <c r="I142" s="231"/>
      <c r="J142" s="231"/>
      <c r="K142" s="91"/>
      <c r="L142" s="330"/>
      <c r="M142" s="87">
        <f t="shared" si="10"/>
        <v>0</v>
      </c>
      <c r="N142" s="91"/>
      <c r="O142" s="89"/>
      <c r="P142" s="329"/>
      <c r="Q142" s="91"/>
      <c r="R142" s="330"/>
      <c r="S142" s="39">
        <f t="shared" si="9"/>
        <v>0</v>
      </c>
      <c r="T142" s="91"/>
      <c r="U142" s="342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119</v>
      </c>
      <c r="C143" s="374" t="s">
        <v>39</v>
      </c>
      <c r="D143" s="374" t="s">
        <v>311</v>
      </c>
      <c r="E143" s="374" t="s">
        <v>121</v>
      </c>
      <c r="F143" s="232" t="s">
        <v>312</v>
      </c>
      <c r="G143" s="23" t="s">
        <v>24</v>
      </c>
      <c r="H143" s="281">
        <v>50</v>
      </c>
      <c r="I143" s="62">
        <v>36</v>
      </c>
      <c r="J143" s="62">
        <v>44</v>
      </c>
      <c r="K143" s="30">
        <v>74855.87</v>
      </c>
      <c r="L143" s="205">
        <v>44</v>
      </c>
      <c r="M143" s="26">
        <f t="shared" si="10"/>
        <v>74855.87</v>
      </c>
      <c r="N143" s="30">
        <v>74855.87</v>
      </c>
      <c r="O143" s="219"/>
      <c r="P143" s="53">
        <v>27</v>
      </c>
      <c r="Q143" s="30">
        <v>47822.16</v>
      </c>
      <c r="R143" s="205">
        <v>27</v>
      </c>
      <c r="S143" s="26">
        <f t="shared" si="9"/>
        <v>47822.16</v>
      </c>
      <c r="T143" s="30">
        <v>47822.16</v>
      </c>
      <c r="U143" s="269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80"/>
      <c r="C144" s="380"/>
      <c r="D144" s="380"/>
      <c r="E144" s="380"/>
      <c r="F144" s="325" t="s">
        <v>491</v>
      </c>
      <c r="G144" s="227" t="s">
        <v>25</v>
      </c>
      <c r="H144" s="260">
        <v>11</v>
      </c>
      <c r="I144" s="208">
        <v>4</v>
      </c>
      <c r="J144" s="208">
        <v>4</v>
      </c>
      <c r="K144" s="209">
        <v>5140.3100000000004</v>
      </c>
      <c r="L144" s="290">
        <v>4</v>
      </c>
      <c r="M144" s="209">
        <v>5140.3100000000004</v>
      </c>
      <c r="N144" s="209">
        <v>5140.3100000000004</v>
      </c>
      <c r="O144" s="263"/>
      <c r="P144" s="262">
        <v>4</v>
      </c>
      <c r="Q144" s="209">
        <v>16712.7</v>
      </c>
      <c r="R144" s="290">
        <v>4</v>
      </c>
      <c r="S144" s="209">
        <v>16712.7</v>
      </c>
      <c r="T144" s="209">
        <v>16712.7</v>
      </c>
      <c r="U144" s="212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464</v>
      </c>
      <c r="C145" s="374" t="s">
        <v>22</v>
      </c>
      <c r="D145" s="374"/>
      <c r="E145" s="374" t="s">
        <v>391</v>
      </c>
      <c r="F145" s="204" t="s">
        <v>465</v>
      </c>
      <c r="G145" s="176" t="s">
        <v>24</v>
      </c>
      <c r="H145" s="61"/>
      <c r="I145" s="62"/>
      <c r="J145" s="62"/>
      <c r="K145" s="30"/>
      <c r="L145" s="27"/>
      <c r="M145" s="26">
        <f t="shared" ref="M145:M160" si="11">N145+O145</f>
        <v>0</v>
      </c>
      <c r="N145" s="26"/>
      <c r="O145" s="28"/>
      <c r="P145" s="214"/>
      <c r="Q145" s="30"/>
      <c r="R145" s="205"/>
      <c r="S145" s="26">
        <f t="shared" ref="S145:S151" si="12">T145+U145</f>
        <v>0</v>
      </c>
      <c r="T145" s="30"/>
      <c r="U145" s="2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86"/>
      <c r="C146" s="375"/>
      <c r="D146" s="386"/>
      <c r="E146" s="386"/>
      <c r="F146" s="152"/>
      <c r="G146" s="229" t="s">
        <v>28</v>
      </c>
      <c r="H146" s="344"/>
      <c r="I146" s="231"/>
      <c r="J146" s="231"/>
      <c r="K146" s="91"/>
      <c r="L146" s="92"/>
      <c r="M146" s="81">
        <f t="shared" si="11"/>
        <v>0</v>
      </c>
      <c r="N146" s="93"/>
      <c r="O146" s="94"/>
      <c r="P146" s="90"/>
      <c r="Q146" s="91"/>
      <c r="R146" s="330"/>
      <c r="S146" s="81">
        <f t="shared" si="12"/>
        <v>0</v>
      </c>
      <c r="T146" s="91"/>
      <c r="U146" s="33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367</v>
      </c>
      <c r="C147" s="374"/>
      <c r="D147" s="374"/>
      <c r="E147" s="374"/>
      <c r="F147" s="204"/>
      <c r="G147" s="213" t="s">
        <v>24</v>
      </c>
      <c r="H147" s="61"/>
      <c r="I147" s="62"/>
      <c r="J147" s="62"/>
      <c r="K147" s="30"/>
      <c r="L147" s="27"/>
      <c r="M147" s="26">
        <f t="shared" si="11"/>
        <v>0</v>
      </c>
      <c r="N147" s="26"/>
      <c r="O147" s="28"/>
      <c r="P147" s="214"/>
      <c r="Q147" s="30"/>
      <c r="R147" s="205"/>
      <c r="S147" s="26">
        <f t="shared" si="12"/>
        <v>0</v>
      </c>
      <c r="T147" s="30"/>
      <c r="U147" s="2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/>
      <c r="G148" s="215" t="s">
        <v>28</v>
      </c>
      <c r="H148" s="117">
        <v>6</v>
      </c>
      <c r="I148" s="37"/>
      <c r="J148" s="37"/>
      <c r="K148" s="68"/>
      <c r="L148" s="40"/>
      <c r="M148" s="39">
        <f t="shared" si="11"/>
        <v>0</v>
      </c>
      <c r="N148" s="39"/>
      <c r="O148" s="41"/>
      <c r="P148" s="217"/>
      <c r="Q148" s="68"/>
      <c r="R148" s="285"/>
      <c r="S148" s="39">
        <f t="shared" si="12"/>
        <v>0</v>
      </c>
      <c r="T148" s="68"/>
      <c r="U148" s="23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6"/>
      <c r="B149" s="377" t="s">
        <v>122</v>
      </c>
      <c r="C149" s="377" t="s">
        <v>39</v>
      </c>
      <c r="D149" s="377" t="s">
        <v>123</v>
      </c>
      <c r="E149" s="377" t="s">
        <v>55</v>
      </c>
      <c r="F149" s="232" t="s">
        <v>236</v>
      </c>
      <c r="G149" s="291" t="s">
        <v>24</v>
      </c>
      <c r="H149" s="265">
        <v>33</v>
      </c>
      <c r="I149" s="266">
        <v>24</v>
      </c>
      <c r="J149" s="266">
        <v>36</v>
      </c>
      <c r="K149" s="79">
        <v>77248.66</v>
      </c>
      <c r="L149" s="268">
        <v>36</v>
      </c>
      <c r="M149" s="81">
        <f t="shared" si="11"/>
        <v>77248.66</v>
      </c>
      <c r="N149" s="79">
        <v>77248.66</v>
      </c>
      <c r="O149" s="269"/>
      <c r="P149" s="267">
        <v>22</v>
      </c>
      <c r="Q149" s="79">
        <v>89981.45</v>
      </c>
      <c r="R149" s="268">
        <v>21</v>
      </c>
      <c r="S149" s="81">
        <f t="shared" si="12"/>
        <v>89981.45</v>
      </c>
      <c r="T149" s="79">
        <v>89981.45</v>
      </c>
      <c r="U149" s="269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6"/>
      <c r="I150" s="38"/>
      <c r="J150" s="38"/>
      <c r="K150" s="39"/>
      <c r="L150" s="40"/>
      <c r="M150" s="39">
        <f t="shared" si="11"/>
        <v>0</v>
      </c>
      <c r="N150" s="39"/>
      <c r="O150" s="41"/>
      <c r="P150" s="59"/>
      <c r="Q150" s="39"/>
      <c r="R150" s="40"/>
      <c r="S150" s="39">
        <f t="shared" si="12"/>
        <v>0</v>
      </c>
      <c r="T150" s="39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6"/>
      <c r="B151" s="377" t="s">
        <v>124</v>
      </c>
      <c r="C151" s="377" t="s">
        <v>39</v>
      </c>
      <c r="D151" s="377" t="s">
        <v>314</v>
      </c>
      <c r="E151" s="377" t="s">
        <v>27</v>
      </c>
      <c r="F151" s="232" t="s">
        <v>237</v>
      </c>
      <c r="G151" s="23" t="s">
        <v>24</v>
      </c>
      <c r="H151" s="48">
        <v>23</v>
      </c>
      <c r="I151" s="203">
        <v>15</v>
      </c>
      <c r="J151" s="203">
        <v>18</v>
      </c>
      <c r="K151" s="65">
        <v>47249.1</v>
      </c>
      <c r="L151" s="224">
        <v>17</v>
      </c>
      <c r="M151" s="50">
        <f t="shared" si="11"/>
        <v>47249.1</v>
      </c>
      <c r="N151" s="65">
        <v>47249.1</v>
      </c>
      <c r="O151" s="225"/>
      <c r="P151" s="108">
        <v>57</v>
      </c>
      <c r="Q151" s="65">
        <v>337965.75</v>
      </c>
      <c r="R151" s="224">
        <v>57</v>
      </c>
      <c r="S151" s="50">
        <f t="shared" si="12"/>
        <v>337965.75</v>
      </c>
      <c r="T151" s="65">
        <v>337965.75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500</v>
      </c>
      <c r="G152" s="154" t="s">
        <v>25</v>
      </c>
      <c r="H152" s="98"/>
      <c r="I152" s="155"/>
      <c r="J152" s="155"/>
      <c r="K152" s="239" t="s">
        <v>43</v>
      </c>
      <c r="L152" s="128"/>
      <c r="M152" s="129">
        <f t="shared" si="11"/>
        <v>0</v>
      </c>
      <c r="N152" s="129"/>
      <c r="O152" s="45"/>
      <c r="P152" s="238">
        <v>1</v>
      </c>
      <c r="Q152" s="239">
        <v>2408.4</v>
      </c>
      <c r="R152" s="316">
        <v>1</v>
      </c>
      <c r="S152" s="239">
        <v>2408.4</v>
      </c>
      <c r="T152" s="239">
        <v>2408.4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9"/>
      <c r="B153" s="380"/>
      <c r="C153" s="380"/>
      <c r="D153" s="380"/>
      <c r="E153" s="380"/>
      <c r="F153" s="34"/>
      <c r="G153" s="55" t="s">
        <v>28</v>
      </c>
      <c r="H153" s="111"/>
      <c r="I153" s="57"/>
      <c r="J153" s="57"/>
      <c r="K153" s="43"/>
      <c r="L153" s="44"/>
      <c r="M153" s="43">
        <f t="shared" si="11"/>
        <v>0</v>
      </c>
      <c r="N153" s="43"/>
      <c r="O153" s="41"/>
      <c r="P153" s="113">
        <v>4</v>
      </c>
      <c r="Q153" s="114">
        <v>9722.4</v>
      </c>
      <c r="R153" s="270">
        <v>4</v>
      </c>
      <c r="S153" s="43">
        <f t="shared" ref="S153:S160" si="13">T153+U153</f>
        <v>10625.699999999999</v>
      </c>
      <c r="T153" s="114">
        <f>2305.2+4226.2+2689.4+1404.9</f>
        <v>10625.699999999999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126</v>
      </c>
      <c r="C154" s="374" t="s">
        <v>22</v>
      </c>
      <c r="D154" s="378"/>
      <c r="E154" s="374" t="s">
        <v>65</v>
      </c>
      <c r="F154" s="232" t="s">
        <v>443</v>
      </c>
      <c r="G154" s="23" t="s">
        <v>24</v>
      </c>
      <c r="H154" s="151">
        <v>8</v>
      </c>
      <c r="I154" s="62">
        <v>2</v>
      </c>
      <c r="J154" s="62">
        <v>2</v>
      </c>
      <c r="K154" s="30">
        <v>1267.28</v>
      </c>
      <c r="L154" s="205">
        <v>2</v>
      </c>
      <c r="M154" s="26">
        <f t="shared" si="11"/>
        <v>1267.28</v>
      </c>
      <c r="N154" s="30">
        <v>1267.28</v>
      </c>
      <c r="O154" s="225"/>
      <c r="P154" s="53">
        <v>15</v>
      </c>
      <c r="Q154" s="30">
        <v>10414.84</v>
      </c>
      <c r="R154" s="205">
        <v>4</v>
      </c>
      <c r="S154" s="26">
        <f t="shared" si="13"/>
        <v>10414.84</v>
      </c>
      <c r="T154" s="30">
        <v>10414.84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54" t="s">
        <v>316</v>
      </c>
      <c r="G155" s="35" t="s">
        <v>28</v>
      </c>
      <c r="H155" s="153">
        <v>7</v>
      </c>
      <c r="I155" s="37">
        <v>5</v>
      </c>
      <c r="J155" s="37">
        <v>5</v>
      </c>
      <c r="K155" s="68">
        <v>8567.0400000000009</v>
      </c>
      <c r="L155" s="285">
        <v>3</v>
      </c>
      <c r="M155" s="39">
        <f t="shared" si="11"/>
        <v>3710.1</v>
      </c>
      <c r="N155" s="39">
        <f>2305.2+1404.9</f>
        <v>3710.1</v>
      </c>
      <c r="O155" s="41"/>
      <c r="P155" s="115">
        <v>8</v>
      </c>
      <c r="Q155" s="68">
        <v>13484.6</v>
      </c>
      <c r="R155" s="285">
        <v>3</v>
      </c>
      <c r="S155" s="39">
        <f t="shared" si="13"/>
        <v>7418.45</v>
      </c>
      <c r="T155" s="39">
        <f>1056.55+1344.4+5017.5</f>
        <v>7418.45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2"/>
      <c r="B156" s="381" t="s">
        <v>127</v>
      </c>
      <c r="C156" s="381" t="s">
        <v>22</v>
      </c>
      <c r="D156" s="381"/>
      <c r="E156" s="381" t="s">
        <v>67</v>
      </c>
      <c r="F156" s="223" t="s">
        <v>368</v>
      </c>
      <c r="G156" s="47" t="s">
        <v>24</v>
      </c>
      <c r="H156" s="48">
        <v>13</v>
      </c>
      <c r="I156" s="203">
        <v>13</v>
      </c>
      <c r="J156" s="203">
        <v>19</v>
      </c>
      <c r="K156" s="65">
        <v>37484.97</v>
      </c>
      <c r="L156" s="224">
        <v>17</v>
      </c>
      <c r="M156" s="50">
        <f t="shared" si="11"/>
        <v>33710.11</v>
      </c>
      <c r="N156" s="65">
        <v>33710.11</v>
      </c>
      <c r="O156" s="225"/>
      <c r="P156" s="108">
        <v>8</v>
      </c>
      <c r="Q156" s="65">
        <v>29582.03</v>
      </c>
      <c r="R156" s="224">
        <v>8</v>
      </c>
      <c r="S156" s="50">
        <f t="shared" si="13"/>
        <v>29582.03</v>
      </c>
      <c r="T156" s="65">
        <v>29582.03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33" t="s">
        <v>317</v>
      </c>
      <c r="G157" s="227" t="s">
        <v>28</v>
      </c>
      <c r="H157" s="153">
        <v>8</v>
      </c>
      <c r="I157" s="37">
        <v>5</v>
      </c>
      <c r="J157" s="37">
        <v>5</v>
      </c>
      <c r="K157" s="68">
        <v>5776.7</v>
      </c>
      <c r="L157" s="285">
        <v>5</v>
      </c>
      <c r="M157" s="39">
        <f t="shared" si="11"/>
        <v>5822.7</v>
      </c>
      <c r="N157" s="39">
        <f>1578.8+1152.6+1152.6+1336.6+602.1</f>
        <v>5822.7</v>
      </c>
      <c r="O157" s="41"/>
      <c r="P157" s="115">
        <v>3</v>
      </c>
      <c r="Q157" s="68">
        <v>17095</v>
      </c>
      <c r="R157" s="285">
        <v>3</v>
      </c>
      <c r="S157" s="39">
        <f t="shared" si="13"/>
        <v>17095</v>
      </c>
      <c r="T157" s="39">
        <f>4034.1+11053.9+2007</f>
        <v>17095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128</v>
      </c>
      <c r="C158" s="374" t="s">
        <v>39</v>
      </c>
      <c r="D158" s="374" t="s">
        <v>129</v>
      </c>
      <c r="E158" s="374" t="s">
        <v>121</v>
      </c>
      <c r="F158" s="60"/>
      <c r="G158" s="176" t="s">
        <v>24</v>
      </c>
      <c r="H158" s="107"/>
      <c r="I158" s="49"/>
      <c r="J158" s="127"/>
      <c r="K158" s="50"/>
      <c r="L158" s="51"/>
      <c r="M158" s="50">
        <f t="shared" si="11"/>
        <v>0</v>
      </c>
      <c r="N158" s="50"/>
      <c r="O158" s="31"/>
      <c r="P158" s="108"/>
      <c r="Q158" s="65"/>
      <c r="R158" s="51"/>
      <c r="S158" s="50">
        <f t="shared" si="13"/>
        <v>0</v>
      </c>
      <c r="T158" s="50"/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220" t="s">
        <v>492</v>
      </c>
      <c r="G159" s="229" t="s">
        <v>25</v>
      </c>
      <c r="H159" s="153">
        <v>1</v>
      </c>
      <c r="I159" s="57"/>
      <c r="J159" s="57"/>
      <c r="K159" s="43"/>
      <c r="L159" s="44"/>
      <c r="M159" s="43">
        <f t="shared" si="11"/>
        <v>0</v>
      </c>
      <c r="N159" s="43"/>
      <c r="O159" s="41"/>
      <c r="P159" s="103"/>
      <c r="Q159" s="43"/>
      <c r="R159" s="44"/>
      <c r="S159" s="43">
        <f t="shared" si="13"/>
        <v>0</v>
      </c>
      <c r="T159" s="43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130</v>
      </c>
      <c r="C160" s="374" t="s">
        <v>22</v>
      </c>
      <c r="D160" s="374"/>
      <c r="E160" s="374" t="s">
        <v>131</v>
      </c>
      <c r="F160" s="232" t="s">
        <v>411</v>
      </c>
      <c r="G160" s="176" t="s">
        <v>24</v>
      </c>
      <c r="H160" s="48">
        <v>11</v>
      </c>
      <c r="I160" s="62">
        <v>6</v>
      </c>
      <c r="J160" s="62">
        <v>6</v>
      </c>
      <c r="K160" s="30">
        <v>9104.94</v>
      </c>
      <c r="L160" s="205">
        <v>6</v>
      </c>
      <c r="M160" s="26">
        <f t="shared" si="11"/>
        <v>9104.94</v>
      </c>
      <c r="N160" s="30">
        <v>9104.94</v>
      </c>
      <c r="O160" s="31"/>
      <c r="P160" s="53">
        <v>4</v>
      </c>
      <c r="Q160" s="30">
        <v>22885.21</v>
      </c>
      <c r="R160" s="205">
        <v>4</v>
      </c>
      <c r="S160" s="26">
        <f t="shared" si="13"/>
        <v>22885.21</v>
      </c>
      <c r="T160" s="30">
        <v>22885.21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3"/>
      <c r="B161" s="375"/>
      <c r="C161" s="375"/>
      <c r="D161" s="375"/>
      <c r="E161" s="375"/>
      <c r="F161" s="220" t="s">
        <v>493</v>
      </c>
      <c r="G161" s="229" t="s">
        <v>25</v>
      </c>
      <c r="H161" s="112">
        <v>9</v>
      </c>
      <c r="I161" s="130">
        <v>6</v>
      </c>
      <c r="J161" s="130">
        <v>6</v>
      </c>
      <c r="K161" s="114">
        <v>10810.58</v>
      </c>
      <c r="L161" s="270">
        <v>6</v>
      </c>
      <c r="M161" s="114">
        <v>10810.58</v>
      </c>
      <c r="N161" s="114">
        <v>10810.58</v>
      </c>
      <c r="O161" s="234"/>
      <c r="P161" s="113">
        <v>3</v>
      </c>
      <c r="Q161" s="114">
        <v>7539.8</v>
      </c>
      <c r="R161" s="270">
        <v>3</v>
      </c>
      <c r="S161" s="114">
        <v>7539.8</v>
      </c>
      <c r="T161" s="114">
        <v>7539.8</v>
      </c>
      <c r="U161" s="4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2"/>
      <c r="B162" s="374" t="s">
        <v>132</v>
      </c>
      <c r="C162" s="374" t="s">
        <v>39</v>
      </c>
      <c r="D162" s="374" t="s">
        <v>238</v>
      </c>
      <c r="E162" s="377" t="s">
        <v>136</v>
      </c>
      <c r="F162" s="232" t="s">
        <v>239</v>
      </c>
      <c r="G162" s="23" t="s">
        <v>24</v>
      </c>
      <c r="H162" s="61">
        <v>18</v>
      </c>
      <c r="I162" s="62">
        <v>14</v>
      </c>
      <c r="J162" s="62">
        <v>18</v>
      </c>
      <c r="K162" s="30">
        <v>40036.720000000001</v>
      </c>
      <c r="L162" s="205">
        <v>16</v>
      </c>
      <c r="M162" s="26">
        <f t="shared" ref="M162:M194" si="14">N162+O162</f>
        <v>28480.94</v>
      </c>
      <c r="N162" s="30">
        <v>28480.94</v>
      </c>
      <c r="O162" s="225"/>
      <c r="P162" s="53">
        <v>15</v>
      </c>
      <c r="Q162" s="30">
        <v>63876.46</v>
      </c>
      <c r="R162" s="205">
        <v>14</v>
      </c>
      <c r="S162" s="26">
        <f t="shared" ref="S162:S168" si="15">T162+U162</f>
        <v>52348.73</v>
      </c>
      <c r="T162" s="30">
        <v>52348.73</v>
      </c>
      <c r="U162" s="22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87"/>
      <c r="B163" s="386"/>
      <c r="C163" s="386"/>
      <c r="D163" s="386"/>
      <c r="E163" s="386"/>
      <c r="F163" s="237" t="s">
        <v>240</v>
      </c>
      <c r="G163" s="154" t="s">
        <v>28</v>
      </c>
      <c r="H163" s="112">
        <v>20</v>
      </c>
      <c r="I163" s="271">
        <v>14</v>
      </c>
      <c r="J163" s="271">
        <v>14</v>
      </c>
      <c r="K163" s="239">
        <v>25573.4</v>
      </c>
      <c r="L163" s="316">
        <v>10</v>
      </c>
      <c r="M163" s="129">
        <f t="shared" si="14"/>
        <v>17440.899999999998</v>
      </c>
      <c r="N163" s="129">
        <f>1728.9+2305.2+576.3+4802.5+1404.9+1404.9+1404.9+1103.85+2408.4+301.05</f>
        <v>17440.899999999998</v>
      </c>
      <c r="O163" s="45"/>
      <c r="P163" s="238">
        <v>9</v>
      </c>
      <c r="Q163" s="239">
        <v>31223.56</v>
      </c>
      <c r="R163" s="316">
        <v>10</v>
      </c>
      <c r="S163" s="129">
        <f t="shared" si="15"/>
        <v>32433.79</v>
      </c>
      <c r="T163" s="239">
        <f>288.15+6934.81+3073.6+1344.7+1344.7+10837.8+8610.03</f>
        <v>32433.79</v>
      </c>
      <c r="U163" s="4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105"/>
      <c r="G164" s="55" t="s">
        <v>25</v>
      </c>
      <c r="H164" s="131"/>
      <c r="I164" s="57"/>
      <c r="J164" s="57"/>
      <c r="K164" s="43"/>
      <c r="L164" s="44"/>
      <c r="M164" s="43">
        <f t="shared" si="14"/>
        <v>0</v>
      </c>
      <c r="N164" s="43"/>
      <c r="O164" s="41"/>
      <c r="P164" s="103"/>
      <c r="Q164" s="43"/>
      <c r="R164" s="44"/>
      <c r="S164" s="43">
        <f t="shared" si="15"/>
        <v>0</v>
      </c>
      <c r="T164" s="43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133</v>
      </c>
      <c r="C165" s="374" t="s">
        <v>39</v>
      </c>
      <c r="D165" s="374" t="s">
        <v>448</v>
      </c>
      <c r="E165" s="381" t="s">
        <v>23</v>
      </c>
      <c r="F165" s="232" t="s">
        <v>449</v>
      </c>
      <c r="G165" s="23" t="s">
        <v>24</v>
      </c>
      <c r="H165" s="61">
        <v>12</v>
      </c>
      <c r="I165" s="62">
        <v>8</v>
      </c>
      <c r="J165" s="62">
        <v>9</v>
      </c>
      <c r="K165" s="30">
        <v>30919.360000000001</v>
      </c>
      <c r="L165" s="205">
        <v>9</v>
      </c>
      <c r="M165" s="26">
        <f t="shared" si="14"/>
        <v>30919.360000000001</v>
      </c>
      <c r="N165" s="30">
        <v>30919.360000000001</v>
      </c>
      <c r="O165" s="31"/>
      <c r="P165" s="53">
        <v>15</v>
      </c>
      <c r="Q165" s="30">
        <v>6119.32</v>
      </c>
      <c r="R165" s="205">
        <v>4</v>
      </c>
      <c r="S165" s="26">
        <f t="shared" si="15"/>
        <v>6119.32</v>
      </c>
      <c r="T165" s="30">
        <v>6119.32</v>
      </c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34"/>
      <c r="G166" s="35" t="s">
        <v>25</v>
      </c>
      <c r="H166" s="106"/>
      <c r="I166" s="38"/>
      <c r="J166" s="38"/>
      <c r="K166" s="39"/>
      <c r="L166" s="40"/>
      <c r="M166" s="39">
        <f t="shared" si="14"/>
        <v>0</v>
      </c>
      <c r="N166" s="39"/>
      <c r="O166" s="41"/>
      <c r="P166" s="59"/>
      <c r="Q166" s="39"/>
      <c r="R166" s="40"/>
      <c r="S166" s="39">
        <f t="shared" si="15"/>
        <v>0</v>
      </c>
      <c r="T166" s="39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134</v>
      </c>
      <c r="C167" s="374" t="s">
        <v>39</v>
      </c>
      <c r="D167" s="374" t="s">
        <v>280</v>
      </c>
      <c r="E167" s="374" t="s">
        <v>136</v>
      </c>
      <c r="F167" s="204" t="s">
        <v>282</v>
      </c>
      <c r="G167" s="176" t="s">
        <v>24</v>
      </c>
      <c r="H167" s="48">
        <v>15</v>
      </c>
      <c r="I167" s="203">
        <v>11</v>
      </c>
      <c r="J167" s="203">
        <v>12</v>
      </c>
      <c r="K167" s="65">
        <v>16411.849999999999</v>
      </c>
      <c r="L167" s="224">
        <v>12</v>
      </c>
      <c r="M167" s="50">
        <f t="shared" si="14"/>
        <v>16411.849999999999</v>
      </c>
      <c r="N167" s="65">
        <v>16411.849999999999</v>
      </c>
      <c r="O167" s="225"/>
      <c r="P167" s="108">
        <v>7</v>
      </c>
      <c r="Q167" s="65">
        <v>50795.35</v>
      </c>
      <c r="R167" s="224">
        <v>7</v>
      </c>
      <c r="S167" s="50">
        <f t="shared" si="15"/>
        <v>50795.35</v>
      </c>
      <c r="T167" s="65">
        <v>50795.35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87"/>
      <c r="B168" s="386"/>
      <c r="C168" s="386"/>
      <c r="D168" s="386"/>
      <c r="E168" s="386"/>
      <c r="F168" s="235" t="s">
        <v>321</v>
      </c>
      <c r="G168" s="252" t="s">
        <v>28</v>
      </c>
      <c r="H168" s="151">
        <v>17</v>
      </c>
      <c r="I168" s="246">
        <v>5</v>
      </c>
      <c r="J168" s="246">
        <v>5</v>
      </c>
      <c r="K168" s="158">
        <v>10648.6</v>
      </c>
      <c r="L168" s="317">
        <v>5</v>
      </c>
      <c r="M168" s="142">
        <f t="shared" si="14"/>
        <v>10648.599999999999</v>
      </c>
      <c r="N168" s="142">
        <f>1921+2305.2+1404.9+3211.2+1806.3</f>
        <v>10648.599999999999</v>
      </c>
      <c r="O168" s="45"/>
      <c r="P168" s="157">
        <v>4</v>
      </c>
      <c r="Q168" s="158">
        <v>8625.2900000000009</v>
      </c>
      <c r="R168" s="224">
        <v>5</v>
      </c>
      <c r="S168" s="50">
        <f t="shared" si="15"/>
        <v>9681.84</v>
      </c>
      <c r="T168" s="158">
        <f>6224.04+3457.8</f>
        <v>9681.84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494</v>
      </c>
      <c r="G169" s="229" t="s">
        <v>25</v>
      </c>
      <c r="H169" s="118"/>
      <c r="I169" s="57"/>
      <c r="J169" s="57"/>
      <c r="K169" s="43"/>
      <c r="L169" s="44"/>
      <c r="M169" s="43">
        <f t="shared" si="14"/>
        <v>0</v>
      </c>
      <c r="N169" s="43"/>
      <c r="O169" s="41"/>
      <c r="P169" s="113">
        <v>1</v>
      </c>
      <c r="Q169" s="114">
        <v>7024.5</v>
      </c>
      <c r="R169" s="270">
        <v>1</v>
      </c>
      <c r="S169" s="114">
        <v>7024.5</v>
      </c>
      <c r="T169" s="114">
        <v>7024.5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137</v>
      </c>
      <c r="C170" s="377" t="s">
        <v>39</v>
      </c>
      <c r="D170" s="374" t="s">
        <v>322</v>
      </c>
      <c r="E170" s="377" t="s">
        <v>27</v>
      </c>
      <c r="F170" s="232" t="s">
        <v>323</v>
      </c>
      <c r="G170" s="23" t="s">
        <v>24</v>
      </c>
      <c r="H170" s="24">
        <v>16</v>
      </c>
      <c r="I170" s="62">
        <v>11</v>
      </c>
      <c r="J170" s="62">
        <v>14</v>
      </c>
      <c r="K170" s="30">
        <v>23878.68</v>
      </c>
      <c r="L170" s="205">
        <v>14</v>
      </c>
      <c r="M170" s="26">
        <f t="shared" si="14"/>
        <v>23878.68</v>
      </c>
      <c r="N170" s="30">
        <v>23878.68</v>
      </c>
      <c r="O170" s="31"/>
      <c r="P170" s="53">
        <v>2</v>
      </c>
      <c r="Q170" s="30">
        <v>3779.47</v>
      </c>
      <c r="R170" s="205">
        <v>2</v>
      </c>
      <c r="S170" s="26">
        <f t="shared" ref="S170:S194" si="16">T170+U170</f>
        <v>3779.47</v>
      </c>
      <c r="T170" s="30">
        <v>3779.47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80"/>
      <c r="F171" s="220" t="s">
        <v>241</v>
      </c>
      <c r="G171" s="35" t="s">
        <v>28</v>
      </c>
      <c r="H171" s="66">
        <v>9</v>
      </c>
      <c r="I171" s="37">
        <v>6</v>
      </c>
      <c r="J171" s="37">
        <v>6</v>
      </c>
      <c r="K171" s="68">
        <v>7049.7</v>
      </c>
      <c r="L171" s="285">
        <v>7</v>
      </c>
      <c r="M171" s="39">
        <f t="shared" si="14"/>
        <v>7049.7000000000007</v>
      </c>
      <c r="N171" s="39">
        <f>576.3+1716.8+1344.7+1404.9+602.1+1404.9</f>
        <v>7049.7000000000007</v>
      </c>
      <c r="O171" s="41"/>
      <c r="P171" s="115">
        <v>3</v>
      </c>
      <c r="Q171" s="68">
        <v>5674.1</v>
      </c>
      <c r="R171" s="285">
        <v>3</v>
      </c>
      <c r="S171" s="39">
        <f t="shared" si="16"/>
        <v>9366.36</v>
      </c>
      <c r="T171" s="39">
        <f>1921+1344.7+3692.26+2408.4</f>
        <v>9366.36</v>
      </c>
      <c r="U171" s="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138</v>
      </c>
      <c r="C172" s="374" t="s">
        <v>22</v>
      </c>
      <c r="D172" s="374"/>
      <c r="E172" s="374" t="s">
        <v>27</v>
      </c>
      <c r="F172" s="204" t="s">
        <v>324</v>
      </c>
      <c r="G172" s="176" t="s">
        <v>24</v>
      </c>
      <c r="H172" s="151">
        <v>16</v>
      </c>
      <c r="I172" s="203">
        <v>9</v>
      </c>
      <c r="J172" s="203">
        <v>10</v>
      </c>
      <c r="K172" s="65">
        <v>19508.22</v>
      </c>
      <c r="L172" s="224">
        <v>10</v>
      </c>
      <c r="M172" s="50">
        <f t="shared" si="14"/>
        <v>19508.22</v>
      </c>
      <c r="N172" s="65">
        <v>19508.22</v>
      </c>
      <c r="O172" s="31"/>
      <c r="P172" s="108">
        <v>10</v>
      </c>
      <c r="Q172" s="65">
        <v>22636.89</v>
      </c>
      <c r="R172" s="224">
        <v>10</v>
      </c>
      <c r="S172" s="50">
        <f t="shared" si="16"/>
        <v>22636.89</v>
      </c>
      <c r="T172" s="65">
        <v>22636.89</v>
      </c>
      <c r="U172" s="225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20" t="s">
        <v>242</v>
      </c>
      <c r="G173" s="229" t="s">
        <v>28</v>
      </c>
      <c r="H173" s="133">
        <v>7</v>
      </c>
      <c r="I173" s="130">
        <v>7</v>
      </c>
      <c r="J173" s="130">
        <v>7</v>
      </c>
      <c r="K173" s="114">
        <v>26745.9</v>
      </c>
      <c r="L173" s="270">
        <v>7</v>
      </c>
      <c r="M173" s="43">
        <f t="shared" si="14"/>
        <v>21199.72</v>
      </c>
      <c r="N173" s="43">
        <f>3880.42+1344.7+1921+1690.48+6623.1+5740.02</f>
        <v>21199.72</v>
      </c>
      <c r="O173" s="41"/>
      <c r="P173" s="113">
        <v>5</v>
      </c>
      <c r="Q173" s="114">
        <v>11814.15</v>
      </c>
      <c r="R173" s="270">
        <v>4</v>
      </c>
      <c r="S173" s="43">
        <f t="shared" si="16"/>
        <v>9893.15</v>
      </c>
      <c r="T173" s="114">
        <f>4802.5+2401.25+2689.4</f>
        <v>9893.15</v>
      </c>
      <c r="U173" s="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139</v>
      </c>
      <c r="C174" s="374" t="s">
        <v>22</v>
      </c>
      <c r="D174" s="374"/>
      <c r="E174" s="374" t="s">
        <v>67</v>
      </c>
      <c r="F174" s="232" t="s">
        <v>325</v>
      </c>
      <c r="G174" s="23" t="s">
        <v>24</v>
      </c>
      <c r="H174" s="151">
        <v>8</v>
      </c>
      <c r="I174" s="62">
        <v>6</v>
      </c>
      <c r="J174" s="62">
        <v>7</v>
      </c>
      <c r="K174" s="30">
        <v>14388.8</v>
      </c>
      <c r="L174" s="205">
        <v>7</v>
      </c>
      <c r="M174" s="26">
        <f t="shared" si="14"/>
        <v>14388.8</v>
      </c>
      <c r="N174" s="30">
        <v>14388.8</v>
      </c>
      <c r="O174" s="225"/>
      <c r="P174" s="53">
        <v>16</v>
      </c>
      <c r="Q174" s="30">
        <v>55930.74</v>
      </c>
      <c r="R174" s="205">
        <v>16</v>
      </c>
      <c r="S174" s="26">
        <f t="shared" si="16"/>
        <v>55930.74</v>
      </c>
      <c r="T174" s="30">
        <v>55930.74</v>
      </c>
      <c r="U174" s="22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33" t="s">
        <v>326</v>
      </c>
      <c r="G175" s="227" t="s">
        <v>28</v>
      </c>
      <c r="H175" s="112">
        <v>8</v>
      </c>
      <c r="I175" s="130">
        <v>5</v>
      </c>
      <c r="J175" s="130">
        <v>5</v>
      </c>
      <c r="K175" s="114">
        <v>10399.299999999999</v>
      </c>
      <c r="L175" s="270">
        <v>4</v>
      </c>
      <c r="M175" s="43">
        <f t="shared" si="14"/>
        <v>8335.2999999999993</v>
      </c>
      <c r="N175" s="43">
        <f>1728.9+602.1+2504.4+3499.9</f>
        <v>8335.2999999999993</v>
      </c>
      <c r="O175" s="45"/>
      <c r="P175" s="113">
        <v>9</v>
      </c>
      <c r="Q175" s="114">
        <v>35157.300000000003</v>
      </c>
      <c r="R175" s="270">
        <v>8</v>
      </c>
      <c r="S175" s="43">
        <f t="shared" si="16"/>
        <v>22769.55</v>
      </c>
      <c r="T175" s="114">
        <f>6269.7+3984+2305.2+3503.9+5602.9+1103.85</f>
        <v>22769.55</v>
      </c>
      <c r="U175" s="4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140</v>
      </c>
      <c r="C176" s="374" t="s">
        <v>39</v>
      </c>
      <c r="D176" s="374" t="s">
        <v>369</v>
      </c>
      <c r="E176" s="374" t="s">
        <v>27</v>
      </c>
      <c r="F176" s="204" t="s">
        <v>370</v>
      </c>
      <c r="G176" s="176" t="s">
        <v>24</v>
      </c>
      <c r="H176" s="24">
        <v>20</v>
      </c>
      <c r="I176" s="62">
        <v>16</v>
      </c>
      <c r="J176" s="62">
        <v>21</v>
      </c>
      <c r="K176" s="30">
        <v>48694.74</v>
      </c>
      <c r="L176" s="205">
        <v>20</v>
      </c>
      <c r="M176" s="26">
        <f t="shared" si="14"/>
        <v>44937.68</v>
      </c>
      <c r="N176" s="30">
        <v>44937.68</v>
      </c>
      <c r="O176" s="159"/>
      <c r="P176" s="53">
        <v>4</v>
      </c>
      <c r="Q176" s="30">
        <v>31835.37</v>
      </c>
      <c r="R176" s="205">
        <v>4</v>
      </c>
      <c r="S176" s="26">
        <f t="shared" si="16"/>
        <v>31835.37</v>
      </c>
      <c r="T176" s="30">
        <v>31835.37</v>
      </c>
      <c r="U176" s="2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233" t="s">
        <v>243</v>
      </c>
      <c r="G177" s="282" t="s">
        <v>28</v>
      </c>
      <c r="H177" s="207">
        <v>9</v>
      </c>
      <c r="I177" s="208">
        <v>3</v>
      </c>
      <c r="J177" s="208">
        <v>3</v>
      </c>
      <c r="K177" s="209">
        <v>7347.6</v>
      </c>
      <c r="L177" s="210"/>
      <c r="M177" s="211">
        <f t="shared" si="14"/>
        <v>1728.9</v>
      </c>
      <c r="N177" s="211">
        <f>1728.9</f>
        <v>1728.9</v>
      </c>
      <c r="O177" s="274"/>
      <c r="P177" s="262">
        <v>3</v>
      </c>
      <c r="Q177" s="209">
        <v>5494.06</v>
      </c>
      <c r="R177" s="290">
        <v>6</v>
      </c>
      <c r="S177" s="211">
        <f t="shared" si="16"/>
        <v>14023.3</v>
      </c>
      <c r="T177" s="211">
        <f>4034.1+3073.6+5071.44+1267.86+576.3</f>
        <v>14023.3</v>
      </c>
      <c r="U177" s="212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413</v>
      </c>
      <c r="C178" s="374" t="s">
        <v>22</v>
      </c>
      <c r="D178" s="374"/>
      <c r="E178" s="374" t="s">
        <v>391</v>
      </c>
      <c r="F178" s="204" t="s">
        <v>414</v>
      </c>
      <c r="G178" s="176" t="s">
        <v>24</v>
      </c>
      <c r="H178" s="24">
        <v>8</v>
      </c>
      <c r="I178" s="62">
        <v>6</v>
      </c>
      <c r="J178" s="62">
        <v>9</v>
      </c>
      <c r="K178" s="30">
        <v>23826.75</v>
      </c>
      <c r="L178" s="205">
        <v>9</v>
      </c>
      <c r="M178" s="26">
        <f t="shared" si="14"/>
        <v>23826.75</v>
      </c>
      <c r="N178" s="30">
        <v>23826.75</v>
      </c>
      <c r="O178" s="28"/>
      <c r="P178" s="214"/>
      <c r="Q178" s="30"/>
      <c r="R178" s="205"/>
      <c r="S178" s="26">
        <f t="shared" si="16"/>
        <v>0</v>
      </c>
      <c r="T178" s="30"/>
      <c r="U178" s="2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220"/>
      <c r="G179" s="229" t="s">
        <v>28</v>
      </c>
      <c r="H179" s="66"/>
      <c r="I179" s="38"/>
      <c r="J179" s="38"/>
      <c r="K179" s="39"/>
      <c r="L179" s="40"/>
      <c r="M179" s="39">
        <f t="shared" si="14"/>
        <v>0</v>
      </c>
      <c r="N179" s="39"/>
      <c r="O179" s="41"/>
      <c r="P179" s="217"/>
      <c r="Q179" s="68"/>
      <c r="R179" s="285"/>
      <c r="S179" s="39">
        <f t="shared" si="16"/>
        <v>0</v>
      </c>
      <c r="T179" s="68"/>
      <c r="U179" s="4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141</v>
      </c>
      <c r="C180" s="374" t="s">
        <v>39</v>
      </c>
      <c r="D180" s="374" t="s">
        <v>371</v>
      </c>
      <c r="E180" s="374" t="s">
        <v>27</v>
      </c>
      <c r="F180" s="204" t="s">
        <v>372</v>
      </c>
      <c r="G180" s="176" t="s">
        <v>24</v>
      </c>
      <c r="H180" s="281">
        <v>9</v>
      </c>
      <c r="I180" s="266">
        <v>6</v>
      </c>
      <c r="J180" s="266">
        <v>6</v>
      </c>
      <c r="K180" s="79">
        <v>11997.57</v>
      </c>
      <c r="L180" s="268">
        <v>5</v>
      </c>
      <c r="M180" s="81">
        <f t="shared" si="14"/>
        <v>11395.47</v>
      </c>
      <c r="N180" s="79">
        <v>11395.47</v>
      </c>
      <c r="O180" s="219"/>
      <c r="P180" s="267">
        <v>3</v>
      </c>
      <c r="Q180" s="79">
        <v>16223.5</v>
      </c>
      <c r="R180" s="268">
        <v>3</v>
      </c>
      <c r="S180" s="81">
        <f t="shared" si="16"/>
        <v>16223.5</v>
      </c>
      <c r="T180" s="79">
        <v>16223.5</v>
      </c>
      <c r="U180" s="219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34"/>
      <c r="G181" s="229" t="s">
        <v>28</v>
      </c>
      <c r="H181" s="118"/>
      <c r="I181" s="57"/>
      <c r="J181" s="57"/>
      <c r="K181" s="43"/>
      <c r="L181" s="44"/>
      <c r="M181" s="43">
        <f t="shared" si="14"/>
        <v>0</v>
      </c>
      <c r="N181" s="43"/>
      <c r="O181" s="45"/>
      <c r="P181" s="103"/>
      <c r="Q181" s="43"/>
      <c r="R181" s="44"/>
      <c r="S181" s="43">
        <f t="shared" si="16"/>
        <v>0</v>
      </c>
      <c r="T181" s="43"/>
      <c r="U181" s="4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142</v>
      </c>
      <c r="C182" s="374" t="s">
        <v>39</v>
      </c>
      <c r="D182" s="374" t="s">
        <v>415</v>
      </c>
      <c r="E182" s="374" t="s">
        <v>27</v>
      </c>
      <c r="F182" s="232" t="s">
        <v>416</v>
      </c>
      <c r="G182" s="23" t="s">
        <v>24</v>
      </c>
      <c r="H182" s="24">
        <v>5</v>
      </c>
      <c r="I182" s="62">
        <v>2</v>
      </c>
      <c r="J182" s="62">
        <v>2</v>
      </c>
      <c r="K182" s="30">
        <v>524.91</v>
      </c>
      <c r="L182" s="205">
        <v>2</v>
      </c>
      <c r="M182" s="26">
        <f t="shared" si="14"/>
        <v>524.91</v>
      </c>
      <c r="N182" s="30">
        <v>524.91</v>
      </c>
      <c r="O182" s="241"/>
      <c r="P182" s="53">
        <v>2</v>
      </c>
      <c r="Q182" s="30">
        <v>14444.79</v>
      </c>
      <c r="R182" s="205">
        <v>2</v>
      </c>
      <c r="S182" s="26">
        <f t="shared" si="16"/>
        <v>14444.79</v>
      </c>
      <c r="T182" s="30">
        <v>14444.79</v>
      </c>
      <c r="U182" s="2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105"/>
      <c r="G183" s="227" t="s">
        <v>28</v>
      </c>
      <c r="H183" s="311"/>
      <c r="I183" s="261"/>
      <c r="J183" s="261"/>
      <c r="K183" s="211"/>
      <c r="L183" s="210"/>
      <c r="M183" s="211">
        <f t="shared" si="14"/>
        <v>0</v>
      </c>
      <c r="N183" s="211"/>
      <c r="O183" s="212"/>
      <c r="P183" s="273"/>
      <c r="Q183" s="211"/>
      <c r="R183" s="210"/>
      <c r="S183" s="211">
        <f t="shared" si="16"/>
        <v>0</v>
      </c>
      <c r="T183" s="211"/>
      <c r="U183" s="21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424</v>
      </c>
      <c r="C184" s="374" t="s">
        <v>22</v>
      </c>
      <c r="D184" s="374"/>
      <c r="E184" s="374" t="s">
        <v>65</v>
      </c>
      <c r="F184" s="232" t="s">
        <v>437</v>
      </c>
      <c r="G184" s="213" t="s">
        <v>24</v>
      </c>
      <c r="H184" s="24">
        <v>8</v>
      </c>
      <c r="I184" s="62">
        <v>4</v>
      </c>
      <c r="J184" s="62">
        <v>6</v>
      </c>
      <c r="K184" s="30">
        <v>9442.35</v>
      </c>
      <c r="L184" s="205">
        <v>6</v>
      </c>
      <c r="M184" s="26">
        <f t="shared" si="14"/>
        <v>9442.35</v>
      </c>
      <c r="N184" s="30">
        <v>9442.35</v>
      </c>
      <c r="O184" s="28"/>
      <c r="P184" s="214"/>
      <c r="Q184" s="30"/>
      <c r="R184" s="205"/>
      <c r="S184" s="26">
        <f t="shared" si="16"/>
        <v>0</v>
      </c>
      <c r="T184" s="30"/>
      <c r="U184" s="2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/>
      <c r="G185" s="215" t="s">
        <v>28</v>
      </c>
      <c r="H185" s="66"/>
      <c r="I185" s="38"/>
      <c r="J185" s="38"/>
      <c r="K185" s="39"/>
      <c r="L185" s="40"/>
      <c r="M185" s="39">
        <f t="shared" si="14"/>
        <v>0</v>
      </c>
      <c r="N185" s="39"/>
      <c r="O185" s="41"/>
      <c r="P185" s="217"/>
      <c r="Q185" s="68"/>
      <c r="R185" s="285"/>
      <c r="S185" s="39">
        <f t="shared" si="16"/>
        <v>0</v>
      </c>
      <c r="T185" s="68"/>
      <c r="U185" s="23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6"/>
      <c r="B186" s="377" t="s">
        <v>143</v>
      </c>
      <c r="C186" s="377" t="s">
        <v>39</v>
      </c>
      <c r="D186" s="377" t="s">
        <v>327</v>
      </c>
      <c r="E186" s="377" t="s">
        <v>145</v>
      </c>
      <c r="F186" s="232" t="s">
        <v>215</v>
      </c>
      <c r="G186" s="95" t="s">
        <v>24</v>
      </c>
      <c r="H186" s="281">
        <v>10</v>
      </c>
      <c r="I186" s="266">
        <v>7</v>
      </c>
      <c r="J186" s="266">
        <v>9</v>
      </c>
      <c r="K186" s="79">
        <v>15151.29</v>
      </c>
      <c r="L186" s="268">
        <v>9</v>
      </c>
      <c r="M186" s="81">
        <f t="shared" si="14"/>
        <v>15151.29</v>
      </c>
      <c r="N186" s="79">
        <v>15151.29</v>
      </c>
      <c r="O186" s="219"/>
      <c r="P186" s="267">
        <v>18</v>
      </c>
      <c r="Q186" s="79">
        <v>50132.05</v>
      </c>
      <c r="R186" s="268">
        <v>18</v>
      </c>
      <c r="S186" s="81">
        <f t="shared" si="16"/>
        <v>50132.05</v>
      </c>
      <c r="T186" s="79">
        <v>50132.05</v>
      </c>
      <c r="U186" s="269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9"/>
      <c r="B187" s="380"/>
      <c r="C187" s="380"/>
      <c r="D187" s="380"/>
      <c r="E187" s="380"/>
      <c r="F187" s="233" t="s">
        <v>244</v>
      </c>
      <c r="G187" s="227" t="s">
        <v>28</v>
      </c>
      <c r="H187" s="133">
        <v>10</v>
      </c>
      <c r="I187" s="130">
        <v>5</v>
      </c>
      <c r="J187" s="130">
        <v>5</v>
      </c>
      <c r="K187" s="114">
        <v>21716.12</v>
      </c>
      <c r="L187" s="316">
        <v>6</v>
      </c>
      <c r="M187" s="50">
        <f t="shared" si="14"/>
        <v>21489.82</v>
      </c>
      <c r="N187" s="43">
        <f>2497.3+1152.6+5920.02+4595.4+602.1+6722.4</f>
        <v>21489.82</v>
      </c>
      <c r="O187" s="41"/>
      <c r="P187" s="113">
        <v>3</v>
      </c>
      <c r="Q187" s="114">
        <v>17758.3</v>
      </c>
      <c r="R187" s="270">
        <v>3</v>
      </c>
      <c r="S187" s="43">
        <f t="shared" si="16"/>
        <v>8500.2999999999993</v>
      </c>
      <c r="T187" s="114">
        <f>576.3+5426.7+2497.3</f>
        <v>8500.2999999999993</v>
      </c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146</v>
      </c>
      <c r="C188" s="374" t="s">
        <v>39</v>
      </c>
      <c r="D188" s="374" t="s">
        <v>328</v>
      </c>
      <c r="E188" s="374" t="s">
        <v>27</v>
      </c>
      <c r="F188" s="204" t="s">
        <v>329</v>
      </c>
      <c r="G188" s="176" t="s">
        <v>24</v>
      </c>
      <c r="H188" s="48">
        <v>16</v>
      </c>
      <c r="I188" s="62">
        <v>12</v>
      </c>
      <c r="J188" s="62">
        <v>13</v>
      </c>
      <c r="K188" s="30">
        <v>34160.230000000003</v>
      </c>
      <c r="L188" s="205">
        <v>13</v>
      </c>
      <c r="M188" s="26">
        <f t="shared" si="14"/>
        <v>34160.230000000003</v>
      </c>
      <c r="N188" s="30">
        <v>34160.230000000003</v>
      </c>
      <c r="O188" s="225"/>
      <c r="P188" s="53">
        <v>13</v>
      </c>
      <c r="Q188" s="30">
        <v>38649.24</v>
      </c>
      <c r="R188" s="205">
        <v>13</v>
      </c>
      <c r="S188" s="26">
        <f t="shared" si="16"/>
        <v>38649.24</v>
      </c>
      <c r="T188" s="30">
        <v>38649.24</v>
      </c>
      <c r="U188" s="225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220" t="s">
        <v>330</v>
      </c>
      <c r="G189" s="229" t="s">
        <v>28</v>
      </c>
      <c r="H189" s="153">
        <v>5</v>
      </c>
      <c r="I189" s="130">
        <v>2</v>
      </c>
      <c r="J189" s="130">
        <v>2</v>
      </c>
      <c r="K189" s="114">
        <v>7867.44</v>
      </c>
      <c r="L189" s="270">
        <v>2</v>
      </c>
      <c r="M189" s="43">
        <f t="shared" si="14"/>
        <v>7867.44</v>
      </c>
      <c r="N189" s="43">
        <f>2649.24+5218.2</f>
        <v>7867.44</v>
      </c>
      <c r="O189" s="41"/>
      <c r="P189" s="115">
        <v>9</v>
      </c>
      <c r="Q189" s="68">
        <v>31615.67</v>
      </c>
      <c r="R189" s="285">
        <v>8</v>
      </c>
      <c r="S189" s="39">
        <f t="shared" si="16"/>
        <v>30985.07</v>
      </c>
      <c r="T189" s="68">
        <f>576.3+15944.3+1479.17+1344.7+8228.7+1404.9+2007</f>
        <v>30985.07</v>
      </c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148</v>
      </c>
      <c r="C190" s="374" t="s">
        <v>39</v>
      </c>
      <c r="D190" s="374" t="s">
        <v>149</v>
      </c>
      <c r="E190" s="374" t="s">
        <v>27</v>
      </c>
      <c r="F190" s="204" t="s">
        <v>218</v>
      </c>
      <c r="G190" s="176" t="s">
        <v>24</v>
      </c>
      <c r="H190" s="48">
        <v>25</v>
      </c>
      <c r="I190" s="62">
        <v>22</v>
      </c>
      <c r="J190" s="204">
        <v>30</v>
      </c>
      <c r="K190" s="30">
        <v>49643.35</v>
      </c>
      <c r="L190" s="205">
        <v>29</v>
      </c>
      <c r="M190" s="26">
        <f t="shared" si="14"/>
        <v>49041.25</v>
      </c>
      <c r="N190" s="30">
        <v>49041.25</v>
      </c>
      <c r="O190" s="225"/>
      <c r="P190" s="108">
        <v>23</v>
      </c>
      <c r="Q190" s="65">
        <v>84634.18</v>
      </c>
      <c r="R190" s="224">
        <v>23</v>
      </c>
      <c r="S190" s="50">
        <f t="shared" si="16"/>
        <v>84634.18</v>
      </c>
      <c r="T190" s="65">
        <v>84634.18</v>
      </c>
      <c r="U190" s="225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34"/>
      <c r="G191" s="229" t="s">
        <v>28</v>
      </c>
      <c r="H191" s="292">
        <v>4</v>
      </c>
      <c r="I191" s="208">
        <v>1</v>
      </c>
      <c r="J191" s="208">
        <v>1</v>
      </c>
      <c r="K191" s="209">
        <v>3010.5</v>
      </c>
      <c r="L191" s="290">
        <v>1</v>
      </c>
      <c r="M191" s="211">
        <f t="shared" si="14"/>
        <v>3010.5</v>
      </c>
      <c r="N191" s="211">
        <f>3010.5</f>
        <v>3010.5</v>
      </c>
      <c r="O191" s="212"/>
      <c r="P191" s="262">
        <v>2</v>
      </c>
      <c r="Q191" s="209">
        <v>10069.41</v>
      </c>
      <c r="R191" s="290">
        <v>3</v>
      </c>
      <c r="S191" s="211">
        <f t="shared" si="16"/>
        <v>3902.2000000000003</v>
      </c>
      <c r="T191" s="209">
        <f>1921+576.3+1404.9</f>
        <v>3902.2000000000003</v>
      </c>
      <c r="U191" s="21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373</v>
      </c>
      <c r="C192" s="374" t="s">
        <v>22</v>
      </c>
      <c r="D192" s="374"/>
      <c r="E192" s="374" t="s">
        <v>27</v>
      </c>
      <c r="F192" s="232" t="s">
        <v>417</v>
      </c>
      <c r="G192" s="213" t="s">
        <v>24</v>
      </c>
      <c r="H192" s="61">
        <v>2</v>
      </c>
      <c r="I192" s="62">
        <v>2</v>
      </c>
      <c r="J192" s="62">
        <v>3</v>
      </c>
      <c r="K192" s="326">
        <v>2669.31</v>
      </c>
      <c r="L192" s="327">
        <v>3</v>
      </c>
      <c r="M192" s="162">
        <f t="shared" si="14"/>
        <v>2669.31</v>
      </c>
      <c r="N192" s="326">
        <v>2669.31</v>
      </c>
      <c r="O192" s="28"/>
      <c r="P192" s="275"/>
      <c r="Q192" s="26"/>
      <c r="R192" s="27"/>
      <c r="S192" s="26">
        <f t="shared" si="16"/>
        <v>0</v>
      </c>
      <c r="T192" s="26"/>
      <c r="U192" s="28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215" t="s">
        <v>28</v>
      </c>
      <c r="H193" s="117">
        <v>7</v>
      </c>
      <c r="I193" s="37">
        <v>2</v>
      </c>
      <c r="J193" s="37">
        <v>2</v>
      </c>
      <c r="K193" s="318">
        <v>1658.32</v>
      </c>
      <c r="L193" s="343">
        <v>2</v>
      </c>
      <c r="M193" s="164">
        <f t="shared" si="14"/>
        <v>1658.65</v>
      </c>
      <c r="N193" s="164">
        <f>1056.55+602.1</f>
        <v>1658.65</v>
      </c>
      <c r="O193" s="41"/>
      <c r="P193" s="276"/>
      <c r="Q193" s="39"/>
      <c r="R193" s="40"/>
      <c r="S193" s="39">
        <f t="shared" si="16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6"/>
      <c r="B194" s="402" t="s">
        <v>150</v>
      </c>
      <c r="C194" s="377" t="s">
        <v>39</v>
      </c>
      <c r="D194" s="377" t="s">
        <v>151</v>
      </c>
      <c r="E194" s="377" t="s">
        <v>152</v>
      </c>
      <c r="F194" s="72"/>
      <c r="G194" s="95" t="s">
        <v>24</v>
      </c>
      <c r="H194" s="74"/>
      <c r="I194" s="96"/>
      <c r="J194" s="96"/>
      <c r="K194" s="293"/>
      <c r="L194" s="294"/>
      <c r="M194" s="293">
        <f t="shared" si="14"/>
        <v>0</v>
      </c>
      <c r="N194" s="293"/>
      <c r="O194" s="82"/>
      <c r="P194" s="295"/>
      <c r="Q194" s="81"/>
      <c r="R194" s="80"/>
      <c r="S194" s="81">
        <f t="shared" si="16"/>
        <v>0</v>
      </c>
      <c r="T194" s="81"/>
      <c r="U194" s="8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89"/>
      <c r="C195" s="375"/>
      <c r="D195" s="375"/>
      <c r="E195" s="375"/>
      <c r="F195" s="220" t="s">
        <v>331</v>
      </c>
      <c r="G195" s="35" t="s">
        <v>25</v>
      </c>
      <c r="H195" s="117">
        <v>4</v>
      </c>
      <c r="I195" s="37">
        <v>1</v>
      </c>
      <c r="J195" s="37">
        <v>1</v>
      </c>
      <c r="K195" s="318">
        <v>3153</v>
      </c>
      <c r="L195" s="343">
        <v>1</v>
      </c>
      <c r="M195" s="318">
        <v>3153</v>
      </c>
      <c r="N195" s="318">
        <v>3153</v>
      </c>
      <c r="O195" s="41"/>
      <c r="P195" s="67">
        <v>5</v>
      </c>
      <c r="Q195" s="68">
        <v>32446.01</v>
      </c>
      <c r="R195" s="285">
        <v>5</v>
      </c>
      <c r="S195" s="68">
        <v>32446.01</v>
      </c>
      <c r="T195" s="68">
        <v>32446.01</v>
      </c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153</v>
      </c>
      <c r="C196" s="374" t="s">
        <v>39</v>
      </c>
      <c r="D196" s="381" t="s">
        <v>332</v>
      </c>
      <c r="E196" s="381" t="s">
        <v>27</v>
      </c>
      <c r="F196" s="223" t="s">
        <v>333</v>
      </c>
      <c r="G196" s="47" t="s">
        <v>24</v>
      </c>
      <c r="H196" s="48">
        <v>25</v>
      </c>
      <c r="I196" s="203">
        <v>23</v>
      </c>
      <c r="J196" s="203">
        <v>38</v>
      </c>
      <c r="K196" s="242">
        <v>84037.54</v>
      </c>
      <c r="L196" s="320">
        <v>38</v>
      </c>
      <c r="M196" s="166">
        <f t="shared" ref="M196:M215" si="17">N196+O196</f>
        <v>84037.54</v>
      </c>
      <c r="N196" s="242">
        <v>84037.54</v>
      </c>
      <c r="O196" s="225"/>
      <c r="P196" s="108">
        <v>8</v>
      </c>
      <c r="Q196" s="65">
        <v>44672.93</v>
      </c>
      <c r="R196" s="224">
        <v>8</v>
      </c>
      <c r="S196" s="50">
        <f t="shared" ref="S196:S215" si="18">T196+U196</f>
        <v>44672.93</v>
      </c>
      <c r="T196" s="65">
        <v>44672.93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75"/>
      <c r="D197" s="380"/>
      <c r="E197" s="380"/>
      <c r="F197" s="34"/>
      <c r="G197" s="35" t="s">
        <v>28</v>
      </c>
      <c r="H197" s="153">
        <v>4</v>
      </c>
      <c r="I197" s="130">
        <v>3</v>
      </c>
      <c r="J197" s="130">
        <v>3</v>
      </c>
      <c r="K197" s="114">
        <v>5166.6000000000004</v>
      </c>
      <c r="L197" s="270">
        <v>1</v>
      </c>
      <c r="M197" s="43">
        <f t="shared" si="17"/>
        <v>1152.5999999999999</v>
      </c>
      <c r="N197" s="43">
        <f>1152.6</f>
        <v>1152.5999999999999</v>
      </c>
      <c r="O197" s="41"/>
      <c r="P197" s="113">
        <v>4</v>
      </c>
      <c r="Q197" s="114">
        <v>21119.5</v>
      </c>
      <c r="R197" s="270">
        <v>5</v>
      </c>
      <c r="S197" s="43">
        <f t="shared" si="18"/>
        <v>23040.5</v>
      </c>
      <c r="T197" s="114">
        <f>1921+11718.1+5186.7+2809.8+1404.9</f>
        <v>23040.5</v>
      </c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155</v>
      </c>
      <c r="C198" s="374" t="s">
        <v>22</v>
      </c>
      <c r="D198" s="374"/>
      <c r="E198" s="374" t="s">
        <v>37</v>
      </c>
      <c r="F198" s="223" t="s">
        <v>245</v>
      </c>
      <c r="G198" s="23" t="s">
        <v>24</v>
      </c>
      <c r="H198" s="48">
        <v>9</v>
      </c>
      <c r="I198" s="62">
        <v>5</v>
      </c>
      <c r="J198" s="62">
        <v>6</v>
      </c>
      <c r="K198" s="30">
        <v>8463.7199999999993</v>
      </c>
      <c r="L198" s="205">
        <v>6</v>
      </c>
      <c r="M198" s="26">
        <f t="shared" si="17"/>
        <v>8463.7199999999993</v>
      </c>
      <c r="N198" s="30">
        <v>8463.7199999999993</v>
      </c>
      <c r="O198" s="31"/>
      <c r="P198" s="53">
        <v>9</v>
      </c>
      <c r="Q198" s="30">
        <v>23074.77</v>
      </c>
      <c r="R198" s="205">
        <v>9</v>
      </c>
      <c r="S198" s="26">
        <f t="shared" si="18"/>
        <v>23074.77</v>
      </c>
      <c r="T198" s="30">
        <v>23074.77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105"/>
      <c r="G199" s="35" t="s">
        <v>28</v>
      </c>
      <c r="H199" s="116"/>
      <c r="I199" s="38"/>
      <c r="J199" s="38"/>
      <c r="K199" s="39"/>
      <c r="L199" s="40"/>
      <c r="M199" s="39">
        <f t="shared" si="17"/>
        <v>0</v>
      </c>
      <c r="N199" s="39"/>
      <c r="O199" s="41"/>
      <c r="P199" s="59"/>
      <c r="Q199" s="39"/>
      <c r="R199" s="40"/>
      <c r="S199" s="39">
        <f t="shared" si="18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156</v>
      </c>
      <c r="C200" s="381" t="s">
        <v>46</v>
      </c>
      <c r="D200" s="385" t="s">
        <v>418</v>
      </c>
      <c r="E200" s="381" t="s">
        <v>27</v>
      </c>
      <c r="F200" s="223" t="s">
        <v>419</v>
      </c>
      <c r="G200" s="23" t="s">
        <v>24</v>
      </c>
      <c r="H200" s="98"/>
      <c r="I200" s="49"/>
      <c r="J200" s="49"/>
      <c r="K200" s="50"/>
      <c r="L200" s="51"/>
      <c r="M200" s="50">
        <f t="shared" si="17"/>
        <v>0</v>
      </c>
      <c r="N200" s="50"/>
      <c r="O200" s="31"/>
      <c r="P200" s="108">
        <v>2</v>
      </c>
      <c r="Q200" s="65">
        <v>14241.9</v>
      </c>
      <c r="R200" s="224">
        <v>2</v>
      </c>
      <c r="S200" s="50">
        <f t="shared" si="18"/>
        <v>14241.9</v>
      </c>
      <c r="T200" s="65">
        <v>14241.9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56">
        <v>6</v>
      </c>
      <c r="I201" s="130">
        <v>1</v>
      </c>
      <c r="J201" s="130">
        <v>1</v>
      </c>
      <c r="K201" s="114">
        <v>2102</v>
      </c>
      <c r="L201" s="44"/>
      <c r="M201" s="43">
        <f t="shared" si="17"/>
        <v>0</v>
      </c>
      <c r="N201" s="43"/>
      <c r="O201" s="41"/>
      <c r="P201" s="113">
        <v>1</v>
      </c>
      <c r="Q201" s="114">
        <v>0</v>
      </c>
      <c r="R201" s="44"/>
      <c r="S201" s="43">
        <f t="shared" si="18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157</v>
      </c>
      <c r="C202" s="390"/>
      <c r="D202" s="374"/>
      <c r="E202" s="374"/>
      <c r="F202" s="22"/>
      <c r="G202" s="23" t="s">
        <v>24</v>
      </c>
      <c r="H202" s="104"/>
      <c r="I202" s="25"/>
      <c r="J202" s="25"/>
      <c r="K202" s="26"/>
      <c r="L202" s="27"/>
      <c r="M202" s="26">
        <f t="shared" si="17"/>
        <v>0</v>
      </c>
      <c r="N202" s="26"/>
      <c r="O202" s="31"/>
      <c r="P202" s="120"/>
      <c r="Q202" s="26"/>
      <c r="R202" s="27"/>
      <c r="S202" s="26">
        <f t="shared" si="18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34"/>
      <c r="G203" s="35" t="s">
        <v>28</v>
      </c>
      <c r="H203" s="106"/>
      <c r="I203" s="38"/>
      <c r="J203" s="38"/>
      <c r="K203" s="39"/>
      <c r="L203" s="40"/>
      <c r="M203" s="39">
        <f t="shared" si="17"/>
        <v>0</v>
      </c>
      <c r="N203" s="39"/>
      <c r="O203" s="41"/>
      <c r="P203" s="69"/>
      <c r="Q203" s="39"/>
      <c r="R203" s="40"/>
      <c r="S203" s="39">
        <f t="shared" si="18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158</v>
      </c>
      <c r="C204" s="374" t="s">
        <v>39</v>
      </c>
      <c r="D204" s="374" t="s">
        <v>288</v>
      </c>
      <c r="E204" s="374" t="s">
        <v>27</v>
      </c>
      <c r="F204" s="204" t="s">
        <v>289</v>
      </c>
      <c r="G204" s="176" t="s">
        <v>24</v>
      </c>
      <c r="H204" s="48">
        <v>11</v>
      </c>
      <c r="I204" s="203">
        <v>10</v>
      </c>
      <c r="J204" s="203">
        <v>12</v>
      </c>
      <c r="K204" s="65">
        <v>28819.85</v>
      </c>
      <c r="L204" s="224">
        <v>12</v>
      </c>
      <c r="M204" s="50">
        <f t="shared" si="17"/>
        <v>28819.85</v>
      </c>
      <c r="N204" s="65">
        <v>28819.85</v>
      </c>
      <c r="O204" s="225"/>
      <c r="P204" s="108">
        <v>11</v>
      </c>
      <c r="Q204" s="65">
        <v>24722.32</v>
      </c>
      <c r="R204" s="224">
        <v>11</v>
      </c>
      <c r="S204" s="50">
        <f t="shared" si="18"/>
        <v>24722.32</v>
      </c>
      <c r="T204" s="65">
        <v>24722.32</v>
      </c>
      <c r="U204" s="22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220" t="s">
        <v>334</v>
      </c>
      <c r="G205" s="229" t="s">
        <v>28</v>
      </c>
      <c r="H205" s="117">
        <v>5</v>
      </c>
      <c r="I205" s="37">
        <v>4</v>
      </c>
      <c r="J205" s="37">
        <v>4</v>
      </c>
      <c r="K205" s="68">
        <v>5874.79</v>
      </c>
      <c r="L205" s="285">
        <v>3</v>
      </c>
      <c r="M205" s="39">
        <f t="shared" si="17"/>
        <v>4329.3999999999996</v>
      </c>
      <c r="N205" s="39">
        <f>1921+1204.2+1204.2</f>
        <v>4329.3999999999996</v>
      </c>
      <c r="O205" s="41"/>
      <c r="P205" s="59"/>
      <c r="Q205" s="39"/>
      <c r="R205" s="40"/>
      <c r="S205" s="39">
        <f t="shared" si="18"/>
        <v>1152.5999999999999</v>
      </c>
      <c r="T205" s="68">
        <v>1152.5999999999999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159</v>
      </c>
      <c r="C206" s="377" t="s">
        <v>22</v>
      </c>
      <c r="D206" s="377"/>
      <c r="E206" s="377" t="s">
        <v>160</v>
      </c>
      <c r="F206" s="232" t="s">
        <v>246</v>
      </c>
      <c r="G206" s="95" t="s">
        <v>24</v>
      </c>
      <c r="H206" s="48">
        <v>31</v>
      </c>
      <c r="I206" s="203">
        <v>26</v>
      </c>
      <c r="J206" s="203">
        <v>41</v>
      </c>
      <c r="K206" s="65">
        <v>73501.649999999994</v>
      </c>
      <c r="L206" s="224">
        <v>41</v>
      </c>
      <c r="M206" s="50">
        <f t="shared" si="17"/>
        <v>73501.649999999994</v>
      </c>
      <c r="N206" s="65">
        <v>73501.649999999994</v>
      </c>
      <c r="O206" s="225"/>
      <c r="P206" s="108">
        <v>27</v>
      </c>
      <c r="Q206" s="65">
        <v>44164.37</v>
      </c>
      <c r="R206" s="224">
        <v>27</v>
      </c>
      <c r="S206" s="50">
        <f t="shared" si="18"/>
        <v>44164.37</v>
      </c>
      <c r="T206" s="65">
        <v>44164.37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54"/>
      <c r="G207" s="55" t="s">
        <v>28</v>
      </c>
      <c r="H207" s="112">
        <v>7</v>
      </c>
      <c r="I207" s="130">
        <v>2</v>
      </c>
      <c r="J207" s="130">
        <v>2</v>
      </c>
      <c r="K207" s="114">
        <v>2401.25</v>
      </c>
      <c r="L207" s="316">
        <v>2</v>
      </c>
      <c r="M207" s="50">
        <f t="shared" si="17"/>
        <v>2401.25</v>
      </c>
      <c r="N207" s="43">
        <f>1056.55+1344.7</f>
        <v>2401.25</v>
      </c>
      <c r="O207" s="41"/>
      <c r="P207" s="113">
        <v>3</v>
      </c>
      <c r="Q207" s="114">
        <v>5551.69</v>
      </c>
      <c r="R207" s="270">
        <v>3</v>
      </c>
      <c r="S207" s="43">
        <f t="shared" si="18"/>
        <v>5551.69</v>
      </c>
      <c r="T207" s="43">
        <f>5551.69</f>
        <v>5551.69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161</v>
      </c>
      <c r="C208" s="377" t="s">
        <v>22</v>
      </c>
      <c r="D208" s="374"/>
      <c r="E208" s="374" t="s">
        <v>450</v>
      </c>
      <c r="F208" s="204" t="s">
        <v>451</v>
      </c>
      <c r="G208" s="23" t="s">
        <v>24</v>
      </c>
      <c r="H208" s="24">
        <v>17</v>
      </c>
      <c r="I208" s="62">
        <v>5</v>
      </c>
      <c r="J208" s="62">
        <v>10</v>
      </c>
      <c r="K208" s="30">
        <v>14946.76</v>
      </c>
      <c r="L208" s="205">
        <v>10</v>
      </c>
      <c r="M208" s="26">
        <f t="shared" si="17"/>
        <v>14946.76</v>
      </c>
      <c r="N208" s="30">
        <v>14946.76</v>
      </c>
      <c r="O208" s="31"/>
      <c r="P208" s="53">
        <v>12</v>
      </c>
      <c r="Q208" s="30">
        <v>42909.61</v>
      </c>
      <c r="R208" s="205">
        <v>12</v>
      </c>
      <c r="S208" s="26">
        <f t="shared" si="18"/>
        <v>42909.61</v>
      </c>
      <c r="T208" s="30">
        <v>42909.61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92"/>
      <c r="F209" s="34"/>
      <c r="G209" s="35" t="s">
        <v>28</v>
      </c>
      <c r="H209" s="66">
        <v>8</v>
      </c>
      <c r="I209" s="37">
        <v>3</v>
      </c>
      <c r="J209" s="37">
        <v>3</v>
      </c>
      <c r="K209" s="68">
        <v>13295.45</v>
      </c>
      <c r="L209" s="40"/>
      <c r="M209" s="39">
        <f t="shared" si="17"/>
        <v>0</v>
      </c>
      <c r="N209" s="39"/>
      <c r="O209" s="41"/>
      <c r="P209" s="115">
        <v>1</v>
      </c>
      <c r="Q209" s="68">
        <v>0</v>
      </c>
      <c r="R209" s="40"/>
      <c r="S209" s="39">
        <f t="shared" si="18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82"/>
      <c r="B210" s="381" t="s">
        <v>162</v>
      </c>
      <c r="C210" s="381" t="s">
        <v>39</v>
      </c>
      <c r="D210" s="381" t="s">
        <v>163</v>
      </c>
      <c r="E210" s="374" t="s">
        <v>27</v>
      </c>
      <c r="F210" s="135"/>
      <c r="G210" s="47" t="s">
        <v>24</v>
      </c>
      <c r="H210" s="98"/>
      <c r="I210" s="49"/>
      <c r="J210" s="49"/>
      <c r="K210" s="50"/>
      <c r="L210" s="51"/>
      <c r="M210" s="50">
        <f t="shared" si="17"/>
        <v>0</v>
      </c>
      <c r="N210" s="50"/>
      <c r="O210" s="31"/>
      <c r="P210" s="123"/>
      <c r="Q210" s="50"/>
      <c r="R210" s="51"/>
      <c r="S210" s="50">
        <f t="shared" si="18"/>
        <v>0</v>
      </c>
      <c r="T210" s="50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87"/>
      <c r="B211" s="386"/>
      <c r="C211" s="386"/>
      <c r="D211" s="386"/>
      <c r="E211" s="386"/>
      <c r="F211" s="54"/>
      <c r="G211" s="47" t="s">
        <v>25</v>
      </c>
      <c r="H211" s="98"/>
      <c r="I211" s="49"/>
      <c r="J211" s="49"/>
      <c r="K211" s="50"/>
      <c r="L211" s="51"/>
      <c r="M211" s="50">
        <f t="shared" si="17"/>
        <v>0</v>
      </c>
      <c r="N211" s="50"/>
      <c r="O211" s="45"/>
      <c r="P211" s="123"/>
      <c r="Q211" s="50"/>
      <c r="R211" s="51"/>
      <c r="S211" s="50">
        <f t="shared" si="18"/>
        <v>0</v>
      </c>
      <c r="T211" s="50"/>
      <c r="U211" s="45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9"/>
      <c r="B212" s="380"/>
      <c r="C212" s="380"/>
      <c r="D212" s="380"/>
      <c r="E212" s="380"/>
      <c r="F212" s="54"/>
      <c r="G212" s="55" t="s">
        <v>28</v>
      </c>
      <c r="H212" s="116"/>
      <c r="I212" s="57"/>
      <c r="J212" s="57"/>
      <c r="K212" s="43"/>
      <c r="L212" s="44"/>
      <c r="M212" s="43">
        <f t="shared" si="17"/>
        <v>0</v>
      </c>
      <c r="N212" s="43"/>
      <c r="O212" s="41"/>
      <c r="P212" s="113">
        <v>1</v>
      </c>
      <c r="Q212" s="114">
        <v>4602.5</v>
      </c>
      <c r="R212" s="270">
        <v>1</v>
      </c>
      <c r="S212" s="43">
        <f t="shared" si="18"/>
        <v>4602.5</v>
      </c>
      <c r="T212" s="114">
        <v>4602.5</v>
      </c>
      <c r="U212" s="23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2"/>
      <c r="B213" s="374" t="s">
        <v>164</v>
      </c>
      <c r="C213" s="374" t="s">
        <v>22</v>
      </c>
      <c r="D213" s="374"/>
      <c r="E213" s="374" t="s">
        <v>27</v>
      </c>
      <c r="F213" s="22"/>
      <c r="G213" s="23" t="s">
        <v>24</v>
      </c>
      <c r="H213" s="98"/>
      <c r="I213" s="25"/>
      <c r="J213" s="25"/>
      <c r="K213" s="26"/>
      <c r="L213" s="27"/>
      <c r="M213" s="26">
        <f t="shared" si="17"/>
        <v>0</v>
      </c>
      <c r="N213" s="26"/>
      <c r="O213" s="31"/>
      <c r="P213" s="99"/>
      <c r="Q213" s="26"/>
      <c r="R213" s="27"/>
      <c r="S213" s="26">
        <f t="shared" si="18"/>
        <v>0</v>
      </c>
      <c r="T213" s="26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1" t="s">
        <v>335</v>
      </c>
      <c r="G214" s="55" t="s">
        <v>28</v>
      </c>
      <c r="H214" s="56">
        <v>6</v>
      </c>
      <c r="I214" s="130">
        <v>2</v>
      </c>
      <c r="J214" s="130">
        <v>2</v>
      </c>
      <c r="K214" s="114">
        <v>3813.3</v>
      </c>
      <c r="L214" s="270">
        <v>2</v>
      </c>
      <c r="M214" s="43">
        <f t="shared" si="17"/>
        <v>3813.3</v>
      </c>
      <c r="N214" s="43">
        <f>2007+1806.3</f>
        <v>3813.3</v>
      </c>
      <c r="O214" s="41"/>
      <c r="P214" s="113">
        <v>4</v>
      </c>
      <c r="Q214" s="114">
        <v>7395.85</v>
      </c>
      <c r="R214" s="270">
        <v>5</v>
      </c>
      <c r="S214" s="43">
        <f t="shared" si="18"/>
        <v>8452.4000000000015</v>
      </c>
      <c r="T214" s="114">
        <f>4034.1+1921+2497.3</f>
        <v>8452.4000000000015</v>
      </c>
      <c r="U214" s="4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2"/>
      <c r="B215" s="374" t="s">
        <v>165</v>
      </c>
      <c r="C215" s="374"/>
      <c r="D215" s="374"/>
      <c r="E215" s="374"/>
      <c r="F215" s="22"/>
      <c r="G215" s="23" t="s">
        <v>24</v>
      </c>
      <c r="H215" s="119"/>
      <c r="I215" s="25"/>
      <c r="J215" s="25"/>
      <c r="K215" s="26"/>
      <c r="L215" s="27"/>
      <c r="M215" s="26">
        <f t="shared" si="17"/>
        <v>0</v>
      </c>
      <c r="N215" s="26"/>
      <c r="O215" s="31"/>
      <c r="P215" s="99"/>
      <c r="Q215" s="26"/>
      <c r="R215" s="27"/>
      <c r="S215" s="26">
        <f t="shared" si="18"/>
        <v>0</v>
      </c>
      <c r="T215" s="26"/>
      <c r="U215" s="3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0" t="s">
        <v>495</v>
      </c>
      <c r="G216" s="35" t="s">
        <v>25</v>
      </c>
      <c r="H216" s="66">
        <v>2</v>
      </c>
      <c r="I216" s="37">
        <v>1</v>
      </c>
      <c r="J216" s="37">
        <v>1</v>
      </c>
      <c r="K216" s="68">
        <v>2408.4</v>
      </c>
      <c r="L216" s="285">
        <v>1</v>
      </c>
      <c r="M216" s="68">
        <v>2408.4</v>
      </c>
      <c r="N216" s="68">
        <v>2408.4</v>
      </c>
      <c r="O216" s="41"/>
      <c r="P216" s="115">
        <v>2</v>
      </c>
      <c r="Q216" s="68">
        <v>288.14999999999998</v>
      </c>
      <c r="R216" s="285">
        <v>1</v>
      </c>
      <c r="S216" s="68">
        <v>288.14999999999998</v>
      </c>
      <c r="T216" s="68">
        <v>288.14999999999998</v>
      </c>
      <c r="U216" s="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6"/>
      <c r="B217" s="377" t="s">
        <v>454</v>
      </c>
      <c r="C217" s="377" t="s">
        <v>39</v>
      </c>
      <c r="D217" s="405" t="s">
        <v>455</v>
      </c>
      <c r="E217" s="381" t="s">
        <v>27</v>
      </c>
      <c r="F217" s="204" t="s">
        <v>467</v>
      </c>
      <c r="G217" s="23" t="s">
        <v>24</v>
      </c>
      <c r="H217" s="328">
        <v>4</v>
      </c>
      <c r="I217" s="231">
        <v>4</v>
      </c>
      <c r="J217" s="231">
        <v>4</v>
      </c>
      <c r="K217" s="91">
        <v>5611.73</v>
      </c>
      <c r="L217" s="330">
        <v>4</v>
      </c>
      <c r="M217" s="26">
        <f t="shared" ref="M217:M233" si="19">N217+O217</f>
        <v>5611.73</v>
      </c>
      <c r="N217" s="91">
        <v>5611.73</v>
      </c>
      <c r="O217" s="94"/>
      <c r="P217" s="329"/>
      <c r="Q217" s="91"/>
      <c r="R217" s="330"/>
      <c r="S217" s="26">
        <f t="shared" ref="S217:S233" si="20">T217+U217</f>
        <v>0</v>
      </c>
      <c r="T217" s="79"/>
      <c r="U217" s="336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406"/>
      <c r="E218" s="375"/>
      <c r="F218" s="220"/>
      <c r="G218" s="345" t="s">
        <v>28</v>
      </c>
      <c r="H218" s="346">
        <v>9</v>
      </c>
      <c r="I218" s="37">
        <v>7</v>
      </c>
      <c r="J218" s="37">
        <v>7</v>
      </c>
      <c r="K218" s="68">
        <v>15554.25</v>
      </c>
      <c r="L218" s="285">
        <v>5</v>
      </c>
      <c r="M218" s="87">
        <f t="shared" si="19"/>
        <v>11540.25</v>
      </c>
      <c r="N218" s="39">
        <f>3211.2+2609.1+2609.1+2007+1103.85</f>
        <v>11540.25</v>
      </c>
      <c r="O218" s="41"/>
      <c r="P218" s="217"/>
      <c r="Q218" s="68"/>
      <c r="R218" s="285"/>
      <c r="S218" s="87">
        <f t="shared" si="20"/>
        <v>0</v>
      </c>
      <c r="T218" s="339"/>
      <c r="U218" s="34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82"/>
      <c r="B219" s="381" t="s">
        <v>166</v>
      </c>
      <c r="C219" s="381" t="s">
        <v>22</v>
      </c>
      <c r="D219" s="377"/>
      <c r="E219" s="381" t="s">
        <v>27</v>
      </c>
      <c r="F219" s="232" t="s">
        <v>420</v>
      </c>
      <c r="G219" s="347" t="s">
        <v>24</v>
      </c>
      <c r="H219" s="348">
        <v>1</v>
      </c>
      <c r="I219" s="96"/>
      <c r="J219" s="96"/>
      <c r="K219" s="81"/>
      <c r="L219" s="80"/>
      <c r="M219" s="81">
        <f t="shared" si="19"/>
        <v>0</v>
      </c>
      <c r="N219" s="81"/>
      <c r="O219" s="82"/>
      <c r="P219" s="78">
        <v>4</v>
      </c>
      <c r="Q219" s="79">
        <v>17868.150000000001</v>
      </c>
      <c r="R219" s="268">
        <v>4</v>
      </c>
      <c r="S219" s="81">
        <f t="shared" si="20"/>
        <v>17868.150000000001</v>
      </c>
      <c r="T219" s="79">
        <v>17868.150000000001</v>
      </c>
      <c r="U219" s="26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6"/>
      <c r="G220" s="227" t="s">
        <v>28</v>
      </c>
      <c r="H220" s="334"/>
      <c r="I220" s="57"/>
      <c r="J220" s="57"/>
      <c r="K220" s="43"/>
      <c r="L220" s="44"/>
      <c r="M220" s="43">
        <f t="shared" si="19"/>
        <v>0</v>
      </c>
      <c r="N220" s="43"/>
      <c r="O220" s="45"/>
      <c r="P220" s="273"/>
      <c r="Q220" s="211"/>
      <c r="R220" s="210"/>
      <c r="S220" s="211">
        <f t="shared" si="20"/>
        <v>0</v>
      </c>
      <c r="T220" s="211"/>
      <c r="U220" s="21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167</v>
      </c>
      <c r="C221" s="374" t="s">
        <v>46</v>
      </c>
      <c r="D221" s="374" t="s">
        <v>168</v>
      </c>
      <c r="E221" s="374" t="s">
        <v>27</v>
      </c>
      <c r="F221" s="204" t="s">
        <v>421</v>
      </c>
      <c r="G221" s="176" t="s">
        <v>24</v>
      </c>
      <c r="H221" s="248">
        <v>5</v>
      </c>
      <c r="I221" s="62">
        <v>5</v>
      </c>
      <c r="J221" s="62">
        <v>5</v>
      </c>
      <c r="K221" s="30">
        <v>7982.3</v>
      </c>
      <c r="L221" s="205">
        <v>4</v>
      </c>
      <c r="M221" s="26">
        <f t="shared" si="19"/>
        <v>6502.43</v>
      </c>
      <c r="N221" s="30">
        <v>6502.43</v>
      </c>
      <c r="O221" s="308"/>
      <c r="P221" s="99"/>
      <c r="Q221" s="26"/>
      <c r="R221" s="27"/>
      <c r="S221" s="26">
        <f t="shared" si="20"/>
        <v>0</v>
      </c>
      <c r="T221" s="26"/>
      <c r="U221" s="28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247</v>
      </c>
      <c r="G222" s="229" t="s">
        <v>28</v>
      </c>
      <c r="H222" s="258">
        <v>9</v>
      </c>
      <c r="I222" s="37">
        <v>6</v>
      </c>
      <c r="J222" s="37">
        <v>6</v>
      </c>
      <c r="K222" s="68">
        <v>14608.15</v>
      </c>
      <c r="L222" s="285">
        <v>5</v>
      </c>
      <c r="M222" s="39">
        <f t="shared" si="19"/>
        <v>19304.88</v>
      </c>
      <c r="N222" s="39">
        <f>1985.09+7101.24+2689.4+4418.3+1705.95+1404.9</f>
        <v>19304.88</v>
      </c>
      <c r="O222" s="309"/>
      <c r="P222" s="310">
        <v>7</v>
      </c>
      <c r="Q222" s="245">
        <v>33570.1</v>
      </c>
      <c r="R222" s="285">
        <v>7</v>
      </c>
      <c r="S222" s="39">
        <f t="shared" si="20"/>
        <v>24543.769999999997</v>
      </c>
      <c r="T222" s="68">
        <f>4034.1+1152.6+2881.5+2497.3+1921+6638.37+5418.9</f>
        <v>24543.769999999997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6"/>
      <c r="B223" s="377" t="s">
        <v>169</v>
      </c>
      <c r="C223" s="377" t="s">
        <v>39</v>
      </c>
      <c r="D223" s="377"/>
      <c r="E223" s="377" t="s">
        <v>27</v>
      </c>
      <c r="F223" s="72"/>
      <c r="G223" s="291" t="s">
        <v>24</v>
      </c>
      <c r="H223" s="98"/>
      <c r="I223" s="49"/>
      <c r="J223" s="49"/>
      <c r="K223" s="50"/>
      <c r="L223" s="51"/>
      <c r="M223" s="50">
        <f t="shared" si="19"/>
        <v>0</v>
      </c>
      <c r="N223" s="50"/>
      <c r="O223" s="31"/>
      <c r="P223" s="277"/>
      <c r="Q223" s="81"/>
      <c r="R223" s="80"/>
      <c r="S223" s="81">
        <f t="shared" si="20"/>
        <v>0</v>
      </c>
      <c r="T223" s="81"/>
      <c r="U223" s="219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336</v>
      </c>
      <c r="G224" s="229" t="s">
        <v>28</v>
      </c>
      <c r="H224" s="153">
        <v>5</v>
      </c>
      <c r="I224" s="130">
        <v>2</v>
      </c>
      <c r="J224" s="130">
        <v>2</v>
      </c>
      <c r="K224" s="114">
        <v>2611.9</v>
      </c>
      <c r="L224" s="270">
        <v>1</v>
      </c>
      <c r="M224" s="43">
        <f t="shared" si="19"/>
        <v>1404.9</v>
      </c>
      <c r="N224" s="43">
        <f>1404.9</f>
        <v>1404.9</v>
      </c>
      <c r="O224" s="41"/>
      <c r="P224" s="113">
        <v>1</v>
      </c>
      <c r="Q224" s="114">
        <v>3842</v>
      </c>
      <c r="R224" s="316">
        <v>1</v>
      </c>
      <c r="S224" s="50">
        <f t="shared" si="20"/>
        <v>3842</v>
      </c>
      <c r="T224" s="43">
        <f>3842</f>
        <v>3842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170</v>
      </c>
      <c r="C225" s="374" t="s">
        <v>22</v>
      </c>
      <c r="D225" s="374"/>
      <c r="E225" s="374" t="s">
        <v>160</v>
      </c>
      <c r="F225" s="232" t="s">
        <v>248</v>
      </c>
      <c r="G225" s="23" t="s">
        <v>24</v>
      </c>
      <c r="H225" s="48">
        <v>31</v>
      </c>
      <c r="I225" s="62">
        <v>30</v>
      </c>
      <c r="J225" s="62">
        <v>39</v>
      </c>
      <c r="K225" s="30">
        <v>79827.37</v>
      </c>
      <c r="L225" s="205">
        <v>39</v>
      </c>
      <c r="M225" s="26">
        <f t="shared" si="19"/>
        <v>79827.37</v>
      </c>
      <c r="N225" s="30">
        <v>79827.37</v>
      </c>
      <c r="O225" s="225"/>
      <c r="P225" s="53">
        <v>25</v>
      </c>
      <c r="Q225" s="30">
        <v>74173.19</v>
      </c>
      <c r="R225" s="205">
        <v>25</v>
      </c>
      <c r="S225" s="26">
        <f t="shared" si="20"/>
        <v>74173.19</v>
      </c>
      <c r="T225" s="30">
        <v>74173.19</v>
      </c>
      <c r="U225" s="22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105"/>
      <c r="G226" s="35" t="s">
        <v>28</v>
      </c>
      <c r="H226" s="116"/>
      <c r="I226" s="38"/>
      <c r="J226" s="38"/>
      <c r="K226" s="39"/>
      <c r="L226" s="40"/>
      <c r="M226" s="39">
        <f t="shared" si="19"/>
        <v>0</v>
      </c>
      <c r="N226" s="39"/>
      <c r="O226" s="41"/>
      <c r="P226" s="59"/>
      <c r="Q226" s="39"/>
      <c r="R226" s="40"/>
      <c r="S226" s="39">
        <f t="shared" si="20"/>
        <v>0</v>
      </c>
      <c r="T226" s="39"/>
      <c r="U226" s="4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171</v>
      </c>
      <c r="C227" s="374" t="s">
        <v>39</v>
      </c>
      <c r="D227" s="374" t="s">
        <v>374</v>
      </c>
      <c r="E227" s="374" t="s">
        <v>27</v>
      </c>
      <c r="F227" s="223" t="s">
        <v>375</v>
      </c>
      <c r="G227" s="176" t="s">
        <v>24</v>
      </c>
      <c r="H227" s="48">
        <v>5</v>
      </c>
      <c r="I227" s="203">
        <v>3</v>
      </c>
      <c r="J227" s="203">
        <v>3</v>
      </c>
      <c r="K227" s="65">
        <v>6059.73</v>
      </c>
      <c r="L227" s="224">
        <v>3</v>
      </c>
      <c r="M227" s="50">
        <f t="shared" si="19"/>
        <v>6059.73</v>
      </c>
      <c r="N227" s="65">
        <v>6059.73</v>
      </c>
      <c r="O227" s="31"/>
      <c r="P227" s="108">
        <v>7</v>
      </c>
      <c r="Q227" s="65">
        <v>19784.07</v>
      </c>
      <c r="R227" s="224">
        <v>7</v>
      </c>
      <c r="S227" s="50">
        <f t="shared" si="20"/>
        <v>19784.07</v>
      </c>
      <c r="T227" s="65">
        <v>19784.07</v>
      </c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337</v>
      </c>
      <c r="G228" s="229" t="s">
        <v>28</v>
      </c>
      <c r="H228" s="133">
        <v>5</v>
      </c>
      <c r="I228" s="37">
        <v>2</v>
      </c>
      <c r="J228" s="37">
        <v>2</v>
      </c>
      <c r="K228" s="68">
        <v>4719</v>
      </c>
      <c r="L228" s="350">
        <v>1</v>
      </c>
      <c r="M228" s="351">
        <f t="shared" si="19"/>
        <v>3457.8</v>
      </c>
      <c r="N228" s="39">
        <f>3457.8</f>
        <v>3457.8</v>
      </c>
      <c r="O228" s="41"/>
      <c r="P228" s="115">
        <v>3</v>
      </c>
      <c r="Q228" s="68">
        <v>12518</v>
      </c>
      <c r="R228" s="285">
        <v>3</v>
      </c>
      <c r="S228" s="39">
        <f t="shared" si="20"/>
        <v>12518</v>
      </c>
      <c r="T228" s="39">
        <f>3073.6+4226.2+5218.2</f>
        <v>12518</v>
      </c>
      <c r="U228" s="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477</v>
      </c>
      <c r="C229" s="374"/>
      <c r="D229" s="374"/>
      <c r="E229" s="374"/>
      <c r="F229" s="232"/>
      <c r="G229" s="176" t="s">
        <v>24</v>
      </c>
      <c r="H229" s="260"/>
      <c r="I229" s="231"/>
      <c r="J229" s="231"/>
      <c r="K229" s="91"/>
      <c r="L229" s="330"/>
      <c r="M229" s="50">
        <f t="shared" si="19"/>
        <v>0</v>
      </c>
      <c r="N229" s="91"/>
      <c r="O229" s="331"/>
      <c r="P229" s="329"/>
      <c r="Q229" s="91"/>
      <c r="R229" s="330"/>
      <c r="S229" s="142">
        <f t="shared" si="20"/>
        <v>0</v>
      </c>
      <c r="T229" s="91"/>
      <c r="U229" s="3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305"/>
      <c r="G230" s="229" t="s">
        <v>28</v>
      </c>
      <c r="H230" s="117">
        <v>1</v>
      </c>
      <c r="I230" s="208"/>
      <c r="J230" s="208"/>
      <c r="K230" s="209"/>
      <c r="L230" s="290"/>
      <c r="M230" s="87">
        <f t="shared" si="19"/>
        <v>0</v>
      </c>
      <c r="N230" s="209"/>
      <c r="O230" s="234"/>
      <c r="P230" s="262"/>
      <c r="Q230" s="209"/>
      <c r="R230" s="290"/>
      <c r="S230" s="87">
        <f t="shared" si="20"/>
        <v>0</v>
      </c>
      <c r="T230" s="209"/>
      <c r="U230" s="263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172</v>
      </c>
      <c r="C231" s="374" t="s">
        <v>39</v>
      </c>
      <c r="D231" s="374" t="s">
        <v>303</v>
      </c>
      <c r="E231" s="374" t="s">
        <v>121</v>
      </c>
      <c r="F231" s="204" t="s">
        <v>304</v>
      </c>
      <c r="G231" s="176" t="s">
        <v>24</v>
      </c>
      <c r="H231" s="265">
        <v>41</v>
      </c>
      <c r="I231" s="62">
        <v>27</v>
      </c>
      <c r="J231" s="62">
        <v>28</v>
      </c>
      <c r="K231" s="30">
        <v>25358.09</v>
      </c>
      <c r="L231" s="205">
        <v>28</v>
      </c>
      <c r="M231" s="26">
        <f t="shared" si="19"/>
        <v>25358.09</v>
      </c>
      <c r="N231" s="30">
        <v>25358.09</v>
      </c>
      <c r="O231" s="269"/>
      <c r="P231" s="53">
        <v>34</v>
      </c>
      <c r="Q231" s="30">
        <v>98961.54</v>
      </c>
      <c r="R231" s="205">
        <v>33</v>
      </c>
      <c r="S231" s="26">
        <f t="shared" si="20"/>
        <v>98961.54</v>
      </c>
      <c r="T231" s="30">
        <v>98961.54</v>
      </c>
      <c r="U231" s="2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496</v>
      </c>
      <c r="G232" s="229" t="s">
        <v>25</v>
      </c>
      <c r="H232" s="102"/>
      <c r="I232" s="57"/>
      <c r="J232" s="57"/>
      <c r="K232" s="43"/>
      <c r="L232" s="44"/>
      <c r="M232" s="43">
        <f t="shared" si="19"/>
        <v>0</v>
      </c>
      <c r="N232" s="43"/>
      <c r="O232" s="41"/>
      <c r="P232" s="113">
        <v>1</v>
      </c>
      <c r="Q232" s="114">
        <v>1728.9</v>
      </c>
      <c r="R232" s="270">
        <v>1</v>
      </c>
      <c r="S232" s="43">
        <f t="shared" si="20"/>
        <v>1728.9</v>
      </c>
      <c r="T232" s="114">
        <v>1728.9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173</v>
      </c>
      <c r="C233" s="374" t="s">
        <v>39</v>
      </c>
      <c r="D233" s="374" t="s">
        <v>338</v>
      </c>
      <c r="E233" s="374" t="s">
        <v>121</v>
      </c>
      <c r="F233" s="232" t="s">
        <v>376</v>
      </c>
      <c r="G233" s="23" t="s">
        <v>24</v>
      </c>
      <c r="H233" s="61">
        <v>60</v>
      </c>
      <c r="I233" s="62">
        <v>25</v>
      </c>
      <c r="J233" s="62">
        <v>25</v>
      </c>
      <c r="K233" s="30">
        <v>29688.26</v>
      </c>
      <c r="L233" s="205">
        <v>25</v>
      </c>
      <c r="M233" s="26">
        <f t="shared" si="19"/>
        <v>29688.26</v>
      </c>
      <c r="N233" s="30">
        <v>29688.26</v>
      </c>
      <c r="O233" s="31"/>
      <c r="P233" s="53">
        <v>9</v>
      </c>
      <c r="Q233" s="30">
        <v>5292.88</v>
      </c>
      <c r="R233" s="205">
        <v>5</v>
      </c>
      <c r="S233" s="26">
        <f t="shared" si="20"/>
        <v>4887.8599999999997</v>
      </c>
      <c r="T233" s="30">
        <v>4887.8599999999997</v>
      </c>
      <c r="U233" s="31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220" t="s">
        <v>339</v>
      </c>
      <c r="G234" s="35" t="s">
        <v>25</v>
      </c>
      <c r="H234" s="117">
        <v>18</v>
      </c>
      <c r="I234" s="37">
        <v>9</v>
      </c>
      <c r="J234" s="37">
        <v>9</v>
      </c>
      <c r="K234" s="68">
        <v>14137.16</v>
      </c>
      <c r="L234" s="285">
        <v>9</v>
      </c>
      <c r="M234" s="68">
        <v>14137.16</v>
      </c>
      <c r="N234" s="68">
        <v>14137.16</v>
      </c>
      <c r="O234" s="234"/>
      <c r="P234" s="115">
        <v>4</v>
      </c>
      <c r="Q234" s="68">
        <v>14877.15</v>
      </c>
      <c r="R234" s="285">
        <v>4</v>
      </c>
      <c r="S234" s="68">
        <v>14877.15</v>
      </c>
      <c r="T234" s="68">
        <v>14877.15</v>
      </c>
      <c r="U234" s="23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174</v>
      </c>
      <c r="C235" s="374" t="s">
        <v>39</v>
      </c>
      <c r="D235" s="374" t="s">
        <v>175</v>
      </c>
      <c r="E235" s="374" t="s">
        <v>176</v>
      </c>
      <c r="F235" s="204" t="s">
        <v>377</v>
      </c>
      <c r="G235" s="176" t="s">
        <v>24</v>
      </c>
      <c r="H235" s="48">
        <v>30</v>
      </c>
      <c r="I235" s="203">
        <v>24</v>
      </c>
      <c r="J235" s="203">
        <v>29</v>
      </c>
      <c r="K235" s="65">
        <v>59152.57</v>
      </c>
      <c r="L235" s="224">
        <v>29</v>
      </c>
      <c r="M235" s="50">
        <f>N235+O235</f>
        <v>59152.57</v>
      </c>
      <c r="N235" s="65">
        <v>59152.57</v>
      </c>
      <c r="O235" s="225"/>
      <c r="P235" s="108">
        <v>22</v>
      </c>
      <c r="Q235" s="65">
        <v>80070.350000000006</v>
      </c>
      <c r="R235" s="224">
        <v>22</v>
      </c>
      <c r="S235" s="50">
        <f>T235+U235</f>
        <v>80070.350000000006</v>
      </c>
      <c r="T235" s="65">
        <v>80070.350000000006</v>
      </c>
      <c r="U235" s="22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220" t="s">
        <v>340</v>
      </c>
      <c r="G236" s="229" t="s">
        <v>25</v>
      </c>
      <c r="H236" s="153">
        <v>3</v>
      </c>
      <c r="I236" s="130">
        <v>2</v>
      </c>
      <c r="J236" s="130">
        <v>2</v>
      </c>
      <c r="K236" s="114">
        <v>11239.2</v>
      </c>
      <c r="L236" s="270">
        <v>2</v>
      </c>
      <c r="M236" s="114">
        <v>11239.2</v>
      </c>
      <c r="N236" s="114">
        <v>11239.2</v>
      </c>
      <c r="O236" s="41"/>
      <c r="P236" s="113">
        <v>12</v>
      </c>
      <c r="Q236" s="114">
        <v>58553.66</v>
      </c>
      <c r="R236" s="270">
        <v>12</v>
      </c>
      <c r="S236" s="114">
        <v>58553.66</v>
      </c>
      <c r="T236" s="114">
        <v>58553.66</v>
      </c>
      <c r="U236" s="23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177</v>
      </c>
      <c r="C237" s="377" t="s">
        <v>39</v>
      </c>
      <c r="D237" s="374" t="s">
        <v>226</v>
      </c>
      <c r="E237" s="374" t="s">
        <v>27</v>
      </c>
      <c r="F237" s="204" t="s">
        <v>227</v>
      </c>
      <c r="G237" s="23" t="s">
        <v>24</v>
      </c>
      <c r="H237" s="48">
        <v>14</v>
      </c>
      <c r="I237" s="62">
        <v>11</v>
      </c>
      <c r="J237" s="62">
        <v>11</v>
      </c>
      <c r="K237" s="30">
        <v>15789.33</v>
      </c>
      <c r="L237" s="205">
        <v>5</v>
      </c>
      <c r="M237" s="26">
        <f t="shared" ref="M237:M263" si="21">N237+O237</f>
        <v>15789.330000000002</v>
      </c>
      <c r="N237" s="30">
        <v>8372.27</v>
      </c>
      <c r="O237" s="225">
        <v>7417.06</v>
      </c>
      <c r="P237" s="53">
        <v>16</v>
      </c>
      <c r="Q237" s="30">
        <v>53460.74</v>
      </c>
      <c r="R237" s="205">
        <v>16</v>
      </c>
      <c r="S237" s="26">
        <f t="shared" ref="S237:S263" si="22">T237+U237</f>
        <v>53460.74</v>
      </c>
      <c r="T237" s="30">
        <v>53460.74</v>
      </c>
      <c r="U237" s="225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80"/>
      <c r="D238" s="375"/>
      <c r="E238" s="375"/>
      <c r="F238" s="105"/>
      <c r="G238" s="55" t="s">
        <v>28</v>
      </c>
      <c r="H238" s="118"/>
      <c r="I238" s="57"/>
      <c r="J238" s="57"/>
      <c r="K238" s="43"/>
      <c r="L238" s="44"/>
      <c r="M238" s="43">
        <f t="shared" si="21"/>
        <v>0</v>
      </c>
      <c r="N238" s="43"/>
      <c r="O238" s="41"/>
      <c r="P238" s="103"/>
      <c r="Q238" s="43"/>
      <c r="R238" s="44"/>
      <c r="S238" s="43">
        <f t="shared" si="22"/>
        <v>0</v>
      </c>
      <c r="T238" s="43"/>
      <c r="U238" s="4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178</v>
      </c>
      <c r="C239" s="374" t="s">
        <v>22</v>
      </c>
      <c r="D239" s="374"/>
      <c r="E239" s="374" t="s">
        <v>27</v>
      </c>
      <c r="F239" s="232" t="s">
        <v>452</v>
      </c>
      <c r="G239" s="176" t="s">
        <v>24</v>
      </c>
      <c r="H239" s="61">
        <v>9</v>
      </c>
      <c r="I239" s="62">
        <v>8</v>
      </c>
      <c r="J239" s="62">
        <v>10</v>
      </c>
      <c r="K239" s="30">
        <v>14011.64</v>
      </c>
      <c r="L239" s="205">
        <v>10</v>
      </c>
      <c r="M239" s="26">
        <f t="shared" si="21"/>
        <v>14011.64</v>
      </c>
      <c r="N239" s="30">
        <v>14011.64</v>
      </c>
      <c r="O239" s="31"/>
      <c r="P239" s="29">
        <v>1</v>
      </c>
      <c r="Q239" s="30">
        <v>2466.56</v>
      </c>
      <c r="R239" s="205">
        <v>1</v>
      </c>
      <c r="S239" s="26">
        <f t="shared" si="22"/>
        <v>2466.56</v>
      </c>
      <c r="T239" s="30">
        <v>2466.56</v>
      </c>
      <c r="U239" s="3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52" t="s">
        <v>28</v>
      </c>
      <c r="H240" s="106"/>
      <c r="I240" s="38"/>
      <c r="J240" s="38"/>
      <c r="K240" s="39"/>
      <c r="L240" s="40"/>
      <c r="M240" s="39">
        <f t="shared" si="21"/>
        <v>0</v>
      </c>
      <c r="N240" s="39"/>
      <c r="O240" s="41"/>
      <c r="P240" s="69"/>
      <c r="Q240" s="39"/>
      <c r="R240" s="40"/>
      <c r="S240" s="39">
        <f t="shared" si="22"/>
        <v>0</v>
      </c>
      <c r="T240" s="39"/>
      <c r="U240" s="4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445</v>
      </c>
      <c r="C241" s="374"/>
      <c r="D241" s="374"/>
      <c r="E241" s="374" t="s">
        <v>484</v>
      </c>
      <c r="F241" s="72"/>
      <c r="G241" s="176" t="s">
        <v>24</v>
      </c>
      <c r="H241" s="265"/>
      <c r="I241" s="266"/>
      <c r="J241" s="96"/>
      <c r="K241" s="81"/>
      <c r="L241" s="80"/>
      <c r="M241" s="142">
        <f t="shared" si="21"/>
        <v>0</v>
      </c>
      <c r="N241" s="81"/>
      <c r="O241" s="82"/>
      <c r="P241" s="295"/>
      <c r="Q241" s="81"/>
      <c r="R241" s="80"/>
      <c r="S241" s="142">
        <f t="shared" si="22"/>
        <v>0</v>
      </c>
      <c r="T241" s="81"/>
      <c r="U241" s="8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6"/>
      <c r="G242" s="252" t="s">
        <v>28</v>
      </c>
      <c r="H242" s="302">
        <v>1</v>
      </c>
      <c r="I242" s="261"/>
      <c r="J242" s="261"/>
      <c r="K242" s="211"/>
      <c r="L242" s="210"/>
      <c r="M242" s="39">
        <f t="shared" si="21"/>
        <v>0</v>
      </c>
      <c r="N242" s="211"/>
      <c r="O242" s="212"/>
      <c r="P242" s="284"/>
      <c r="Q242" s="211"/>
      <c r="R242" s="210"/>
      <c r="S242" s="39">
        <f t="shared" si="22"/>
        <v>0</v>
      </c>
      <c r="T242" s="211"/>
      <c r="U242" s="21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2"/>
      <c r="B243" s="374" t="s">
        <v>179</v>
      </c>
      <c r="C243" s="374" t="s">
        <v>471</v>
      </c>
      <c r="D243" s="374" t="s">
        <v>472</v>
      </c>
      <c r="E243" s="374" t="s">
        <v>27</v>
      </c>
      <c r="F243" s="204" t="s">
        <v>473</v>
      </c>
      <c r="G243" s="176" t="s">
        <v>24</v>
      </c>
      <c r="H243" s="61">
        <v>2</v>
      </c>
      <c r="I243" s="25"/>
      <c r="J243" s="25"/>
      <c r="K243" s="26"/>
      <c r="L243" s="27"/>
      <c r="M243" s="26">
        <f t="shared" si="21"/>
        <v>0</v>
      </c>
      <c r="N243" s="26"/>
      <c r="O243" s="28"/>
      <c r="P243" s="29">
        <v>4</v>
      </c>
      <c r="Q243" s="30">
        <v>0</v>
      </c>
      <c r="R243" s="27"/>
      <c r="S243" s="26">
        <f t="shared" si="22"/>
        <v>0</v>
      </c>
      <c r="T243" s="26"/>
      <c r="U243" s="28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3"/>
      <c r="B244" s="375"/>
      <c r="C244" s="375"/>
      <c r="D244" s="375"/>
      <c r="E244" s="375"/>
      <c r="F244" s="105"/>
      <c r="G244" s="229" t="s">
        <v>28</v>
      </c>
      <c r="H244" s="298"/>
      <c r="I244" s="261"/>
      <c r="J244" s="261"/>
      <c r="K244" s="211"/>
      <c r="L244" s="210"/>
      <c r="M244" s="211">
        <f t="shared" si="21"/>
        <v>0</v>
      </c>
      <c r="N244" s="211"/>
      <c r="O244" s="212"/>
      <c r="P244" s="284"/>
      <c r="Q244" s="211"/>
      <c r="R244" s="210"/>
      <c r="S244" s="211">
        <f t="shared" si="22"/>
        <v>0</v>
      </c>
      <c r="T244" s="211"/>
      <c r="U244" s="21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2"/>
      <c r="B245" s="374" t="s">
        <v>378</v>
      </c>
      <c r="C245" s="374" t="s">
        <v>46</v>
      </c>
      <c r="D245" s="374" t="s">
        <v>422</v>
      </c>
      <c r="E245" s="374" t="s">
        <v>27</v>
      </c>
      <c r="F245" s="232" t="s">
        <v>423</v>
      </c>
      <c r="G245" s="213" t="s">
        <v>24</v>
      </c>
      <c r="H245" s="61">
        <v>25</v>
      </c>
      <c r="I245" s="62">
        <v>18</v>
      </c>
      <c r="J245" s="62">
        <v>22</v>
      </c>
      <c r="K245" s="30">
        <v>42558.96</v>
      </c>
      <c r="L245" s="205">
        <v>21</v>
      </c>
      <c r="M245" s="26">
        <f t="shared" si="21"/>
        <v>38410.49</v>
      </c>
      <c r="N245" s="30">
        <v>38410.49</v>
      </c>
      <c r="O245" s="28"/>
      <c r="P245" s="214"/>
      <c r="Q245" s="30"/>
      <c r="R245" s="205"/>
      <c r="S245" s="26">
        <f t="shared" si="22"/>
        <v>0</v>
      </c>
      <c r="T245" s="30"/>
      <c r="U245" s="2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3"/>
      <c r="B246" s="375"/>
      <c r="C246" s="375"/>
      <c r="D246" s="375"/>
      <c r="E246" s="375"/>
      <c r="F246" s="220"/>
      <c r="G246" s="215" t="s">
        <v>28</v>
      </c>
      <c r="H246" s="117">
        <v>7</v>
      </c>
      <c r="I246" s="37">
        <v>1</v>
      </c>
      <c r="J246" s="37">
        <v>1</v>
      </c>
      <c r="K246" s="68">
        <v>1152.5999999999999</v>
      </c>
      <c r="L246" s="285">
        <v>1</v>
      </c>
      <c r="M246" s="39">
        <f t="shared" si="21"/>
        <v>1152.5999999999999</v>
      </c>
      <c r="N246" s="39">
        <f>1152.6</f>
        <v>1152.5999999999999</v>
      </c>
      <c r="O246" s="41"/>
      <c r="P246" s="217"/>
      <c r="Q246" s="68"/>
      <c r="R246" s="285"/>
      <c r="S246" s="39">
        <f t="shared" si="22"/>
        <v>0</v>
      </c>
      <c r="T246" s="68"/>
      <c r="U246" s="23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6"/>
      <c r="B247" s="377" t="s">
        <v>180</v>
      </c>
      <c r="C247" s="377" t="s">
        <v>46</v>
      </c>
      <c r="D247" s="377" t="s">
        <v>181</v>
      </c>
      <c r="E247" s="377" t="s">
        <v>27</v>
      </c>
      <c r="F247" s="232" t="s">
        <v>228</v>
      </c>
      <c r="G247" s="95" t="s">
        <v>24</v>
      </c>
      <c r="H247" s="265">
        <v>20</v>
      </c>
      <c r="I247" s="266">
        <v>11</v>
      </c>
      <c r="J247" s="266">
        <v>12</v>
      </c>
      <c r="K247" s="79">
        <v>21720.67</v>
      </c>
      <c r="L247" s="268">
        <v>12</v>
      </c>
      <c r="M247" s="81">
        <f t="shared" si="21"/>
        <v>21720.67</v>
      </c>
      <c r="N247" s="79">
        <v>21720.67</v>
      </c>
      <c r="O247" s="219"/>
      <c r="P247" s="267">
        <v>17</v>
      </c>
      <c r="Q247" s="79">
        <v>74693.53</v>
      </c>
      <c r="R247" s="268">
        <v>17</v>
      </c>
      <c r="S247" s="26">
        <f t="shared" si="22"/>
        <v>74693.53</v>
      </c>
      <c r="T247" s="79">
        <v>74693.53</v>
      </c>
      <c r="U247" s="269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9"/>
      <c r="B248" s="380"/>
      <c r="C248" s="380"/>
      <c r="D248" s="380"/>
      <c r="E248" s="380"/>
      <c r="F248" s="54"/>
      <c r="G248" s="55" t="s">
        <v>28</v>
      </c>
      <c r="H248" s="116"/>
      <c r="I248" s="57"/>
      <c r="J248" s="57"/>
      <c r="K248" s="43"/>
      <c r="L248" s="128"/>
      <c r="M248" s="50">
        <f t="shared" si="21"/>
        <v>0</v>
      </c>
      <c r="N248" s="43"/>
      <c r="O248" s="41"/>
      <c r="P248" s="113">
        <v>3</v>
      </c>
      <c r="Q248" s="114">
        <v>15175.95</v>
      </c>
      <c r="R248" s="270">
        <v>3</v>
      </c>
      <c r="S248" s="43">
        <f t="shared" si="22"/>
        <v>2881.5499999999997</v>
      </c>
      <c r="T248" s="114">
        <f>2209.2+672.35</f>
        <v>2881.5499999999997</v>
      </c>
      <c r="U248" s="4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2"/>
      <c r="B249" s="374" t="s">
        <v>182</v>
      </c>
      <c r="C249" s="374" t="s">
        <v>46</v>
      </c>
      <c r="D249" s="374" t="s">
        <v>181</v>
      </c>
      <c r="E249" s="374" t="s">
        <v>27</v>
      </c>
      <c r="F249" s="204" t="s">
        <v>379</v>
      </c>
      <c r="G249" s="23" t="s">
        <v>24</v>
      </c>
      <c r="H249" s="48">
        <v>19</v>
      </c>
      <c r="I249" s="62">
        <v>19</v>
      </c>
      <c r="J249" s="62">
        <v>21</v>
      </c>
      <c r="K249" s="30">
        <v>30857.77</v>
      </c>
      <c r="L249" s="205">
        <v>21</v>
      </c>
      <c r="M249" s="26">
        <f t="shared" si="21"/>
        <v>30857.77</v>
      </c>
      <c r="N249" s="30">
        <v>30857.77</v>
      </c>
      <c r="O249" s="31"/>
      <c r="P249" s="53">
        <v>13</v>
      </c>
      <c r="Q249" s="30">
        <v>80512.5</v>
      </c>
      <c r="R249" s="205">
        <v>13</v>
      </c>
      <c r="S249" s="26">
        <f t="shared" si="22"/>
        <v>80512.5</v>
      </c>
      <c r="T249" s="30">
        <v>80512.5</v>
      </c>
      <c r="U249" s="100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3"/>
      <c r="B250" s="375"/>
      <c r="C250" s="375"/>
      <c r="D250" s="375"/>
      <c r="E250" s="375"/>
      <c r="F250" s="34"/>
      <c r="G250" s="35" t="s">
        <v>28</v>
      </c>
      <c r="H250" s="116"/>
      <c r="I250" s="38"/>
      <c r="J250" s="38"/>
      <c r="K250" s="39"/>
      <c r="L250" s="40"/>
      <c r="M250" s="39">
        <f t="shared" si="21"/>
        <v>0</v>
      </c>
      <c r="N250" s="39"/>
      <c r="O250" s="41"/>
      <c r="P250" s="115">
        <v>2</v>
      </c>
      <c r="Q250" s="68">
        <v>4418.3</v>
      </c>
      <c r="R250" s="285">
        <v>2</v>
      </c>
      <c r="S250" s="39">
        <f t="shared" si="22"/>
        <v>4418.3</v>
      </c>
      <c r="T250" s="39">
        <f>3073.6+1344.7</f>
        <v>4418.3</v>
      </c>
      <c r="U250" s="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70"/>
      <c r="B251" s="377" t="s">
        <v>480</v>
      </c>
      <c r="C251" s="377" t="s">
        <v>39</v>
      </c>
      <c r="D251" s="377" t="s">
        <v>481</v>
      </c>
      <c r="E251" s="377"/>
      <c r="F251" s="232"/>
      <c r="G251" s="23" t="s">
        <v>24</v>
      </c>
      <c r="H251" s="48"/>
      <c r="I251" s="266"/>
      <c r="J251" s="266"/>
      <c r="K251" s="79"/>
      <c r="L251" s="268"/>
      <c r="M251" s="142">
        <f t="shared" si="21"/>
        <v>0</v>
      </c>
      <c r="N251" s="79"/>
      <c r="O251" s="82"/>
      <c r="P251" s="267"/>
      <c r="Q251" s="79"/>
      <c r="R251" s="268"/>
      <c r="S251" s="142">
        <f t="shared" si="22"/>
        <v>0</v>
      </c>
      <c r="T251" s="79"/>
      <c r="U251" s="336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55"/>
      <c r="B252" s="375"/>
      <c r="C252" s="375"/>
      <c r="D252" s="375"/>
      <c r="E252" s="375"/>
      <c r="F252" s="356"/>
      <c r="G252" s="35" t="s">
        <v>28</v>
      </c>
      <c r="H252" s="353">
        <v>7</v>
      </c>
      <c r="I252" s="338">
        <v>1</v>
      </c>
      <c r="J252" s="338">
        <v>1</v>
      </c>
      <c r="K252" s="339">
        <v>1324.62</v>
      </c>
      <c r="L252" s="340">
        <v>1</v>
      </c>
      <c r="M252" s="39">
        <f t="shared" si="21"/>
        <v>1324.62</v>
      </c>
      <c r="N252" s="339">
        <v>1324.62</v>
      </c>
      <c r="O252" s="89"/>
      <c r="P252" s="357"/>
      <c r="Q252" s="339"/>
      <c r="R252" s="340"/>
      <c r="S252" s="39">
        <f t="shared" si="22"/>
        <v>0</v>
      </c>
      <c r="T252" s="339"/>
      <c r="U252" s="342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183</v>
      </c>
      <c r="C253" s="377" t="s">
        <v>22</v>
      </c>
      <c r="D253" s="377"/>
      <c r="E253" s="377" t="s">
        <v>99</v>
      </c>
      <c r="F253" s="232" t="s">
        <v>380</v>
      </c>
      <c r="G253" s="23" t="s">
        <v>24</v>
      </c>
      <c r="H253" s="265">
        <v>20</v>
      </c>
      <c r="I253" s="266">
        <v>14</v>
      </c>
      <c r="J253" s="266">
        <v>20</v>
      </c>
      <c r="K253" s="79">
        <v>26305.98</v>
      </c>
      <c r="L253" s="268">
        <v>17</v>
      </c>
      <c r="M253" s="81">
        <f t="shared" si="21"/>
        <v>23506.21</v>
      </c>
      <c r="N253" s="79">
        <v>23506.21</v>
      </c>
      <c r="O253" s="219"/>
      <c r="P253" s="267">
        <v>14</v>
      </c>
      <c r="Q253" s="79">
        <v>53584.26</v>
      </c>
      <c r="R253" s="268">
        <v>14</v>
      </c>
      <c r="S253" s="81">
        <f t="shared" si="22"/>
        <v>53584.26</v>
      </c>
      <c r="T253" s="79">
        <v>53584.26</v>
      </c>
      <c r="U253" s="26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252</v>
      </c>
      <c r="G254" s="227" t="s">
        <v>28</v>
      </c>
      <c r="H254" s="292">
        <v>12</v>
      </c>
      <c r="I254" s="208">
        <v>7</v>
      </c>
      <c r="J254" s="208">
        <v>7</v>
      </c>
      <c r="K254" s="209">
        <v>16319.8</v>
      </c>
      <c r="L254" s="290">
        <v>5</v>
      </c>
      <c r="M254" s="211">
        <f t="shared" si="21"/>
        <v>11101.599999999999</v>
      </c>
      <c r="N254" s="211">
        <f>1806.3+3073.6+2408.4+2408.4+1404.9</f>
        <v>11101.599999999999</v>
      </c>
      <c r="O254" s="212"/>
      <c r="P254" s="262">
        <v>4</v>
      </c>
      <c r="Q254" s="209">
        <v>25850.2</v>
      </c>
      <c r="R254" s="290">
        <v>2</v>
      </c>
      <c r="S254" s="211">
        <f t="shared" si="22"/>
        <v>5378.8</v>
      </c>
      <c r="T254" s="211">
        <f>4034.1+1344.7</f>
        <v>5378.8</v>
      </c>
      <c r="U254" s="212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425</v>
      </c>
      <c r="C255" s="374" t="s">
        <v>22</v>
      </c>
      <c r="D255" s="374"/>
      <c r="E255" s="374" t="s">
        <v>131</v>
      </c>
      <c r="F255" s="204" t="s">
        <v>426</v>
      </c>
      <c r="G255" s="176" t="s">
        <v>24</v>
      </c>
      <c r="H255" s="61">
        <v>18</v>
      </c>
      <c r="I255" s="62">
        <v>9</v>
      </c>
      <c r="J255" s="62">
        <v>14</v>
      </c>
      <c r="K255" s="30">
        <v>17695.5</v>
      </c>
      <c r="L255" s="205">
        <v>14</v>
      </c>
      <c r="M255" s="26">
        <f t="shared" si="21"/>
        <v>17695.5</v>
      </c>
      <c r="N255" s="30">
        <v>17695.5</v>
      </c>
      <c r="O255" s="28"/>
      <c r="P255" s="275"/>
      <c r="Q255" s="26"/>
      <c r="R255" s="27"/>
      <c r="S255" s="26">
        <f t="shared" si="22"/>
        <v>0</v>
      </c>
      <c r="T255" s="26"/>
      <c r="U255" s="28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6.5" customHeight="1">
      <c r="A256" s="373"/>
      <c r="B256" s="375"/>
      <c r="C256" s="375"/>
      <c r="D256" s="375"/>
      <c r="E256" s="375"/>
      <c r="F256" s="34"/>
      <c r="G256" s="229" t="s">
        <v>25</v>
      </c>
      <c r="H256" s="106"/>
      <c r="I256" s="38"/>
      <c r="J256" s="38"/>
      <c r="K256" s="39"/>
      <c r="L256" s="40"/>
      <c r="M256" s="39">
        <f t="shared" si="21"/>
        <v>0</v>
      </c>
      <c r="N256" s="39"/>
      <c r="O256" s="41"/>
      <c r="P256" s="276"/>
      <c r="Q256" s="39"/>
      <c r="R256" s="40"/>
      <c r="S256" s="39">
        <f t="shared" si="22"/>
        <v>0</v>
      </c>
      <c r="T256" s="39"/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6.5" customHeight="1">
      <c r="A257" s="376"/>
      <c r="B257" s="377" t="s">
        <v>184</v>
      </c>
      <c r="C257" s="377" t="s">
        <v>22</v>
      </c>
      <c r="D257" s="377"/>
      <c r="E257" s="377" t="s">
        <v>27</v>
      </c>
      <c r="F257" s="223" t="s">
        <v>453</v>
      </c>
      <c r="G257" s="95" t="s">
        <v>24</v>
      </c>
      <c r="H257" s="265">
        <v>5</v>
      </c>
      <c r="I257" s="266">
        <v>2</v>
      </c>
      <c r="J257" s="266">
        <v>2</v>
      </c>
      <c r="K257" s="79">
        <v>3158.6</v>
      </c>
      <c r="L257" s="268">
        <v>2</v>
      </c>
      <c r="M257" s="81">
        <f t="shared" si="21"/>
        <v>3158.6</v>
      </c>
      <c r="N257" s="79">
        <v>3158.6</v>
      </c>
      <c r="O257" s="219"/>
      <c r="P257" s="277"/>
      <c r="Q257" s="81"/>
      <c r="R257" s="80"/>
      <c r="S257" s="81">
        <f t="shared" si="22"/>
        <v>0</v>
      </c>
      <c r="T257" s="81"/>
      <c r="U257" s="219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6.5" customHeight="1">
      <c r="A258" s="379"/>
      <c r="B258" s="380"/>
      <c r="C258" s="380"/>
      <c r="D258" s="380"/>
      <c r="E258" s="380"/>
      <c r="F258" s="233" t="s">
        <v>253</v>
      </c>
      <c r="G258" s="227" t="s">
        <v>28</v>
      </c>
      <c r="H258" s="153">
        <v>7</v>
      </c>
      <c r="I258" s="130">
        <v>4</v>
      </c>
      <c r="J258" s="130">
        <v>4</v>
      </c>
      <c r="K258" s="114">
        <v>10482.120000000001</v>
      </c>
      <c r="L258" s="270">
        <v>3</v>
      </c>
      <c r="M258" s="43">
        <f t="shared" si="21"/>
        <v>9275.82</v>
      </c>
      <c r="N258" s="43">
        <f>1921+3380.96+3973.86</f>
        <v>9275.82</v>
      </c>
      <c r="O258" s="41"/>
      <c r="P258" s="113">
        <v>5</v>
      </c>
      <c r="Q258" s="114">
        <v>10565.5</v>
      </c>
      <c r="R258" s="270">
        <v>4</v>
      </c>
      <c r="S258" s="43">
        <f t="shared" si="22"/>
        <v>9989.2000000000007</v>
      </c>
      <c r="T258" s="114">
        <f>2958.34+3457.8+1267.86+2305.2</f>
        <v>9989.2000000000007</v>
      </c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6.5" customHeight="1">
      <c r="A259" s="372"/>
      <c r="B259" s="374" t="s">
        <v>185</v>
      </c>
      <c r="C259" s="374" t="s">
        <v>22</v>
      </c>
      <c r="D259" s="374"/>
      <c r="E259" s="374" t="s">
        <v>27</v>
      </c>
      <c r="F259" s="204" t="s">
        <v>341</v>
      </c>
      <c r="G259" s="176" t="s">
        <v>24</v>
      </c>
      <c r="H259" s="98"/>
      <c r="I259" s="25"/>
      <c r="J259" s="25"/>
      <c r="K259" s="26"/>
      <c r="L259" s="27"/>
      <c r="M259" s="26">
        <f t="shared" si="21"/>
        <v>0</v>
      </c>
      <c r="N259" s="26"/>
      <c r="O259" s="31"/>
      <c r="P259" s="53">
        <v>2</v>
      </c>
      <c r="Q259" s="30">
        <v>2633.4</v>
      </c>
      <c r="R259" s="205">
        <v>2</v>
      </c>
      <c r="S259" s="26">
        <f t="shared" si="22"/>
        <v>2633.4</v>
      </c>
      <c r="T259" s="30">
        <v>2633.4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 t="s">
        <v>342</v>
      </c>
      <c r="G260" s="229" t="s">
        <v>28</v>
      </c>
      <c r="H260" s="133">
        <v>8</v>
      </c>
      <c r="I260" s="130">
        <v>1</v>
      </c>
      <c r="J260" s="130">
        <v>1</v>
      </c>
      <c r="K260" s="114">
        <v>2007</v>
      </c>
      <c r="L260" s="44"/>
      <c r="M260" s="43">
        <f t="shared" si="21"/>
        <v>0</v>
      </c>
      <c r="N260" s="43"/>
      <c r="O260" s="41"/>
      <c r="P260" s="113">
        <v>5</v>
      </c>
      <c r="Q260" s="114">
        <v>25755.33</v>
      </c>
      <c r="R260" s="270">
        <v>3</v>
      </c>
      <c r="S260" s="43">
        <f t="shared" si="22"/>
        <v>15773.67</v>
      </c>
      <c r="T260" s="43">
        <f>2994.47+1204.2+11575</f>
        <v>15773.67</v>
      </c>
      <c r="U260" s="4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186</v>
      </c>
      <c r="C261" s="374" t="s">
        <v>22</v>
      </c>
      <c r="D261" s="374"/>
      <c r="E261" s="374" t="s">
        <v>99</v>
      </c>
      <c r="F261" s="232" t="s">
        <v>315</v>
      </c>
      <c r="G261" s="23" t="s">
        <v>24</v>
      </c>
      <c r="H261" s="48">
        <v>23</v>
      </c>
      <c r="I261" s="62">
        <v>15</v>
      </c>
      <c r="J261" s="62">
        <v>21</v>
      </c>
      <c r="K261" s="30">
        <v>40898</v>
      </c>
      <c r="L261" s="205">
        <v>17</v>
      </c>
      <c r="M261" s="26">
        <f t="shared" si="21"/>
        <v>35760.379999999997</v>
      </c>
      <c r="N261" s="30">
        <v>35760.379999999997</v>
      </c>
      <c r="O261" s="31"/>
      <c r="P261" s="53">
        <v>15</v>
      </c>
      <c r="Q261" s="30">
        <v>46212.56</v>
      </c>
      <c r="R261" s="205">
        <v>15</v>
      </c>
      <c r="S261" s="26">
        <f t="shared" si="22"/>
        <v>46212.56</v>
      </c>
      <c r="T261" s="30">
        <v>46212.56</v>
      </c>
      <c r="U261" s="225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 t="s">
        <v>254</v>
      </c>
      <c r="G262" s="35" t="s">
        <v>28</v>
      </c>
      <c r="H262" s="153">
        <v>14</v>
      </c>
      <c r="I262" s="37">
        <v>4</v>
      </c>
      <c r="J262" s="37">
        <v>4</v>
      </c>
      <c r="K262" s="68">
        <v>6622.6</v>
      </c>
      <c r="L262" s="285">
        <v>1</v>
      </c>
      <c r="M262" s="39">
        <f t="shared" si="21"/>
        <v>3010.5</v>
      </c>
      <c r="N262" s="39">
        <f>3010.5</f>
        <v>3010.5</v>
      </c>
      <c r="O262" s="41"/>
      <c r="P262" s="59"/>
      <c r="Q262" s="39"/>
      <c r="R262" s="40"/>
      <c r="S262" s="39">
        <f t="shared" si="22"/>
        <v>0</v>
      </c>
      <c r="T262" s="39"/>
      <c r="U262" s="41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82"/>
      <c r="B263" s="381" t="s">
        <v>187</v>
      </c>
      <c r="C263" s="381" t="s">
        <v>22</v>
      </c>
      <c r="D263" s="381"/>
      <c r="E263" s="381" t="s">
        <v>131</v>
      </c>
      <c r="F263" s="223" t="s">
        <v>343</v>
      </c>
      <c r="G263" s="23" t="s">
        <v>24</v>
      </c>
      <c r="H263" s="48">
        <v>18</v>
      </c>
      <c r="I263" s="203">
        <v>16</v>
      </c>
      <c r="J263" s="203">
        <v>24</v>
      </c>
      <c r="K263" s="65">
        <v>43817.02</v>
      </c>
      <c r="L263" s="224">
        <v>24</v>
      </c>
      <c r="M263" s="50">
        <f t="shared" si="21"/>
        <v>43817.02</v>
      </c>
      <c r="N263" s="65">
        <v>43817.02</v>
      </c>
      <c r="O263" s="225"/>
      <c r="P263" s="108">
        <v>20</v>
      </c>
      <c r="Q263" s="65">
        <v>57368.51</v>
      </c>
      <c r="R263" s="224">
        <v>20</v>
      </c>
      <c r="S263" s="50">
        <f t="shared" si="22"/>
        <v>57368.51</v>
      </c>
      <c r="T263" s="65">
        <v>57368.51</v>
      </c>
      <c r="U263" s="225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9"/>
      <c r="B264" s="380"/>
      <c r="C264" s="380"/>
      <c r="D264" s="380"/>
      <c r="E264" s="380"/>
      <c r="F264" s="233" t="s">
        <v>497</v>
      </c>
      <c r="G264" s="227" t="s">
        <v>25</v>
      </c>
      <c r="H264" s="153">
        <v>5</v>
      </c>
      <c r="I264" s="130">
        <v>3</v>
      </c>
      <c r="J264" s="130">
        <v>3</v>
      </c>
      <c r="K264" s="114">
        <v>6545.7</v>
      </c>
      <c r="L264" s="270">
        <v>3</v>
      </c>
      <c r="M264" s="114">
        <v>6545.7</v>
      </c>
      <c r="N264" s="114">
        <v>6545.7</v>
      </c>
      <c r="O264" s="41"/>
      <c r="P264" s="113">
        <v>4</v>
      </c>
      <c r="Q264" s="114">
        <v>30582.32</v>
      </c>
      <c r="R264" s="270">
        <v>4</v>
      </c>
      <c r="S264" s="114">
        <v>30582.32</v>
      </c>
      <c r="T264" s="114">
        <v>30582.32</v>
      </c>
      <c r="U264" s="2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429</v>
      </c>
      <c r="C265" s="374" t="s">
        <v>22</v>
      </c>
      <c r="D265" s="374"/>
      <c r="E265" s="374" t="s">
        <v>27</v>
      </c>
      <c r="F265" s="204" t="s">
        <v>446</v>
      </c>
      <c r="G265" s="176" t="s">
        <v>24</v>
      </c>
      <c r="H265" s="151"/>
      <c r="I265" s="25"/>
      <c r="J265" s="25"/>
      <c r="K265" s="26"/>
      <c r="L265" s="27"/>
      <c r="M265" s="26">
        <f t="shared" ref="M265:M291" si="23">N265+O265</f>
        <v>0</v>
      </c>
      <c r="N265" s="30"/>
      <c r="O265" s="31"/>
      <c r="P265" s="53">
        <v>1</v>
      </c>
      <c r="Q265" s="30">
        <v>36784.050000000003</v>
      </c>
      <c r="R265" s="205">
        <v>1</v>
      </c>
      <c r="S265" s="26">
        <f t="shared" ref="S265:S291" si="24">T265+U265</f>
        <v>36784.050000000003</v>
      </c>
      <c r="T265" s="30">
        <v>36784.050000000003</v>
      </c>
      <c r="U265" s="3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/>
      <c r="G266" s="229" t="s">
        <v>28</v>
      </c>
      <c r="H266" s="133"/>
      <c r="I266" s="57"/>
      <c r="J266" s="57"/>
      <c r="K266" s="43"/>
      <c r="L266" s="44"/>
      <c r="M266" s="43">
        <f t="shared" si="23"/>
        <v>0</v>
      </c>
      <c r="N266" s="43"/>
      <c r="O266" s="41"/>
      <c r="P266" s="113"/>
      <c r="Q266" s="114"/>
      <c r="R266" s="44"/>
      <c r="S266" s="43">
        <f t="shared" si="24"/>
        <v>0</v>
      </c>
      <c r="T266" s="114"/>
      <c r="U266" s="2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188</v>
      </c>
      <c r="C267" s="374" t="s">
        <v>39</v>
      </c>
      <c r="D267" s="374" t="s">
        <v>474</v>
      </c>
      <c r="E267" s="374" t="s">
        <v>27</v>
      </c>
      <c r="F267" s="358" t="s">
        <v>482</v>
      </c>
      <c r="G267" s="176" t="s">
        <v>24</v>
      </c>
      <c r="H267" s="281">
        <v>4</v>
      </c>
      <c r="I267" s="62">
        <v>2</v>
      </c>
      <c r="J267" s="62">
        <v>3</v>
      </c>
      <c r="K267" s="30">
        <v>3778.21</v>
      </c>
      <c r="L267" s="205">
        <v>1</v>
      </c>
      <c r="M267" s="26">
        <f t="shared" si="23"/>
        <v>1646.5</v>
      </c>
      <c r="N267" s="30">
        <v>1646.5</v>
      </c>
      <c r="O267" s="219"/>
      <c r="P267" s="53">
        <v>3</v>
      </c>
      <c r="Q267" s="30">
        <v>8065.3</v>
      </c>
      <c r="R267" s="205">
        <v>2</v>
      </c>
      <c r="S267" s="26">
        <f t="shared" si="24"/>
        <v>8065.3</v>
      </c>
      <c r="T267" s="30">
        <v>8065.3</v>
      </c>
      <c r="U267" s="219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20.25" customHeight="1">
      <c r="A268" s="373"/>
      <c r="B268" s="375"/>
      <c r="C268" s="375"/>
      <c r="D268" s="375"/>
      <c r="E268" s="375"/>
      <c r="F268" s="220" t="s">
        <v>344</v>
      </c>
      <c r="G268" s="229" t="s">
        <v>28</v>
      </c>
      <c r="H268" s="56">
        <v>13</v>
      </c>
      <c r="I268" s="130">
        <v>2</v>
      </c>
      <c r="J268" s="130">
        <v>2</v>
      </c>
      <c r="K268" s="114">
        <v>2524</v>
      </c>
      <c r="L268" s="44"/>
      <c r="M268" s="43">
        <f t="shared" si="23"/>
        <v>0</v>
      </c>
      <c r="N268" s="43"/>
      <c r="O268" s="222">
        <v>0</v>
      </c>
      <c r="P268" s="113">
        <v>20</v>
      </c>
      <c r="Q268" s="114">
        <v>31033.8</v>
      </c>
      <c r="R268" s="270">
        <v>11</v>
      </c>
      <c r="S268" s="43">
        <f t="shared" si="24"/>
        <v>24068.65</v>
      </c>
      <c r="T268" s="114">
        <f>4050.2+4802.5+4415.4+3311.55+3073.6+4415.4</f>
        <v>24068.65</v>
      </c>
      <c r="U268" s="222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189</v>
      </c>
      <c r="C269" s="374" t="s">
        <v>39</v>
      </c>
      <c r="D269" s="374" t="s">
        <v>427</v>
      </c>
      <c r="E269" s="374" t="s">
        <v>27</v>
      </c>
      <c r="F269" s="232" t="s">
        <v>428</v>
      </c>
      <c r="G269" s="23" t="s">
        <v>24</v>
      </c>
      <c r="H269" s="24">
        <v>19</v>
      </c>
      <c r="I269" s="62">
        <v>15</v>
      </c>
      <c r="J269" s="62">
        <v>19</v>
      </c>
      <c r="K269" s="30">
        <v>38520.519999999997</v>
      </c>
      <c r="L269" s="205">
        <v>18</v>
      </c>
      <c r="M269" s="26">
        <f t="shared" si="23"/>
        <v>43460.22</v>
      </c>
      <c r="N269" s="30">
        <v>38219.47</v>
      </c>
      <c r="O269" s="241">
        <v>5240.75</v>
      </c>
      <c r="P269" s="29">
        <v>3</v>
      </c>
      <c r="Q269" s="30">
        <v>23366.85</v>
      </c>
      <c r="R269" s="205">
        <v>3</v>
      </c>
      <c r="S269" s="26">
        <f t="shared" si="24"/>
        <v>23366.85</v>
      </c>
      <c r="T269" s="30">
        <v>23366.85</v>
      </c>
      <c r="U269" s="2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256</v>
      </c>
      <c r="G270" s="35" t="s">
        <v>28</v>
      </c>
      <c r="H270" s="66">
        <v>7</v>
      </c>
      <c r="I270" s="37">
        <v>4</v>
      </c>
      <c r="J270" s="37">
        <v>4</v>
      </c>
      <c r="K270" s="68">
        <v>7978.72</v>
      </c>
      <c r="L270" s="285">
        <v>2</v>
      </c>
      <c r="M270" s="39">
        <f t="shared" si="23"/>
        <v>5453.32</v>
      </c>
      <c r="N270" s="39">
        <f>1921+3532.32</f>
        <v>5453.32</v>
      </c>
      <c r="O270" s="41"/>
      <c r="P270" s="69"/>
      <c r="Q270" s="39"/>
      <c r="R270" s="40"/>
      <c r="S270" s="39">
        <f t="shared" si="24"/>
        <v>0</v>
      </c>
      <c r="T270" s="39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82"/>
      <c r="B271" s="381" t="s">
        <v>190</v>
      </c>
      <c r="C271" s="381" t="s">
        <v>39</v>
      </c>
      <c r="D271" s="381" t="s">
        <v>191</v>
      </c>
      <c r="E271" s="381" t="s">
        <v>27</v>
      </c>
      <c r="F271" s="46"/>
      <c r="G271" s="47" t="s">
        <v>24</v>
      </c>
      <c r="H271" s="98"/>
      <c r="I271" s="49"/>
      <c r="J271" s="49"/>
      <c r="K271" s="50"/>
      <c r="L271" s="51"/>
      <c r="M271" s="50">
        <f t="shared" si="23"/>
        <v>0</v>
      </c>
      <c r="N271" s="50"/>
      <c r="O271" s="31"/>
      <c r="P271" s="123"/>
      <c r="Q271" s="50"/>
      <c r="R271" s="51"/>
      <c r="S271" s="50">
        <f t="shared" si="24"/>
        <v>0</v>
      </c>
      <c r="T271" s="50"/>
      <c r="U271" s="3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345</v>
      </c>
      <c r="G272" s="35" t="s">
        <v>28</v>
      </c>
      <c r="H272" s="112">
        <v>2</v>
      </c>
      <c r="I272" s="57"/>
      <c r="J272" s="57"/>
      <c r="K272" s="43"/>
      <c r="L272" s="44"/>
      <c r="M272" s="43">
        <f t="shared" si="23"/>
        <v>0</v>
      </c>
      <c r="N272" s="43"/>
      <c r="O272" s="45"/>
      <c r="P272" s="115">
        <v>4</v>
      </c>
      <c r="Q272" s="68">
        <v>5106.7</v>
      </c>
      <c r="R272" s="285">
        <v>6</v>
      </c>
      <c r="S272" s="39">
        <f t="shared" si="24"/>
        <v>8028.28</v>
      </c>
      <c r="T272" s="68">
        <f>3818+2921.58+1288.7</f>
        <v>8028.28</v>
      </c>
      <c r="U272" s="41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192</v>
      </c>
      <c r="C273" s="374" t="s">
        <v>22</v>
      </c>
      <c r="D273" s="374"/>
      <c r="E273" s="374" t="s">
        <v>193</v>
      </c>
      <c r="F273" s="204" t="s">
        <v>318</v>
      </c>
      <c r="G273" s="176" t="s">
        <v>24</v>
      </c>
      <c r="H273" s="61">
        <v>24</v>
      </c>
      <c r="I273" s="62">
        <v>22</v>
      </c>
      <c r="J273" s="62">
        <v>27</v>
      </c>
      <c r="K273" s="30">
        <v>41646.25</v>
      </c>
      <c r="L273" s="205">
        <v>27</v>
      </c>
      <c r="M273" s="26">
        <f t="shared" si="23"/>
        <v>41646.25</v>
      </c>
      <c r="N273" s="30">
        <v>41646.25</v>
      </c>
      <c r="O273" s="100"/>
      <c r="P273" s="64">
        <v>20</v>
      </c>
      <c r="Q273" s="65">
        <v>52584.43</v>
      </c>
      <c r="R273" s="224">
        <v>20</v>
      </c>
      <c r="S273" s="50">
        <f t="shared" si="24"/>
        <v>52584.43</v>
      </c>
      <c r="T273" s="65">
        <v>52584.43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346</v>
      </c>
      <c r="G274" s="229" t="s">
        <v>28</v>
      </c>
      <c r="H274" s="133">
        <v>1</v>
      </c>
      <c r="I274" s="37">
        <v>1</v>
      </c>
      <c r="J274" s="37">
        <v>1</v>
      </c>
      <c r="K274" s="68">
        <v>1728.9</v>
      </c>
      <c r="L274" s="285">
        <v>1</v>
      </c>
      <c r="M274" s="39">
        <f t="shared" si="23"/>
        <v>1728.9</v>
      </c>
      <c r="N274" s="39">
        <f>1728.9</f>
        <v>1728.9</v>
      </c>
      <c r="O274" s="41"/>
      <c r="P274" s="42"/>
      <c r="Q274" s="43"/>
      <c r="R274" s="44"/>
      <c r="S274" s="43">
        <f t="shared" si="24"/>
        <v>0</v>
      </c>
      <c r="T274" s="43"/>
      <c r="U274" s="4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194</v>
      </c>
      <c r="C275" s="377" t="s">
        <v>39</v>
      </c>
      <c r="D275" s="377" t="s">
        <v>319</v>
      </c>
      <c r="E275" s="374" t="s">
        <v>160</v>
      </c>
      <c r="F275" s="232" t="s">
        <v>320</v>
      </c>
      <c r="G275" s="23" t="s">
        <v>24</v>
      </c>
      <c r="H275" s="48">
        <v>7</v>
      </c>
      <c r="I275" s="203">
        <v>6</v>
      </c>
      <c r="J275" s="203">
        <v>6</v>
      </c>
      <c r="K275" s="65">
        <v>6526.74</v>
      </c>
      <c r="L275" s="316">
        <v>6</v>
      </c>
      <c r="M275" s="129">
        <f t="shared" si="23"/>
        <v>6526.74</v>
      </c>
      <c r="N275" s="65">
        <v>6526.74</v>
      </c>
      <c r="O275" s="225"/>
      <c r="P275" s="29">
        <v>3</v>
      </c>
      <c r="Q275" s="30">
        <v>6107.21</v>
      </c>
      <c r="R275" s="205">
        <v>3</v>
      </c>
      <c r="S275" s="26">
        <f t="shared" si="24"/>
        <v>6107.21</v>
      </c>
      <c r="T275" s="30">
        <v>6107.21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347</v>
      </c>
      <c r="G276" s="35" t="s">
        <v>28</v>
      </c>
      <c r="H276" s="117">
        <v>6</v>
      </c>
      <c r="I276" s="37">
        <v>3</v>
      </c>
      <c r="J276" s="37">
        <v>3</v>
      </c>
      <c r="K276" s="68">
        <v>11294.56</v>
      </c>
      <c r="L276" s="44"/>
      <c r="M276" s="43">
        <f t="shared" si="23"/>
        <v>0</v>
      </c>
      <c r="N276" s="39"/>
      <c r="O276" s="41"/>
      <c r="P276" s="37">
        <v>8</v>
      </c>
      <c r="Q276" s="37">
        <v>21038.49</v>
      </c>
      <c r="R276" s="285">
        <v>8</v>
      </c>
      <c r="S276" s="39">
        <f t="shared" si="24"/>
        <v>16625.88</v>
      </c>
      <c r="T276" s="68">
        <f>576.3+4045.34+3273.6+633.93+602.1+2709.45+4454+331.16</f>
        <v>16625.88</v>
      </c>
      <c r="U276" s="2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195</v>
      </c>
      <c r="C277" s="377" t="s">
        <v>39</v>
      </c>
      <c r="D277" s="377" t="s">
        <v>231</v>
      </c>
      <c r="E277" s="381" t="s">
        <v>27</v>
      </c>
      <c r="F277" s="204" t="s">
        <v>232</v>
      </c>
      <c r="G277" s="47" t="s">
        <v>24</v>
      </c>
      <c r="H277" s="61">
        <v>4</v>
      </c>
      <c r="I277" s="62">
        <v>1</v>
      </c>
      <c r="J277" s="62">
        <v>1</v>
      </c>
      <c r="K277" s="30">
        <v>2185.62</v>
      </c>
      <c r="L277" s="205">
        <v>1</v>
      </c>
      <c r="M277" s="26">
        <f t="shared" si="23"/>
        <v>2185.62</v>
      </c>
      <c r="N277" s="30">
        <v>2185.62</v>
      </c>
      <c r="O277" s="31"/>
      <c r="P277" s="64">
        <v>7</v>
      </c>
      <c r="Q277" s="65">
        <v>46859.35</v>
      </c>
      <c r="R277" s="224">
        <v>7</v>
      </c>
      <c r="S277" s="50">
        <f t="shared" si="24"/>
        <v>46859.35</v>
      </c>
      <c r="T277" s="65">
        <v>46859.35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1" t="s">
        <v>260</v>
      </c>
      <c r="G278" s="55" t="s">
        <v>28</v>
      </c>
      <c r="H278" s="178">
        <v>11</v>
      </c>
      <c r="I278" s="130">
        <v>6</v>
      </c>
      <c r="J278" s="130">
        <v>6</v>
      </c>
      <c r="K278" s="114">
        <v>21386.14</v>
      </c>
      <c r="L278" s="270">
        <v>3</v>
      </c>
      <c r="M278" s="43">
        <f t="shared" si="23"/>
        <v>8620.94</v>
      </c>
      <c r="N278" s="43">
        <f>1152.6+845.24+6623.1</f>
        <v>8620.94</v>
      </c>
      <c r="O278" s="222"/>
      <c r="P278" s="130">
        <v>9</v>
      </c>
      <c r="Q278" s="130">
        <v>29523.25</v>
      </c>
      <c r="R278" s="270">
        <v>12</v>
      </c>
      <c r="S278" s="43">
        <f t="shared" si="24"/>
        <v>39586.9</v>
      </c>
      <c r="T278" s="114">
        <f>4994.6+12678.6+576.3+6915.6+6915.6+576.3+2113.1+2809.8+2007</f>
        <v>39586.9</v>
      </c>
      <c r="U278" s="222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196</v>
      </c>
      <c r="C279" s="381" t="s">
        <v>22</v>
      </c>
      <c r="D279" s="374"/>
      <c r="E279" s="381" t="s">
        <v>27</v>
      </c>
      <c r="F279" s="22"/>
      <c r="G279" s="23" t="s">
        <v>24</v>
      </c>
      <c r="H279" s="119"/>
      <c r="I279" s="25"/>
      <c r="J279" s="25"/>
      <c r="K279" s="26"/>
      <c r="L279" s="27"/>
      <c r="M279" s="26">
        <f t="shared" si="23"/>
        <v>0</v>
      </c>
      <c r="N279" s="26"/>
      <c r="O279" s="28"/>
      <c r="P279" s="120"/>
      <c r="Q279" s="26"/>
      <c r="R279" s="27"/>
      <c r="S279" s="26">
        <f t="shared" si="24"/>
        <v>0</v>
      </c>
      <c r="T279" s="26"/>
      <c r="U279" s="28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348</v>
      </c>
      <c r="G280" s="35" t="s">
        <v>28</v>
      </c>
      <c r="H280" s="66">
        <v>12</v>
      </c>
      <c r="I280" s="37">
        <v>6</v>
      </c>
      <c r="J280" s="37">
        <v>6</v>
      </c>
      <c r="K280" s="68">
        <v>13045.5</v>
      </c>
      <c r="L280" s="285">
        <v>5</v>
      </c>
      <c r="M280" s="39">
        <f t="shared" si="23"/>
        <v>12042</v>
      </c>
      <c r="N280" s="39">
        <f>1806.3+3211.2+2007+1806.3+3211.2</f>
        <v>12042</v>
      </c>
      <c r="O280" s="41"/>
      <c r="P280" s="67">
        <v>5</v>
      </c>
      <c r="Q280" s="68">
        <v>13384.42</v>
      </c>
      <c r="R280" s="285">
        <v>4</v>
      </c>
      <c r="S280" s="39">
        <f t="shared" si="24"/>
        <v>11576</v>
      </c>
      <c r="T280" s="39">
        <f>2547.3+4226.2+2881.5+1921</f>
        <v>11576</v>
      </c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197</v>
      </c>
      <c r="C281" s="381" t="s">
        <v>39</v>
      </c>
      <c r="D281" s="381" t="s">
        <v>381</v>
      </c>
      <c r="E281" s="381" t="s">
        <v>27</v>
      </c>
      <c r="F281" s="204" t="s">
        <v>382</v>
      </c>
      <c r="G281" s="47" t="s">
        <v>24</v>
      </c>
      <c r="H281" s="151">
        <v>1</v>
      </c>
      <c r="I281" s="49"/>
      <c r="J281" s="49"/>
      <c r="K281" s="50"/>
      <c r="L281" s="51"/>
      <c r="M281" s="50">
        <f t="shared" si="23"/>
        <v>0</v>
      </c>
      <c r="N281" s="50"/>
      <c r="O281" s="31"/>
      <c r="P281" s="108">
        <v>1</v>
      </c>
      <c r="Q281" s="65">
        <v>748.24</v>
      </c>
      <c r="R281" s="224">
        <v>1</v>
      </c>
      <c r="S281" s="50">
        <f t="shared" si="24"/>
        <v>748.24</v>
      </c>
      <c r="T281" s="65">
        <v>748.24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221" t="s">
        <v>349</v>
      </c>
      <c r="G282" s="55" t="s">
        <v>28</v>
      </c>
      <c r="H282" s="153">
        <v>7</v>
      </c>
      <c r="I282" s="130">
        <v>5</v>
      </c>
      <c r="J282" s="130">
        <v>5</v>
      </c>
      <c r="K282" s="114">
        <v>7977.5</v>
      </c>
      <c r="L282" s="270">
        <v>4</v>
      </c>
      <c r="M282" s="43">
        <f t="shared" si="23"/>
        <v>6389.4500000000007</v>
      </c>
      <c r="N282" s="43">
        <f>1056.55+1921+1404.9+2007</f>
        <v>6389.4500000000007</v>
      </c>
      <c r="O282" s="41"/>
      <c r="P282" s="103"/>
      <c r="Q282" s="43"/>
      <c r="R282" s="270">
        <v>2</v>
      </c>
      <c r="S282" s="43">
        <f t="shared" si="24"/>
        <v>3765.16</v>
      </c>
      <c r="T282" s="114">
        <f>1440.75+2324.41</f>
        <v>3765.16</v>
      </c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198</v>
      </c>
      <c r="C283" s="374" t="s">
        <v>39</v>
      </c>
      <c r="D283" s="374" t="s">
        <v>469</v>
      </c>
      <c r="E283" s="374" t="s">
        <v>112</v>
      </c>
      <c r="F283" s="204" t="s">
        <v>470</v>
      </c>
      <c r="G283" s="23" t="s">
        <v>24</v>
      </c>
      <c r="H283" s="48">
        <v>15</v>
      </c>
      <c r="I283" s="62">
        <v>10</v>
      </c>
      <c r="J283" s="62">
        <v>12</v>
      </c>
      <c r="K283" s="30">
        <v>14515.85</v>
      </c>
      <c r="L283" s="205">
        <v>12</v>
      </c>
      <c r="M283" s="26">
        <f t="shared" si="23"/>
        <v>14515.85</v>
      </c>
      <c r="N283" s="30">
        <v>14515.85</v>
      </c>
      <c r="O283" s="31"/>
      <c r="P283" s="53">
        <v>15</v>
      </c>
      <c r="Q283" s="30">
        <v>53553.03</v>
      </c>
      <c r="R283" s="205">
        <v>15</v>
      </c>
      <c r="S283" s="26">
        <f t="shared" si="24"/>
        <v>53553.03</v>
      </c>
      <c r="T283" s="30">
        <v>53553.03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20" t="s">
        <v>350</v>
      </c>
      <c r="G284" s="35" t="s">
        <v>28</v>
      </c>
      <c r="H284" s="153">
        <v>4</v>
      </c>
      <c r="I284" s="37">
        <v>3</v>
      </c>
      <c r="J284" s="37">
        <v>3</v>
      </c>
      <c r="K284" s="68">
        <v>2557.3200000000002</v>
      </c>
      <c r="L284" s="285">
        <v>2</v>
      </c>
      <c r="M284" s="39">
        <f t="shared" si="23"/>
        <v>1926.7199999999998</v>
      </c>
      <c r="N284" s="360">
        <f>602.1+1324.62</f>
        <v>1926.7199999999998</v>
      </c>
      <c r="O284" s="41"/>
      <c r="P284" s="59"/>
      <c r="Q284" s="39"/>
      <c r="R284" s="40"/>
      <c r="S284" s="39">
        <f t="shared" si="24"/>
        <v>0</v>
      </c>
      <c r="T284" s="39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82"/>
      <c r="B285" s="381" t="s">
        <v>199</v>
      </c>
      <c r="C285" s="381" t="s">
        <v>22</v>
      </c>
      <c r="D285" s="381"/>
      <c r="E285" s="381" t="s">
        <v>131</v>
      </c>
      <c r="F285" s="46"/>
      <c r="G285" s="23" t="s">
        <v>24</v>
      </c>
      <c r="H285" s="98"/>
      <c r="I285" s="49"/>
      <c r="J285" s="49"/>
      <c r="K285" s="50"/>
      <c r="L285" s="51"/>
      <c r="M285" s="50">
        <f t="shared" si="23"/>
        <v>0</v>
      </c>
      <c r="N285" s="50"/>
      <c r="O285" s="31"/>
      <c r="P285" s="123"/>
      <c r="Q285" s="50"/>
      <c r="R285" s="51"/>
      <c r="S285" s="50">
        <f t="shared" si="24"/>
        <v>0</v>
      </c>
      <c r="T285" s="50"/>
      <c r="U285" s="3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9"/>
      <c r="B286" s="380"/>
      <c r="C286" s="380"/>
      <c r="D286" s="380"/>
      <c r="E286" s="380"/>
      <c r="F286" s="126"/>
      <c r="G286" s="55" t="s">
        <v>25</v>
      </c>
      <c r="H286" s="118"/>
      <c r="I286" s="57"/>
      <c r="J286" s="57"/>
      <c r="K286" s="43"/>
      <c r="L286" s="44"/>
      <c r="M286" s="43">
        <f t="shared" si="23"/>
        <v>0</v>
      </c>
      <c r="N286" s="43"/>
      <c r="O286" s="41"/>
      <c r="P286" s="103"/>
      <c r="Q286" s="43"/>
      <c r="R286" s="44"/>
      <c r="S286" s="43">
        <f t="shared" si="24"/>
        <v>0</v>
      </c>
      <c r="T286" s="43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2"/>
      <c r="B287" s="374" t="s">
        <v>200</v>
      </c>
      <c r="C287" s="374" t="s">
        <v>39</v>
      </c>
      <c r="D287" s="374" t="s">
        <v>456</v>
      </c>
      <c r="E287" s="374" t="s">
        <v>27</v>
      </c>
      <c r="F287" s="204" t="s">
        <v>457</v>
      </c>
      <c r="G287" s="23" t="s">
        <v>24</v>
      </c>
      <c r="H287" s="61">
        <v>8</v>
      </c>
      <c r="I287" s="62">
        <v>6</v>
      </c>
      <c r="J287" s="62">
        <v>7</v>
      </c>
      <c r="K287" s="30">
        <v>9746.11</v>
      </c>
      <c r="L287" s="205">
        <v>6</v>
      </c>
      <c r="M287" s="26">
        <f t="shared" si="23"/>
        <v>9017.57</v>
      </c>
      <c r="N287" s="30">
        <v>9017.57</v>
      </c>
      <c r="O287" s="31"/>
      <c r="P287" s="29">
        <v>7</v>
      </c>
      <c r="Q287" s="30">
        <v>28873.11</v>
      </c>
      <c r="R287" s="205">
        <v>7</v>
      </c>
      <c r="S287" s="26">
        <f t="shared" si="24"/>
        <v>28873.11</v>
      </c>
      <c r="T287" s="30">
        <v>28873.11</v>
      </c>
      <c r="U287" s="22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33" t="s">
        <v>466</v>
      </c>
      <c r="G288" s="227" t="s">
        <v>28</v>
      </c>
      <c r="H288" s="207">
        <v>5</v>
      </c>
      <c r="I288" s="208">
        <v>4</v>
      </c>
      <c r="J288" s="208">
        <v>4</v>
      </c>
      <c r="K288" s="209">
        <v>5170.8999999999996</v>
      </c>
      <c r="L288" s="290">
        <v>4</v>
      </c>
      <c r="M288" s="211">
        <f t="shared" si="23"/>
        <v>5170.9000000000005</v>
      </c>
      <c r="N288" s="211">
        <f>1056.55+2308.05+1204.2+602.1</f>
        <v>5170.9000000000005</v>
      </c>
      <c r="O288" s="212"/>
      <c r="P288" s="284"/>
      <c r="Q288" s="211"/>
      <c r="R288" s="290">
        <v>1</v>
      </c>
      <c r="S288" s="211">
        <f t="shared" si="24"/>
        <v>1921</v>
      </c>
      <c r="T288" s="209">
        <v>1921</v>
      </c>
      <c r="U288" s="212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2"/>
      <c r="B289" s="374" t="s">
        <v>430</v>
      </c>
      <c r="C289" s="374" t="s">
        <v>39</v>
      </c>
      <c r="D289" s="374" t="s">
        <v>439</v>
      </c>
      <c r="E289" s="374" t="s">
        <v>27</v>
      </c>
      <c r="F289" s="204" t="s">
        <v>440</v>
      </c>
      <c r="G289" s="213" t="s">
        <v>24</v>
      </c>
      <c r="H289" s="61">
        <v>4</v>
      </c>
      <c r="I289" s="62"/>
      <c r="J289" s="62"/>
      <c r="K289" s="30"/>
      <c r="L289" s="27"/>
      <c r="M289" s="26">
        <f t="shared" si="23"/>
        <v>0</v>
      </c>
      <c r="N289" s="26"/>
      <c r="O289" s="241"/>
      <c r="P289" s="214"/>
      <c r="Q289" s="30"/>
      <c r="R289" s="205"/>
      <c r="S289" s="26">
        <f t="shared" si="24"/>
        <v>0</v>
      </c>
      <c r="T289" s="30"/>
      <c r="U289" s="28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0"/>
      <c r="G290" s="215" t="s">
        <v>28</v>
      </c>
      <c r="H290" s="117"/>
      <c r="I290" s="37"/>
      <c r="J290" s="37"/>
      <c r="K290" s="68"/>
      <c r="L290" s="40"/>
      <c r="M290" s="39">
        <f t="shared" si="23"/>
        <v>0</v>
      </c>
      <c r="N290" s="39"/>
      <c r="O290" s="234"/>
      <c r="P290" s="217"/>
      <c r="Q290" s="68"/>
      <c r="R290" s="285"/>
      <c r="S290" s="39">
        <f t="shared" si="24"/>
        <v>0</v>
      </c>
      <c r="T290" s="68"/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6"/>
      <c r="B291" s="377" t="s">
        <v>201</v>
      </c>
      <c r="C291" s="377" t="s">
        <v>39</v>
      </c>
      <c r="D291" s="377" t="s">
        <v>385</v>
      </c>
      <c r="E291" s="377" t="s">
        <v>386</v>
      </c>
      <c r="F291" s="232" t="s">
        <v>387</v>
      </c>
      <c r="G291" s="95" t="s">
        <v>24</v>
      </c>
      <c r="H291" s="265">
        <v>23</v>
      </c>
      <c r="I291" s="266">
        <v>20</v>
      </c>
      <c r="J291" s="266">
        <v>31</v>
      </c>
      <c r="K291" s="79">
        <v>46679.24</v>
      </c>
      <c r="L291" s="268">
        <v>31</v>
      </c>
      <c r="M291" s="81">
        <f t="shared" si="23"/>
        <v>46679.24</v>
      </c>
      <c r="N291" s="79">
        <v>46679.24</v>
      </c>
      <c r="O291" s="313"/>
      <c r="P291" s="267">
        <v>2</v>
      </c>
      <c r="Q291" s="79">
        <v>4356.83</v>
      </c>
      <c r="R291" s="268">
        <v>2</v>
      </c>
      <c r="S291" s="81">
        <f t="shared" si="24"/>
        <v>4356.83</v>
      </c>
      <c r="T291" s="79">
        <v>4356.83</v>
      </c>
      <c r="U291" s="82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220" t="s">
        <v>498</v>
      </c>
      <c r="G292" s="35" t="s">
        <v>25</v>
      </c>
      <c r="H292" s="117">
        <v>1</v>
      </c>
      <c r="I292" s="37">
        <v>1</v>
      </c>
      <c r="J292" s="37">
        <v>1</v>
      </c>
      <c r="K292" s="68">
        <v>551.92999999999995</v>
      </c>
      <c r="L292" s="285">
        <v>1</v>
      </c>
      <c r="M292" s="68">
        <v>551.92999999999995</v>
      </c>
      <c r="N292" s="68">
        <v>551.92999999999995</v>
      </c>
      <c r="O292" s="58"/>
      <c r="P292" s="115">
        <v>2</v>
      </c>
      <c r="Q292" s="68">
        <v>4418.3</v>
      </c>
      <c r="R292" s="285">
        <v>2</v>
      </c>
      <c r="S292" s="68">
        <v>4418.3</v>
      </c>
      <c r="T292" s="68">
        <v>4418.3</v>
      </c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202</v>
      </c>
      <c r="C293" s="381" t="s">
        <v>39</v>
      </c>
      <c r="D293" s="377" t="s">
        <v>441</v>
      </c>
      <c r="E293" s="381" t="s">
        <v>27</v>
      </c>
      <c r="F293" s="204" t="s">
        <v>442</v>
      </c>
      <c r="G293" s="47" t="s">
        <v>24</v>
      </c>
      <c r="H293" s="48">
        <v>5</v>
      </c>
      <c r="I293" s="203">
        <v>2</v>
      </c>
      <c r="J293" s="203">
        <v>2</v>
      </c>
      <c r="K293" s="65">
        <v>2382.04</v>
      </c>
      <c r="L293" s="224">
        <v>2</v>
      </c>
      <c r="M293" s="50">
        <f t="shared" ref="M293:M298" si="25">N293+O293</f>
        <v>2382.04</v>
      </c>
      <c r="N293" s="65">
        <v>2382.04</v>
      </c>
      <c r="O293" s="31"/>
      <c r="P293" s="108">
        <v>2</v>
      </c>
      <c r="Q293" s="65">
        <v>4082.51</v>
      </c>
      <c r="R293" s="224">
        <v>2</v>
      </c>
      <c r="S293" s="50">
        <f t="shared" ref="S293:S297" si="26">T293+U293</f>
        <v>4082.51</v>
      </c>
      <c r="T293" s="65">
        <v>4082.51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1" t="s">
        <v>262</v>
      </c>
      <c r="G294" s="55" t="s">
        <v>28</v>
      </c>
      <c r="H294" s="112">
        <v>6</v>
      </c>
      <c r="I294" s="130">
        <v>1</v>
      </c>
      <c r="J294" s="130">
        <v>1</v>
      </c>
      <c r="K294" s="114">
        <v>1479.17</v>
      </c>
      <c r="L294" s="316">
        <v>1</v>
      </c>
      <c r="M294" s="129">
        <f t="shared" si="25"/>
        <v>1479.17</v>
      </c>
      <c r="N294" s="43">
        <f>1479.17</f>
        <v>1479.17</v>
      </c>
      <c r="O294" s="45"/>
      <c r="P294" s="113">
        <v>4</v>
      </c>
      <c r="Q294" s="114">
        <v>17905.400000000001</v>
      </c>
      <c r="R294" s="316">
        <v>5</v>
      </c>
      <c r="S294" s="129">
        <f t="shared" si="26"/>
        <v>21555.3</v>
      </c>
      <c r="T294" s="114">
        <f>3649.9+1344.7+7107.7+4034.1+5418.9</f>
        <v>21555.3</v>
      </c>
      <c r="U294" s="45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372"/>
      <c r="B295" s="374" t="s">
        <v>203</v>
      </c>
      <c r="C295" s="377" t="s">
        <v>46</v>
      </c>
      <c r="D295" s="377" t="s">
        <v>459</v>
      </c>
      <c r="E295" s="374" t="s">
        <v>27</v>
      </c>
      <c r="F295" s="204" t="s">
        <v>475</v>
      </c>
      <c r="G295" s="23" t="s">
        <v>24</v>
      </c>
      <c r="H295" s="61">
        <v>3</v>
      </c>
      <c r="I295" s="62">
        <v>1</v>
      </c>
      <c r="J295" s="62">
        <v>2</v>
      </c>
      <c r="K295" s="30">
        <v>2954.31</v>
      </c>
      <c r="L295" s="205">
        <v>2</v>
      </c>
      <c r="M295" s="26">
        <f t="shared" si="25"/>
        <v>2954.31</v>
      </c>
      <c r="N295" s="30">
        <v>2954.31</v>
      </c>
      <c r="O295" s="28"/>
      <c r="P295" s="29">
        <v>6</v>
      </c>
      <c r="Q295" s="30">
        <v>3137.95</v>
      </c>
      <c r="R295" s="205">
        <v>1</v>
      </c>
      <c r="S295" s="26">
        <f t="shared" si="26"/>
        <v>3137.95</v>
      </c>
      <c r="T295" s="30">
        <v>3137.95</v>
      </c>
      <c r="U295" s="28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373"/>
      <c r="B296" s="375"/>
      <c r="C296" s="375"/>
      <c r="D296" s="375"/>
      <c r="E296" s="375"/>
      <c r="F296" s="34"/>
      <c r="G296" s="35" t="s">
        <v>28</v>
      </c>
      <c r="H296" s="117"/>
      <c r="I296" s="38"/>
      <c r="J296" s="38"/>
      <c r="K296" s="39"/>
      <c r="L296" s="40"/>
      <c r="M296" s="39">
        <f t="shared" si="25"/>
        <v>0</v>
      </c>
      <c r="N296" s="39"/>
      <c r="O296" s="41"/>
      <c r="P296" s="69"/>
      <c r="Q296" s="39"/>
      <c r="R296" s="40"/>
      <c r="S296" s="39">
        <f t="shared" si="26"/>
        <v>0</v>
      </c>
      <c r="T296" s="39"/>
      <c r="U296" s="41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382"/>
      <c r="B297" s="381" t="s">
        <v>204</v>
      </c>
      <c r="C297" s="377" t="s">
        <v>22</v>
      </c>
      <c r="D297" s="377"/>
      <c r="E297" s="381" t="s">
        <v>23</v>
      </c>
      <c r="F297" s="204" t="s">
        <v>431</v>
      </c>
      <c r="G297" s="47" t="s">
        <v>24</v>
      </c>
      <c r="H297" s="48">
        <v>12</v>
      </c>
      <c r="I297" s="203">
        <v>10</v>
      </c>
      <c r="J297" s="203">
        <v>13</v>
      </c>
      <c r="K297" s="65">
        <v>17554.009999999998</v>
      </c>
      <c r="L297" s="224">
        <v>13</v>
      </c>
      <c r="M297" s="50">
        <f t="shared" si="25"/>
        <v>17554.009999999998</v>
      </c>
      <c r="N297" s="65">
        <v>17554.009999999998</v>
      </c>
      <c r="O297" s="225"/>
      <c r="P297" s="108">
        <v>4</v>
      </c>
      <c r="Q297" s="65">
        <v>3363.11</v>
      </c>
      <c r="R297" s="224">
        <v>4</v>
      </c>
      <c r="S297" s="50">
        <f t="shared" si="26"/>
        <v>3363.11</v>
      </c>
      <c r="T297" s="65">
        <v>3363.11</v>
      </c>
      <c r="U297" s="225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373"/>
      <c r="B298" s="375"/>
      <c r="C298" s="375"/>
      <c r="D298" s="375"/>
      <c r="E298" s="375"/>
      <c r="F298" s="220" t="s">
        <v>499</v>
      </c>
      <c r="G298" s="35" t="s">
        <v>25</v>
      </c>
      <c r="H298" s="111"/>
      <c r="I298" s="38"/>
      <c r="J298" s="38"/>
      <c r="K298" s="39"/>
      <c r="L298" s="40"/>
      <c r="M298" s="39">
        <f t="shared" si="25"/>
        <v>0</v>
      </c>
      <c r="N298" s="39"/>
      <c r="O298" s="41"/>
      <c r="P298" s="115">
        <v>2</v>
      </c>
      <c r="Q298" s="68">
        <v>2305.1999999999998</v>
      </c>
      <c r="R298" s="285">
        <v>1</v>
      </c>
      <c r="S298" s="68">
        <v>2305.1999999999998</v>
      </c>
      <c r="T298" s="68">
        <v>2305.1999999999998</v>
      </c>
      <c r="U298" s="41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179"/>
      <c r="B299" s="180" t="s">
        <v>205</v>
      </c>
      <c r="C299" s="180"/>
      <c r="D299" s="180"/>
      <c r="E299" s="180"/>
      <c r="F299" s="180"/>
      <c r="G299" s="181"/>
      <c r="H299" s="182">
        <f t="shared" ref="H299:U299" si="27">SUM(H9:H298)</f>
        <v>2307</v>
      </c>
      <c r="I299" s="183">
        <f t="shared" si="27"/>
        <v>1498</v>
      </c>
      <c r="J299" s="183">
        <f t="shared" si="27"/>
        <v>1895</v>
      </c>
      <c r="K299" s="184">
        <f t="shared" si="27"/>
        <v>3604645.1100000013</v>
      </c>
      <c r="L299" s="185">
        <f t="shared" si="27"/>
        <v>1755</v>
      </c>
      <c r="M299" s="184">
        <f t="shared" si="27"/>
        <v>3375527.1800000006</v>
      </c>
      <c r="N299" s="184">
        <f t="shared" si="27"/>
        <v>3320709.5300000003</v>
      </c>
      <c r="O299" s="186">
        <f t="shared" si="27"/>
        <v>56021.85</v>
      </c>
      <c r="P299" s="187">
        <f t="shared" si="27"/>
        <v>1475</v>
      </c>
      <c r="Q299" s="188">
        <f t="shared" si="27"/>
        <v>5347758.5300000012</v>
      </c>
      <c r="R299" s="185">
        <f t="shared" si="27"/>
        <v>1408</v>
      </c>
      <c r="S299" s="188">
        <f t="shared" si="27"/>
        <v>5253183.7100000009</v>
      </c>
      <c r="T299" s="188">
        <f t="shared" si="27"/>
        <v>5253183.7100000009</v>
      </c>
      <c r="U299" s="189">
        <f t="shared" si="27"/>
        <v>0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I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 t="s">
        <v>206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27.75" customHeight="1">
      <c r="A303" s="4"/>
      <c r="B303" s="4"/>
      <c r="C303" s="4"/>
      <c r="D303" s="4"/>
      <c r="E303" s="4"/>
      <c r="F303" s="394"/>
      <c r="G303" s="395" t="s">
        <v>5</v>
      </c>
      <c r="H303" s="396"/>
      <c r="I303" s="396"/>
      <c r="J303" s="396"/>
      <c r="K303" s="396"/>
      <c r="L303" s="396"/>
      <c r="M303" s="396"/>
      <c r="N303" s="397"/>
      <c r="O303" s="395" t="s">
        <v>6</v>
      </c>
      <c r="P303" s="396"/>
      <c r="Q303" s="396"/>
      <c r="R303" s="396"/>
      <c r="S303" s="396"/>
      <c r="T303" s="397"/>
      <c r="U303" s="393" t="s">
        <v>207</v>
      </c>
      <c r="V303" s="393" t="s">
        <v>208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386"/>
      <c r="G304" s="190" t="s">
        <v>13</v>
      </c>
      <c r="H304" s="190" t="s">
        <v>14</v>
      </c>
      <c r="I304" s="190" t="s">
        <v>15</v>
      </c>
      <c r="J304" s="190" t="s">
        <v>16</v>
      </c>
      <c r="K304" s="191" t="s">
        <v>17</v>
      </c>
      <c r="L304" s="190" t="s">
        <v>18</v>
      </c>
      <c r="M304" s="190" t="s">
        <v>19</v>
      </c>
      <c r="N304" s="190" t="s">
        <v>20</v>
      </c>
      <c r="O304" s="190" t="s">
        <v>15</v>
      </c>
      <c r="P304" s="190" t="s">
        <v>16</v>
      </c>
      <c r="Q304" s="191" t="s">
        <v>17</v>
      </c>
      <c r="R304" s="190" t="s">
        <v>18</v>
      </c>
      <c r="S304" s="190" t="s">
        <v>19</v>
      </c>
      <c r="T304" s="190" t="s">
        <v>20</v>
      </c>
      <c r="U304" s="392"/>
      <c r="V304" s="392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192" t="s">
        <v>24</v>
      </c>
      <c r="G305" s="193">
        <f t="shared" ref="G305:I305" si="28">SUMIF($G$9:$G$298,$F$305,H9:H298)</f>
        <v>1664</v>
      </c>
      <c r="H305" s="193">
        <f t="shared" si="28"/>
        <v>1200</v>
      </c>
      <c r="I305" s="193">
        <f t="shared" si="28"/>
        <v>1596</v>
      </c>
      <c r="J305" s="194">
        <f t="shared" ref="J305:J307" si="29">SUMIF($G$9:$G$298,F305,$K$9:$K$298)</f>
        <v>2985579.3299999996</v>
      </c>
      <c r="K305" s="195">
        <f t="shared" ref="K305:K307" si="30">SUMIF($G$9:$G$298,F305,$L$9:$L$298)</f>
        <v>1526</v>
      </c>
      <c r="L305" s="194">
        <f t="shared" ref="L305:L307" si="31">SUMIF($G$9:$G$298,F305,$M$9:$M$298)</f>
        <v>2918136.7400000007</v>
      </c>
      <c r="M305" s="194">
        <f t="shared" ref="M305:O305" si="32">SUMIF($G$9:$G$298,$F$305,N9:N298)</f>
        <v>2862114.8900000006</v>
      </c>
      <c r="N305" s="194">
        <f t="shared" si="32"/>
        <v>56021.85</v>
      </c>
      <c r="O305" s="193">
        <f t="shared" si="32"/>
        <v>1160</v>
      </c>
      <c r="P305" s="194">
        <f t="shared" ref="P305:P307" si="33">SUMIF($G$9:$G$298,F305,$Q$9:$Q$298)</f>
        <v>4263796.5500000007</v>
      </c>
      <c r="Q305" s="195">
        <f t="shared" ref="Q305:Q307" si="34">SUMIF($G$9:$G$298,F305,$R$9:$R$298)</f>
        <v>1105</v>
      </c>
      <c r="R305" s="194">
        <f t="shared" ref="R305:R307" si="35">SUMIF($G$9:$G$298,F305,$S$9:$S$298)</f>
        <v>4237470.4400000004</v>
      </c>
      <c r="S305" s="194">
        <f t="shared" ref="S305:T305" si="36">SUMIF($G$9:$G$298,$F$305,T9:T298)</f>
        <v>4237470.4400000004</v>
      </c>
      <c r="T305" s="194">
        <f t="shared" si="36"/>
        <v>0</v>
      </c>
      <c r="U305" s="194">
        <f t="shared" ref="U305:U307" si="37">S305+M305</f>
        <v>7099585.330000001</v>
      </c>
      <c r="V305" s="196">
        <f t="shared" ref="V305:V307" si="38">J305-M305+P305-S305</f>
        <v>149790.54999999981</v>
      </c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192" t="s">
        <v>28</v>
      </c>
      <c r="G306" s="236">
        <f t="shared" ref="G306:I306" si="39">SUMIF($G$9:$G$298,$F$306,H9:H298)</f>
        <v>531</v>
      </c>
      <c r="H306" s="193">
        <f t="shared" si="39"/>
        <v>245</v>
      </c>
      <c r="I306" s="193">
        <f t="shared" si="39"/>
        <v>246</v>
      </c>
      <c r="J306" s="194">
        <f t="shared" si="29"/>
        <v>520170.48999999993</v>
      </c>
      <c r="K306" s="195">
        <f t="shared" si="30"/>
        <v>178</v>
      </c>
      <c r="L306" s="194">
        <f t="shared" si="31"/>
        <v>361452.85000000003</v>
      </c>
      <c r="M306" s="194">
        <f t="shared" ref="M306:O306" si="40">SUMIF($G$9:$G$298,$F$306,N9:N298)</f>
        <v>362657.05000000005</v>
      </c>
      <c r="N306" s="194">
        <f t="shared" si="40"/>
        <v>0</v>
      </c>
      <c r="O306" s="193">
        <f t="shared" si="40"/>
        <v>246</v>
      </c>
      <c r="P306" s="194">
        <f t="shared" si="33"/>
        <v>815117.12999999977</v>
      </c>
      <c r="Q306" s="195">
        <f t="shared" si="34"/>
        <v>236</v>
      </c>
      <c r="R306" s="194">
        <f t="shared" si="35"/>
        <v>746868.42000000039</v>
      </c>
      <c r="S306" s="194">
        <f t="shared" ref="S306:T306" si="41">SUMIF($G$9:$G$298,$F$306,T9:T298)</f>
        <v>746868.42000000039</v>
      </c>
      <c r="T306" s="194">
        <f t="shared" si="41"/>
        <v>0</v>
      </c>
      <c r="U306" s="194">
        <f t="shared" si="37"/>
        <v>1109525.4700000004</v>
      </c>
      <c r="V306" s="196">
        <f t="shared" si="38"/>
        <v>225762.14999999921</v>
      </c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192" t="s">
        <v>25</v>
      </c>
      <c r="G307" s="193">
        <f t="shared" ref="G307:I307" si="42">SUMIF($G$9:$G$298,$F$307,H9:H298)</f>
        <v>112</v>
      </c>
      <c r="H307" s="193">
        <f t="shared" si="42"/>
        <v>53</v>
      </c>
      <c r="I307" s="193">
        <f t="shared" si="42"/>
        <v>53</v>
      </c>
      <c r="J307" s="194">
        <f t="shared" si="29"/>
        <v>98895.29</v>
      </c>
      <c r="K307" s="195">
        <f t="shared" si="30"/>
        <v>51</v>
      </c>
      <c r="L307" s="194">
        <f t="shared" si="31"/>
        <v>95937.589999999982</v>
      </c>
      <c r="M307" s="194">
        <f t="shared" ref="M307:O307" si="43">SUMIF($G$9:$G$298,$F$307,N9:N298)</f>
        <v>95937.589999999982</v>
      </c>
      <c r="N307" s="194">
        <f t="shared" si="43"/>
        <v>0</v>
      </c>
      <c r="O307" s="193">
        <f t="shared" si="43"/>
        <v>69</v>
      </c>
      <c r="P307" s="194">
        <f t="shared" si="33"/>
        <v>268844.85000000003</v>
      </c>
      <c r="Q307" s="195">
        <f t="shared" si="34"/>
        <v>67</v>
      </c>
      <c r="R307" s="194">
        <f t="shared" si="35"/>
        <v>268844.85000000003</v>
      </c>
      <c r="S307" s="194">
        <f t="shared" ref="S307:T307" si="44">SUMIF($G$9:$G$298,$F$307,T9:T298)</f>
        <v>268844.85000000003</v>
      </c>
      <c r="T307" s="194">
        <f t="shared" si="44"/>
        <v>0</v>
      </c>
      <c r="U307" s="194">
        <f t="shared" si="37"/>
        <v>364782.44</v>
      </c>
      <c r="V307" s="196">
        <f t="shared" si="38"/>
        <v>2957.7000000000116</v>
      </c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197">
        <f t="shared" ref="G308:V308" si="45">G307+G306+G305</f>
        <v>2307</v>
      </c>
      <c r="H308" s="197">
        <f t="shared" si="45"/>
        <v>1498</v>
      </c>
      <c r="I308" s="197">
        <f t="shared" si="45"/>
        <v>1895</v>
      </c>
      <c r="J308" s="198">
        <f t="shared" si="45"/>
        <v>3604645.1099999994</v>
      </c>
      <c r="K308" s="199">
        <f t="shared" si="45"/>
        <v>1755</v>
      </c>
      <c r="L308" s="198">
        <f t="shared" si="45"/>
        <v>3375527.1800000006</v>
      </c>
      <c r="M308" s="198">
        <f t="shared" si="45"/>
        <v>3320709.5300000007</v>
      </c>
      <c r="N308" s="198">
        <f t="shared" si="45"/>
        <v>56021.85</v>
      </c>
      <c r="O308" s="197">
        <f t="shared" si="45"/>
        <v>1475</v>
      </c>
      <c r="P308" s="198">
        <f t="shared" si="45"/>
        <v>5347758.53</v>
      </c>
      <c r="Q308" s="200">
        <f t="shared" si="45"/>
        <v>1408</v>
      </c>
      <c r="R308" s="198">
        <f t="shared" si="45"/>
        <v>5253183.7100000009</v>
      </c>
      <c r="S308" s="198">
        <f t="shared" si="45"/>
        <v>5253183.7100000009</v>
      </c>
      <c r="T308" s="198">
        <f t="shared" si="45"/>
        <v>0</v>
      </c>
      <c r="U308" s="198">
        <f t="shared" si="45"/>
        <v>8573893.2400000021</v>
      </c>
      <c r="V308" s="198">
        <f t="shared" si="45"/>
        <v>378510.39999999903</v>
      </c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K309" s="201"/>
      <c r="L309" s="201"/>
      <c r="R309" s="2"/>
    </row>
    <row r="310" spans="1:32" ht="15.75" customHeight="1">
      <c r="K310" s="201"/>
      <c r="L310" s="201"/>
      <c r="R310" s="2"/>
    </row>
    <row r="311" spans="1:32" ht="15.75" customHeight="1">
      <c r="K311" s="201"/>
      <c r="L311" s="201"/>
      <c r="R311" s="2"/>
    </row>
    <row r="312" spans="1:32" ht="15.75" customHeight="1">
      <c r="K312" s="201"/>
      <c r="L312" s="201"/>
      <c r="R312" s="2"/>
    </row>
    <row r="313" spans="1:32" ht="15.75" customHeight="1">
      <c r="K313" s="201"/>
      <c r="L313" s="201"/>
      <c r="R313" s="2"/>
    </row>
    <row r="314" spans="1:32" ht="15.75" customHeight="1">
      <c r="K314" s="201"/>
      <c r="L314" s="201"/>
      <c r="R314" s="2"/>
    </row>
    <row r="315" spans="1:32" ht="15.75" customHeight="1">
      <c r="K315" s="201"/>
      <c r="L315" s="201"/>
      <c r="R315" s="2"/>
    </row>
    <row r="316" spans="1:32" ht="15.75" customHeight="1">
      <c r="K316" s="201"/>
      <c r="L316" s="201"/>
      <c r="R316" s="2"/>
    </row>
    <row r="317" spans="1:32" ht="15.75" customHeight="1">
      <c r="K317" s="201"/>
      <c r="L317" s="201"/>
      <c r="R317" s="2"/>
    </row>
    <row r="318" spans="1:32" ht="15.75" customHeight="1">
      <c r="K318" s="201"/>
      <c r="L318" s="201"/>
      <c r="R318" s="2"/>
    </row>
    <row r="319" spans="1:32" ht="15.75" customHeight="1">
      <c r="K319" s="201"/>
      <c r="L319" s="201"/>
      <c r="R319" s="2"/>
    </row>
    <row r="320" spans="1:32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K457" s="201"/>
      <c r="L457" s="201"/>
      <c r="R457" s="2"/>
    </row>
    <row r="458" spans="11:18" ht="15.75" customHeight="1">
      <c r="K458" s="201"/>
      <c r="L458" s="201"/>
      <c r="R458" s="2"/>
    </row>
    <row r="459" spans="11:18" ht="15.75" customHeight="1">
      <c r="K459" s="201"/>
      <c r="L459" s="201"/>
      <c r="R459" s="2"/>
    </row>
    <row r="460" spans="11:18" ht="15.75" customHeight="1">
      <c r="K460" s="201"/>
      <c r="L460" s="201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  <row r="934" spans="12:18" ht="15.75" customHeight="1">
      <c r="L934" s="2"/>
      <c r="R934" s="2"/>
    </row>
    <row r="935" spans="12:18" ht="15.75" customHeight="1">
      <c r="L935" s="2"/>
      <c r="R935" s="2"/>
    </row>
    <row r="936" spans="12:18" ht="15.75" customHeight="1">
      <c r="L936" s="2"/>
      <c r="R936" s="2"/>
    </row>
    <row r="937" spans="12:18" ht="15.75" customHeight="1">
      <c r="L937" s="2"/>
      <c r="R937" s="2"/>
    </row>
  </sheetData>
  <mergeCells count="720">
    <mergeCell ref="D192:D193"/>
    <mergeCell ref="E192:E193"/>
    <mergeCell ref="A194:A195"/>
    <mergeCell ref="B202:B203"/>
    <mergeCell ref="C202:C203"/>
    <mergeCell ref="A204:A205"/>
    <mergeCell ref="B204:B205"/>
    <mergeCell ref="C204:C205"/>
    <mergeCell ref="D204:D205"/>
    <mergeCell ref="E204:E205"/>
    <mergeCell ref="A188:A189"/>
    <mergeCell ref="B188:B189"/>
    <mergeCell ref="C188:C189"/>
    <mergeCell ref="B190:B191"/>
    <mergeCell ref="C190:C191"/>
    <mergeCell ref="A190:A191"/>
    <mergeCell ref="A192:A193"/>
    <mergeCell ref="B192:B193"/>
    <mergeCell ref="C192:C193"/>
    <mergeCell ref="A182:A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202:D203"/>
    <mergeCell ref="E202:E203"/>
    <mergeCell ref="A198:A199"/>
    <mergeCell ref="A200:A201"/>
    <mergeCell ref="B200:B201"/>
    <mergeCell ref="C200:C201"/>
    <mergeCell ref="D200:D201"/>
    <mergeCell ref="E200:E201"/>
    <mergeCell ref="A202:A203"/>
    <mergeCell ref="D198:D199"/>
    <mergeCell ref="E198:E199"/>
    <mergeCell ref="B194:B195"/>
    <mergeCell ref="C194:C195"/>
    <mergeCell ref="A196:A197"/>
    <mergeCell ref="B196:B197"/>
    <mergeCell ref="C196:C197"/>
    <mergeCell ref="B198:B199"/>
    <mergeCell ref="C198:C199"/>
    <mergeCell ref="A178:A179"/>
    <mergeCell ref="B178:B179"/>
    <mergeCell ref="C178:C179"/>
    <mergeCell ref="D178:D179"/>
    <mergeCell ref="E178:E179"/>
    <mergeCell ref="D194:D195"/>
    <mergeCell ref="E194:E195"/>
    <mergeCell ref="D196:D197"/>
    <mergeCell ref="E196:E197"/>
    <mergeCell ref="C182:C183"/>
    <mergeCell ref="D182:D183"/>
    <mergeCell ref="A180:A181"/>
    <mergeCell ref="B180:B181"/>
    <mergeCell ref="C180:C181"/>
    <mergeCell ref="D180:D181"/>
    <mergeCell ref="E180:E181"/>
    <mergeCell ref="B182:B183"/>
    <mergeCell ref="E182:E183"/>
    <mergeCell ref="D186:D187"/>
    <mergeCell ref="E186:E187"/>
    <mergeCell ref="D188:D189"/>
    <mergeCell ref="E188:E189"/>
    <mergeCell ref="D190:D191"/>
    <mergeCell ref="E190:E191"/>
    <mergeCell ref="A167:A169"/>
    <mergeCell ref="B167:B169"/>
    <mergeCell ref="C167:C169"/>
    <mergeCell ref="D167:D169"/>
    <mergeCell ref="E167:E169"/>
    <mergeCell ref="C172:C173"/>
    <mergeCell ref="D172:D173"/>
    <mergeCell ref="B176:B177"/>
    <mergeCell ref="C176:C177"/>
    <mergeCell ref="D165:D166"/>
    <mergeCell ref="E165:E166"/>
    <mergeCell ref="A160:A161"/>
    <mergeCell ref="A162:A164"/>
    <mergeCell ref="B162:B164"/>
    <mergeCell ref="C162:C164"/>
    <mergeCell ref="D162:D164"/>
    <mergeCell ref="E162:E164"/>
    <mergeCell ref="A165:A166"/>
    <mergeCell ref="B165:B166"/>
    <mergeCell ref="C165:C166"/>
    <mergeCell ref="C160:C161"/>
    <mergeCell ref="D160:D161"/>
    <mergeCell ref="A158:A159"/>
    <mergeCell ref="B158:B159"/>
    <mergeCell ref="C158:C159"/>
    <mergeCell ref="D158:D159"/>
    <mergeCell ref="E158:E159"/>
    <mergeCell ref="B160:B161"/>
    <mergeCell ref="E160:E161"/>
    <mergeCell ref="A170:A171"/>
    <mergeCell ref="B170:B171"/>
    <mergeCell ref="C170:C171"/>
    <mergeCell ref="D170:D171"/>
    <mergeCell ref="E170:E171"/>
    <mergeCell ref="B172:B173"/>
    <mergeCell ref="E172:E173"/>
    <mergeCell ref="D176:D177"/>
    <mergeCell ref="E176:E177"/>
    <mergeCell ref="A172:A173"/>
    <mergeCell ref="A174:A175"/>
    <mergeCell ref="B174:B175"/>
    <mergeCell ref="C174:C175"/>
    <mergeCell ref="D174:D175"/>
    <mergeCell ref="E174:E175"/>
    <mergeCell ref="A176:A177"/>
    <mergeCell ref="A275:A276"/>
    <mergeCell ref="B275:B276"/>
    <mergeCell ref="C275:C276"/>
    <mergeCell ref="D275:D276"/>
    <mergeCell ref="E275:E276"/>
    <mergeCell ref="A277:A278"/>
    <mergeCell ref="B285:B286"/>
    <mergeCell ref="C285:C286"/>
    <mergeCell ref="A287:A288"/>
    <mergeCell ref="B287:B288"/>
    <mergeCell ref="C287:C288"/>
    <mergeCell ref="D287:D288"/>
    <mergeCell ref="E287:E288"/>
    <mergeCell ref="D269:D270"/>
    <mergeCell ref="E269:E270"/>
    <mergeCell ref="D271:D272"/>
    <mergeCell ref="E271:E272"/>
    <mergeCell ref="D273:D274"/>
    <mergeCell ref="E273:E274"/>
    <mergeCell ref="A265:A266"/>
    <mergeCell ref="A267:A268"/>
    <mergeCell ref="B267:B268"/>
    <mergeCell ref="C267:C268"/>
    <mergeCell ref="D267:D268"/>
    <mergeCell ref="E267:E268"/>
    <mergeCell ref="A269:A270"/>
    <mergeCell ref="B269:B270"/>
    <mergeCell ref="C269:C270"/>
    <mergeCell ref="A271:A272"/>
    <mergeCell ref="B271:B272"/>
    <mergeCell ref="C271:C272"/>
    <mergeCell ref="B273:B274"/>
    <mergeCell ref="C273:C274"/>
    <mergeCell ref="A273:A274"/>
    <mergeCell ref="C265:C266"/>
    <mergeCell ref="D265:D266"/>
    <mergeCell ref="A263:A264"/>
    <mergeCell ref="B263:B264"/>
    <mergeCell ref="C263:C264"/>
    <mergeCell ref="D263:D264"/>
    <mergeCell ref="E263:E264"/>
    <mergeCell ref="B265:B266"/>
    <mergeCell ref="E265:E266"/>
    <mergeCell ref="D293:D294"/>
    <mergeCell ref="E293:E294"/>
    <mergeCell ref="A295:A296"/>
    <mergeCell ref="U303:U304"/>
    <mergeCell ref="V303:V304"/>
    <mergeCell ref="D295:D296"/>
    <mergeCell ref="E295:E296"/>
    <mergeCell ref="D297:D298"/>
    <mergeCell ref="E297:E298"/>
    <mergeCell ref="F303:F304"/>
    <mergeCell ref="G303:N303"/>
    <mergeCell ref="O303:T303"/>
    <mergeCell ref="B295:B296"/>
    <mergeCell ref="C295:C296"/>
    <mergeCell ref="A297:A298"/>
    <mergeCell ref="B297:B298"/>
    <mergeCell ref="C297:C298"/>
    <mergeCell ref="A291:A292"/>
    <mergeCell ref="A293:A294"/>
    <mergeCell ref="B293:B294"/>
    <mergeCell ref="C293:C294"/>
    <mergeCell ref="C291:C292"/>
    <mergeCell ref="D291:D292"/>
    <mergeCell ref="A289:A290"/>
    <mergeCell ref="B289:B290"/>
    <mergeCell ref="C289:C290"/>
    <mergeCell ref="D289:D290"/>
    <mergeCell ref="E289:E290"/>
    <mergeCell ref="B291:B292"/>
    <mergeCell ref="E291:E292"/>
    <mergeCell ref="D285:D286"/>
    <mergeCell ref="E285:E286"/>
    <mergeCell ref="A281:A282"/>
    <mergeCell ref="A283:A284"/>
    <mergeCell ref="B283:B284"/>
    <mergeCell ref="C283:C284"/>
    <mergeCell ref="D283:D284"/>
    <mergeCell ref="E283:E284"/>
    <mergeCell ref="A285:A286"/>
    <mergeCell ref="D277:D278"/>
    <mergeCell ref="E277:E278"/>
    <mergeCell ref="D279:D280"/>
    <mergeCell ref="E279:E280"/>
    <mergeCell ref="D281:D282"/>
    <mergeCell ref="E281:E282"/>
    <mergeCell ref="B277:B278"/>
    <mergeCell ref="C277:C278"/>
    <mergeCell ref="A279:A280"/>
    <mergeCell ref="B279:B280"/>
    <mergeCell ref="C279:C280"/>
    <mergeCell ref="B281:B282"/>
    <mergeCell ref="C281:C282"/>
    <mergeCell ref="A245:A246"/>
    <mergeCell ref="B245:B246"/>
    <mergeCell ref="C245:C246"/>
    <mergeCell ref="D245:D246"/>
    <mergeCell ref="E245:E246"/>
    <mergeCell ref="A247:A248"/>
    <mergeCell ref="B259:B260"/>
    <mergeCell ref="C259:C260"/>
    <mergeCell ref="A261:A262"/>
    <mergeCell ref="B261:B262"/>
    <mergeCell ref="C261:C262"/>
    <mergeCell ref="D261:D262"/>
    <mergeCell ref="E261:E262"/>
    <mergeCell ref="C255:C256"/>
    <mergeCell ref="D255:D256"/>
    <mergeCell ref="A253:A254"/>
    <mergeCell ref="B253:B254"/>
    <mergeCell ref="C253:C254"/>
    <mergeCell ref="D253:D254"/>
    <mergeCell ref="E253:E254"/>
    <mergeCell ref="B255:B256"/>
    <mergeCell ref="E255:E256"/>
    <mergeCell ref="D239:D240"/>
    <mergeCell ref="E239:E240"/>
    <mergeCell ref="D241:D242"/>
    <mergeCell ref="E241:E242"/>
    <mergeCell ref="D243:D244"/>
    <mergeCell ref="E243:E244"/>
    <mergeCell ref="A235:A236"/>
    <mergeCell ref="A237:A238"/>
    <mergeCell ref="B237:B238"/>
    <mergeCell ref="C237:C238"/>
    <mergeCell ref="D237:D238"/>
    <mergeCell ref="E237:E238"/>
    <mergeCell ref="A239:A240"/>
    <mergeCell ref="B239:B240"/>
    <mergeCell ref="C239:C240"/>
    <mergeCell ref="A241:A242"/>
    <mergeCell ref="B241:B242"/>
    <mergeCell ref="C241:C242"/>
    <mergeCell ref="B243:B244"/>
    <mergeCell ref="C243:C244"/>
    <mergeCell ref="A243:A244"/>
    <mergeCell ref="C235:C236"/>
    <mergeCell ref="D235:D236"/>
    <mergeCell ref="A233:A234"/>
    <mergeCell ref="B233:B234"/>
    <mergeCell ref="C233:C234"/>
    <mergeCell ref="D233:D234"/>
    <mergeCell ref="E233:E234"/>
    <mergeCell ref="B235:B236"/>
    <mergeCell ref="E235:E236"/>
    <mergeCell ref="D259:D260"/>
    <mergeCell ref="E259:E260"/>
    <mergeCell ref="A255:A256"/>
    <mergeCell ref="A257:A258"/>
    <mergeCell ref="B257:B258"/>
    <mergeCell ref="C257:C258"/>
    <mergeCell ref="D257:D258"/>
    <mergeCell ref="E257:E258"/>
    <mergeCell ref="A259:A260"/>
    <mergeCell ref="D247:D248"/>
    <mergeCell ref="E247:E248"/>
    <mergeCell ref="D249:D250"/>
    <mergeCell ref="E249:E250"/>
    <mergeCell ref="D251:D252"/>
    <mergeCell ref="E251:E252"/>
    <mergeCell ref="B247:B248"/>
    <mergeCell ref="C247:C248"/>
    <mergeCell ref="A249:A250"/>
    <mergeCell ref="B249:B250"/>
    <mergeCell ref="C249:C250"/>
    <mergeCell ref="B251:B252"/>
    <mergeCell ref="C251:C252"/>
    <mergeCell ref="A219:A220"/>
    <mergeCell ref="B219:B220"/>
    <mergeCell ref="C219:C220"/>
    <mergeCell ref="D219:D220"/>
    <mergeCell ref="E219:E220"/>
    <mergeCell ref="A221:A222"/>
    <mergeCell ref="B229:B230"/>
    <mergeCell ref="C229:C230"/>
    <mergeCell ref="A231:A232"/>
    <mergeCell ref="B231:B232"/>
    <mergeCell ref="C231:C232"/>
    <mergeCell ref="D231:D232"/>
    <mergeCell ref="E231:E232"/>
    <mergeCell ref="D221:D222"/>
    <mergeCell ref="E221:E222"/>
    <mergeCell ref="D223:D224"/>
    <mergeCell ref="E223:E224"/>
    <mergeCell ref="D225:D226"/>
    <mergeCell ref="E225:E226"/>
    <mergeCell ref="B221:B222"/>
    <mergeCell ref="C221:C222"/>
    <mergeCell ref="A223:A224"/>
    <mergeCell ref="B223:B224"/>
    <mergeCell ref="C223:C224"/>
    <mergeCell ref="D213:D214"/>
    <mergeCell ref="E213:E214"/>
    <mergeCell ref="D215:D216"/>
    <mergeCell ref="E215:E216"/>
    <mergeCell ref="D217:D218"/>
    <mergeCell ref="E217:E218"/>
    <mergeCell ref="A208:A209"/>
    <mergeCell ref="A210:A212"/>
    <mergeCell ref="B210:B212"/>
    <mergeCell ref="C210:C212"/>
    <mergeCell ref="D210:D212"/>
    <mergeCell ref="E210:E212"/>
    <mergeCell ref="A213:A214"/>
    <mergeCell ref="B213:B214"/>
    <mergeCell ref="C213:C214"/>
    <mergeCell ref="A215:A216"/>
    <mergeCell ref="B215:B216"/>
    <mergeCell ref="C215:C216"/>
    <mergeCell ref="B217:B218"/>
    <mergeCell ref="C217:C218"/>
    <mergeCell ref="A217:A218"/>
    <mergeCell ref="C208:C209"/>
    <mergeCell ref="D208:D209"/>
    <mergeCell ref="A206:A207"/>
    <mergeCell ref="B206:B207"/>
    <mergeCell ref="C206:C207"/>
    <mergeCell ref="D206:D207"/>
    <mergeCell ref="E206:E207"/>
    <mergeCell ref="B208:B209"/>
    <mergeCell ref="E208:E209"/>
    <mergeCell ref="D229:D230"/>
    <mergeCell ref="E229:E230"/>
    <mergeCell ref="A225:A226"/>
    <mergeCell ref="A227:A228"/>
    <mergeCell ref="B227:B228"/>
    <mergeCell ref="C227:C228"/>
    <mergeCell ref="D227:D228"/>
    <mergeCell ref="E227:E228"/>
    <mergeCell ref="A229:A230"/>
    <mergeCell ref="B225:B226"/>
    <mergeCell ref="C225:C226"/>
    <mergeCell ref="D143:D144"/>
    <mergeCell ref="E143:E144"/>
    <mergeCell ref="A145:A146"/>
    <mergeCell ref="B154:B155"/>
    <mergeCell ref="C154:C155"/>
    <mergeCell ref="A156:A157"/>
    <mergeCell ref="B156:B157"/>
    <mergeCell ref="C156:C157"/>
    <mergeCell ref="D156:D157"/>
    <mergeCell ref="E156:E157"/>
    <mergeCell ref="A139:A140"/>
    <mergeCell ref="B139:B140"/>
    <mergeCell ref="C139:C140"/>
    <mergeCell ref="B141:B142"/>
    <mergeCell ref="C141:C142"/>
    <mergeCell ref="A141:A142"/>
    <mergeCell ref="A143:A144"/>
    <mergeCell ref="B143:B144"/>
    <mergeCell ref="C143:C144"/>
    <mergeCell ref="A133:A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54:D155"/>
    <mergeCell ref="E154:E155"/>
    <mergeCell ref="A149:A150"/>
    <mergeCell ref="A151:A153"/>
    <mergeCell ref="B151:B153"/>
    <mergeCell ref="C151:C153"/>
    <mergeCell ref="D151:D153"/>
    <mergeCell ref="E151:E153"/>
    <mergeCell ref="A154:A155"/>
    <mergeCell ref="D147:D148"/>
    <mergeCell ref="E147:E148"/>
    <mergeCell ref="D149:D150"/>
    <mergeCell ref="E149:E150"/>
    <mergeCell ref="B145:B146"/>
    <mergeCell ref="C145:C146"/>
    <mergeCell ref="A147:A148"/>
    <mergeCell ref="B147:B148"/>
    <mergeCell ref="C147:C148"/>
    <mergeCell ref="B149:B150"/>
    <mergeCell ref="C149:C150"/>
    <mergeCell ref="A124:A126"/>
    <mergeCell ref="A127:A128"/>
    <mergeCell ref="B127:B128"/>
    <mergeCell ref="C127:C128"/>
    <mergeCell ref="A129:A130"/>
    <mergeCell ref="B129:B130"/>
    <mergeCell ref="C129:C130"/>
    <mergeCell ref="D145:D146"/>
    <mergeCell ref="E145:E146"/>
    <mergeCell ref="C133:C134"/>
    <mergeCell ref="D133:D134"/>
    <mergeCell ref="A131:A132"/>
    <mergeCell ref="B131:B132"/>
    <mergeCell ref="C131:C132"/>
    <mergeCell ref="D131:D132"/>
    <mergeCell ref="E131:E132"/>
    <mergeCell ref="B133:B134"/>
    <mergeCell ref="E133:E134"/>
    <mergeCell ref="D137:D138"/>
    <mergeCell ref="E137:E138"/>
    <mergeCell ref="D139:D140"/>
    <mergeCell ref="E139:E140"/>
    <mergeCell ref="D141:D142"/>
    <mergeCell ref="E141:E142"/>
    <mergeCell ref="B124:B126"/>
    <mergeCell ref="C124:C126"/>
    <mergeCell ref="D127:D128"/>
    <mergeCell ref="D129:D130"/>
    <mergeCell ref="D120:D121"/>
    <mergeCell ref="E120:E121"/>
    <mergeCell ref="D122:D123"/>
    <mergeCell ref="E122:E123"/>
    <mergeCell ref="D124:D126"/>
    <mergeCell ref="E124:E126"/>
    <mergeCell ref="E127:E128"/>
    <mergeCell ref="E129:E130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16:A117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3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66">
        <v>1</v>
      </c>
      <c r="I10" s="37"/>
      <c r="J10" s="38"/>
      <c r="K10" s="39"/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46"/>
      <c r="G11" s="47" t="s">
        <v>24</v>
      </c>
      <c r="H11" s="48">
        <v>3</v>
      </c>
      <c r="I11" s="49"/>
      <c r="J11" s="49"/>
      <c r="K11" s="50"/>
      <c r="L11" s="51"/>
      <c r="M11" s="50">
        <f t="shared" si="0"/>
        <v>0</v>
      </c>
      <c r="N11" s="50"/>
      <c r="O11" s="52"/>
      <c r="P11" s="53">
        <v>4</v>
      </c>
      <c r="Q11" s="30">
        <v>47242.18</v>
      </c>
      <c r="R11" s="27"/>
      <c r="S11" s="26">
        <f t="shared" si="1"/>
        <v>0</v>
      </c>
      <c r="T11" s="26"/>
      <c r="U11" s="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54"/>
      <c r="G12" s="55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60"/>
      <c r="G13" s="23" t="s">
        <v>24</v>
      </c>
      <c r="H13" s="61">
        <v>3</v>
      </c>
      <c r="I13" s="62">
        <v>1</v>
      </c>
      <c r="J13" s="62">
        <v>2</v>
      </c>
      <c r="K13" s="30">
        <v>5049.43</v>
      </c>
      <c r="L13" s="27"/>
      <c r="M13" s="26">
        <f t="shared" si="0"/>
        <v>0</v>
      </c>
      <c r="N13" s="26"/>
      <c r="O13" s="63"/>
      <c r="P13" s="64">
        <v>9</v>
      </c>
      <c r="Q13" s="65">
        <v>27664.82</v>
      </c>
      <c r="R13" s="51"/>
      <c r="S13" s="50">
        <f t="shared" si="1"/>
        <v>0</v>
      </c>
      <c r="T13" s="50"/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35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82"/>
      <c r="B15" s="381" t="s">
        <v>31</v>
      </c>
      <c r="C15" s="381" t="s">
        <v>22</v>
      </c>
      <c r="D15" s="381" t="s">
        <v>32</v>
      </c>
      <c r="E15" s="381" t="s">
        <v>27</v>
      </c>
      <c r="F15" s="46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21" t="s">
        <v>213</v>
      </c>
      <c r="G16" s="101" t="s">
        <v>28</v>
      </c>
      <c r="H16" s="112">
        <v>2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4</v>
      </c>
      <c r="Q16" s="114">
        <v>5186.7</v>
      </c>
      <c r="R16" s="44"/>
      <c r="S16" s="43">
        <f t="shared" si="1"/>
        <v>1344.7</v>
      </c>
      <c r="T16" s="43"/>
      <c r="U16" s="222">
        <v>1344.7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107"/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22</v>
      </c>
      <c r="D21" s="381" t="s">
        <v>36</v>
      </c>
      <c r="E21" s="381" t="s">
        <v>37</v>
      </c>
      <c r="F21" s="110"/>
      <c r="G21" s="47" t="s">
        <v>24</v>
      </c>
      <c r="H21" s="48">
        <v>1</v>
      </c>
      <c r="I21" s="49"/>
      <c r="J21" s="49"/>
      <c r="K21" s="50"/>
      <c r="L21" s="51"/>
      <c r="M21" s="50">
        <f t="shared" si="0"/>
        <v>0</v>
      </c>
      <c r="N21" s="50"/>
      <c r="O21" s="31"/>
      <c r="P21" s="108">
        <v>3</v>
      </c>
      <c r="Q21" s="65">
        <v>3095.69</v>
      </c>
      <c r="R21" s="51"/>
      <c r="S21" s="50">
        <f t="shared" si="1"/>
        <v>0</v>
      </c>
      <c r="T21" s="50"/>
      <c r="U21" s="31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46"/>
      <c r="G23" s="23" t="s">
        <v>24</v>
      </c>
      <c r="H23" s="48">
        <v>2</v>
      </c>
      <c r="I23" s="49"/>
      <c r="J23" s="49"/>
      <c r="K23" s="50"/>
      <c r="L23" s="51"/>
      <c r="M23" s="50">
        <f t="shared" si="0"/>
        <v>0</v>
      </c>
      <c r="N23" s="50"/>
      <c r="O23" s="31"/>
      <c r="P23" s="53">
        <v>3</v>
      </c>
      <c r="Q23" s="30">
        <v>4567.24</v>
      </c>
      <c r="R23" s="27"/>
      <c r="S23" s="26">
        <f t="shared" si="1"/>
        <v>0</v>
      </c>
      <c r="T23" s="26"/>
      <c r="U23" s="100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54"/>
      <c r="G24" s="55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/>
      <c r="D25" s="374"/>
      <c r="E25" s="374"/>
      <c r="F25" s="22"/>
      <c r="G25" s="23" t="s">
        <v>24</v>
      </c>
      <c r="H25" s="61">
        <v>3</v>
      </c>
      <c r="I25" s="25"/>
      <c r="J25" s="25"/>
      <c r="K25" s="25"/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0</v>
      </c>
      <c r="T25" s="26"/>
      <c r="U25" s="31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35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82"/>
      <c r="B27" s="381" t="s">
        <v>44</v>
      </c>
      <c r="C27" s="381" t="s">
        <v>22</v>
      </c>
      <c r="D27" s="381"/>
      <c r="E27" s="381" t="s">
        <v>27</v>
      </c>
      <c r="F27" s="46"/>
      <c r="G27" s="47" t="s">
        <v>24</v>
      </c>
      <c r="H27" s="48">
        <v>3</v>
      </c>
      <c r="I27" s="203">
        <v>2</v>
      </c>
      <c r="J27" s="203">
        <v>2</v>
      </c>
      <c r="K27" s="65">
        <v>3616.48</v>
      </c>
      <c r="L27" s="51"/>
      <c r="M27" s="50">
        <f t="shared" si="0"/>
        <v>0</v>
      </c>
      <c r="N27" s="50"/>
      <c r="O27" s="31"/>
      <c r="P27" s="53">
        <v>8</v>
      </c>
      <c r="Q27" s="30">
        <v>12620.84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221" t="s">
        <v>216</v>
      </c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59"/>
      <c r="Q28" s="39"/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1" t="s">
        <v>217</v>
      </c>
      <c r="G30" s="55" t="s">
        <v>28</v>
      </c>
      <c r="H30" s="56">
        <v>2</v>
      </c>
      <c r="I30" s="57"/>
      <c r="J30" s="57"/>
      <c r="K30" s="43"/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14247.380000000001</v>
      </c>
      <c r="T30" s="43"/>
      <c r="U30" s="222">
        <f>6563.38+7684</f>
        <v>14247.380000000001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46"/>
      <c r="G33" s="47" t="s">
        <v>24</v>
      </c>
      <c r="H33" s="151">
        <v>2</v>
      </c>
      <c r="I33" s="203">
        <v>1</v>
      </c>
      <c r="J33" s="203">
        <v>1</v>
      </c>
      <c r="K33" s="65">
        <v>1045.98</v>
      </c>
      <c r="L33" s="51"/>
      <c r="M33" s="50">
        <f t="shared" si="0"/>
        <v>0</v>
      </c>
      <c r="N33" s="50"/>
      <c r="O33" s="31"/>
      <c r="P33" s="108">
        <v>8</v>
      </c>
      <c r="Q33" s="65">
        <v>23443.62</v>
      </c>
      <c r="R33" s="51"/>
      <c r="S33" s="50">
        <f t="shared" si="1"/>
        <v>0</v>
      </c>
      <c r="T33" s="50"/>
      <c r="U33" s="31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5</v>
      </c>
      <c r="I34" s="57"/>
      <c r="J34" s="57"/>
      <c r="K34" s="43"/>
      <c r="L34" s="44"/>
      <c r="M34" s="43">
        <f t="shared" si="0"/>
        <v>0</v>
      </c>
      <c r="N34" s="43"/>
      <c r="O34" s="45"/>
      <c r="P34" s="113">
        <v>1</v>
      </c>
      <c r="Q34" s="114">
        <v>288.14999999999998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3</v>
      </c>
      <c r="Q37" s="65">
        <v>8719.3799999999992</v>
      </c>
      <c r="R37" s="51"/>
      <c r="S37" s="50">
        <f t="shared" si="1"/>
        <v>1893.47</v>
      </c>
      <c r="T37" s="50"/>
      <c r="U37" s="225">
        <v>1893.47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35" t="s">
        <v>28</v>
      </c>
      <c r="H38" s="66">
        <v>2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7">
        <v>1</v>
      </c>
      <c r="Q38" s="68">
        <v>1152.5999999999999</v>
      </c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57</v>
      </c>
      <c r="E41" s="381" t="s">
        <v>58</v>
      </c>
      <c r="F41" s="46"/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0</v>
      </c>
      <c r="T41" s="26"/>
      <c r="U41" s="100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46"/>
      <c r="G43" s="23" t="s">
        <v>24</v>
      </c>
      <c r="H43" s="48">
        <v>2</v>
      </c>
      <c r="I43" s="203">
        <v>2</v>
      </c>
      <c r="J43" s="203">
        <v>2</v>
      </c>
      <c r="K43" s="65">
        <v>1537</v>
      </c>
      <c r="L43" s="51"/>
      <c r="M43" s="50">
        <f t="shared" si="0"/>
        <v>0</v>
      </c>
      <c r="N43" s="50"/>
      <c r="O43" s="52"/>
      <c r="P43" s="53">
        <v>16</v>
      </c>
      <c r="Q43" s="30">
        <v>65394.77</v>
      </c>
      <c r="R43" s="27"/>
      <c r="S43" s="26">
        <f t="shared" si="1"/>
        <v>0</v>
      </c>
      <c r="T43" s="26"/>
      <c r="U43" s="2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1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1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2</v>
      </c>
      <c r="Q48" s="68">
        <v>2761.2</v>
      </c>
      <c r="R48" s="40"/>
      <c r="S48" s="39">
        <f t="shared" si="1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105"/>
      <c r="G50" s="35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82"/>
      <c r="B51" s="381" t="s">
        <v>66</v>
      </c>
      <c r="C51" s="381" t="s">
        <v>22</v>
      </c>
      <c r="D51" s="381"/>
      <c r="E51" s="381" t="s">
        <v>67</v>
      </c>
      <c r="F51" s="46"/>
      <c r="G51" s="23" t="s">
        <v>24</v>
      </c>
      <c r="H51" s="9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9"/>
      <c r="B52" s="380"/>
      <c r="C52" s="380"/>
      <c r="D52" s="380"/>
      <c r="E52" s="380"/>
      <c r="F52" s="126"/>
      <c r="G52" s="55" t="s">
        <v>28</v>
      </c>
      <c r="H52" s="118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2"/>
      <c r="B53" s="374" t="s">
        <v>68</v>
      </c>
      <c r="C53" s="374" t="s">
        <v>39</v>
      </c>
      <c r="D53" s="374" t="s">
        <v>69</v>
      </c>
      <c r="E53" s="374" t="s">
        <v>65</v>
      </c>
      <c r="F53" s="223" t="s">
        <v>222</v>
      </c>
      <c r="G53" s="23" t="s">
        <v>24</v>
      </c>
      <c r="H53" s="61">
        <v>3</v>
      </c>
      <c r="I53" s="62">
        <v>2</v>
      </c>
      <c r="J53" s="62">
        <v>2</v>
      </c>
      <c r="K53" s="30">
        <v>5787.98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7"/>
      <c r="S53" s="26">
        <f t="shared" si="1"/>
        <v>1997.49</v>
      </c>
      <c r="T53" s="26"/>
      <c r="U53" s="225">
        <v>1997.49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117">
        <v>1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71</v>
      </c>
      <c r="E55" s="381" t="s">
        <v>55</v>
      </c>
      <c r="F55" s="46"/>
      <c r="G55" s="47" t="s">
        <v>24</v>
      </c>
      <c r="H55" s="48">
        <v>4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1"/>
        <v>0</v>
      </c>
      <c r="T55" s="26"/>
      <c r="U55" s="10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1</v>
      </c>
      <c r="I57" s="49"/>
      <c r="J57" s="49"/>
      <c r="K57" s="50"/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221" t="s">
        <v>223</v>
      </c>
      <c r="G58" s="55" t="s">
        <v>28</v>
      </c>
      <c r="H58" s="112">
        <v>1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81" t="s">
        <v>22</v>
      </c>
      <c r="D59" s="374"/>
      <c r="E59" s="374" t="s">
        <v>27</v>
      </c>
      <c r="F59" s="204" t="s">
        <v>209</v>
      </c>
      <c r="G59" s="23" t="s">
        <v>24</v>
      </c>
      <c r="H59" s="104"/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9062.41</v>
      </c>
      <c r="T59" s="30">
        <v>9062.41</v>
      </c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80"/>
      <c r="D60" s="375"/>
      <c r="E60" s="375"/>
      <c r="F60" s="105"/>
      <c r="G60" s="35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82"/>
      <c r="B61" s="381" t="s">
        <v>74</v>
      </c>
      <c r="C61" s="381" t="s">
        <v>39</v>
      </c>
      <c r="D61" s="381" t="s">
        <v>75</v>
      </c>
      <c r="E61" s="381" t="s">
        <v>27</v>
      </c>
      <c r="F61" s="46"/>
      <c r="G61" s="47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8</v>
      </c>
      <c r="Q61" s="65">
        <v>25479.99</v>
      </c>
      <c r="R61" s="51"/>
      <c r="S61" s="50">
        <f t="shared" si="1"/>
        <v>0</v>
      </c>
      <c r="T61" s="50"/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54"/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1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4</v>
      </c>
      <c r="Q63" s="30">
        <v>2984.28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34"/>
      <c r="G64" s="35" t="s">
        <v>28</v>
      </c>
      <c r="H64" s="117">
        <v>1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203">
        <v>1</v>
      </c>
      <c r="J65" s="203">
        <v>1</v>
      </c>
      <c r="K65" s="65">
        <v>633.92999999999995</v>
      </c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61">
        <v>1</v>
      </c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06"/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48">
        <v>1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4</v>
      </c>
      <c r="Q69" s="65">
        <v>16789.810000000001</v>
      </c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126"/>
      <c r="G70" s="55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 t="s">
        <v>39</v>
      </c>
      <c r="D71" s="374" t="s">
        <v>224</v>
      </c>
      <c r="E71" s="374" t="s">
        <v>65</v>
      </c>
      <c r="F71" s="223" t="s">
        <v>225</v>
      </c>
      <c r="G71" s="23" t="s">
        <v>24</v>
      </c>
      <c r="H71" s="24">
        <v>6</v>
      </c>
      <c r="I71" s="62">
        <v>1</v>
      </c>
      <c r="J71" s="62">
        <v>1</v>
      </c>
      <c r="K71" s="30">
        <v>3901.52</v>
      </c>
      <c r="L71" s="27"/>
      <c r="M71" s="26">
        <f t="shared" si="0"/>
        <v>0</v>
      </c>
      <c r="N71" s="26"/>
      <c r="O71" s="31"/>
      <c r="P71" s="29">
        <v>16</v>
      </c>
      <c r="Q71" s="30">
        <v>45118.13</v>
      </c>
      <c r="R71" s="27"/>
      <c r="S71" s="26">
        <f t="shared" si="1"/>
        <v>10367.34</v>
      </c>
      <c r="T71" s="26"/>
      <c r="U71" s="225">
        <v>10367.34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28</v>
      </c>
      <c r="H72" s="36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82</v>
      </c>
      <c r="C73" s="381" t="s">
        <v>22</v>
      </c>
      <c r="D73" s="385"/>
      <c r="E73" s="381" t="s">
        <v>83</v>
      </c>
      <c r="F73" s="127"/>
      <c r="G73" s="47" t="s">
        <v>24</v>
      </c>
      <c r="H73" s="151">
        <v>2</v>
      </c>
      <c r="I73" s="49"/>
      <c r="J73" s="49"/>
      <c r="K73" s="50"/>
      <c r="L73" s="51"/>
      <c r="M73" s="50">
        <f t="shared" si="0"/>
        <v>0</v>
      </c>
      <c r="N73" s="50"/>
      <c r="O73" s="31"/>
      <c r="P73" s="108">
        <v>1</v>
      </c>
      <c r="Q73" s="65">
        <v>1104.5999999999999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2"/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126"/>
      <c r="G78" s="55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22</v>
      </c>
      <c r="D79" s="374"/>
      <c r="E79" s="374" t="s">
        <v>23</v>
      </c>
      <c r="F79" s="60"/>
      <c r="G79" s="23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53">
        <v>2</v>
      </c>
      <c r="Q79" s="30">
        <v>5673.46</v>
      </c>
      <c r="R79" s="27"/>
      <c r="S79" s="26">
        <f t="shared" si="1"/>
        <v>0</v>
      </c>
      <c r="T79" s="26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26"/>
      <c r="G80" s="55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2"/>
      <c r="G81" s="23" t="s">
        <v>24</v>
      </c>
      <c r="H81" s="61">
        <v>2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5</v>
      </c>
      <c r="Q81" s="30">
        <v>14914.91</v>
      </c>
      <c r="R81" s="27"/>
      <c r="S81" s="26">
        <f t="shared" si="1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35" t="s">
        <v>25</v>
      </c>
      <c r="H82" s="117">
        <v>2</v>
      </c>
      <c r="I82" s="38"/>
      <c r="J82" s="38"/>
      <c r="K82" s="39"/>
      <c r="L82" s="40"/>
      <c r="M82" s="39">
        <f t="shared" si="0"/>
        <v>0</v>
      </c>
      <c r="N82" s="39"/>
      <c r="O82" s="41"/>
      <c r="P82" s="115">
        <v>5</v>
      </c>
      <c r="Q82" s="68">
        <v>10181.299999999999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90</v>
      </c>
      <c r="C83" s="381" t="s">
        <v>39</v>
      </c>
      <c r="D83" s="381" t="s">
        <v>91</v>
      </c>
      <c r="E83" s="381" t="s">
        <v>27</v>
      </c>
      <c r="F83" s="46"/>
      <c r="G83" s="47" t="s">
        <v>24</v>
      </c>
      <c r="H83" s="48">
        <v>2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2</v>
      </c>
      <c r="Q83" s="65">
        <v>11023.43</v>
      </c>
      <c r="R83" s="51"/>
      <c r="S83" s="50">
        <f t="shared" si="1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75"/>
      <c r="E84" s="380"/>
      <c r="F84" s="221" t="s">
        <v>229</v>
      </c>
      <c r="G84" s="55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2"/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3</v>
      </c>
      <c r="Q85" s="30">
        <v>12637.19</v>
      </c>
      <c r="R85" s="27"/>
      <c r="S85" s="26">
        <f t="shared" si="1"/>
        <v>0</v>
      </c>
      <c r="T85" s="26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221" t="s">
        <v>230</v>
      </c>
      <c r="G86" s="55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126"/>
      <c r="G88" s="55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2"/>
      <c r="G89" s="23" t="s">
        <v>24</v>
      </c>
      <c r="H89" s="48">
        <v>2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11</v>
      </c>
      <c r="Q89" s="30">
        <v>22045.33</v>
      </c>
      <c r="R89" s="27"/>
      <c r="S89" s="26">
        <f t="shared" si="1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54"/>
      <c r="G90" s="55" t="s">
        <v>25</v>
      </c>
      <c r="H90" s="112">
        <v>3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134"/>
      <c r="G91" s="23" t="s">
        <v>24</v>
      </c>
      <c r="H91" s="119"/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35"/>
      <c r="G92" s="55" t="s">
        <v>28</v>
      </c>
      <c r="H92" s="207">
        <v>1</v>
      </c>
      <c r="I92" s="208">
        <v>1</v>
      </c>
      <c r="J92" s="208">
        <v>1</v>
      </c>
      <c r="K92" s="209">
        <v>1344.7</v>
      </c>
      <c r="L92" s="210"/>
      <c r="M92" s="211">
        <f t="shared" si="0"/>
        <v>0</v>
      </c>
      <c r="N92" s="211"/>
      <c r="O92" s="212"/>
      <c r="P92" s="103"/>
      <c r="Q92" s="43"/>
      <c r="R92" s="44"/>
      <c r="S92" s="43">
        <f t="shared" si="1"/>
        <v>2209.15</v>
      </c>
      <c r="T92" s="43"/>
      <c r="U92" s="234">
        <v>2209.15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98</v>
      </c>
      <c r="C93" s="374" t="s">
        <v>22</v>
      </c>
      <c r="D93" s="374"/>
      <c r="E93" s="374" t="s">
        <v>99</v>
      </c>
      <c r="F93" s="60"/>
      <c r="G93" s="213" t="s">
        <v>24</v>
      </c>
      <c r="H93" s="24">
        <v>2</v>
      </c>
      <c r="I93" s="25"/>
      <c r="J93" s="25"/>
      <c r="K93" s="26"/>
      <c r="L93" s="27"/>
      <c r="M93" s="26">
        <f t="shared" si="0"/>
        <v>0</v>
      </c>
      <c r="N93" s="26"/>
      <c r="O93" s="100"/>
      <c r="P93" s="214">
        <v>8</v>
      </c>
      <c r="Q93" s="30">
        <v>7994.89</v>
      </c>
      <c r="R93" s="27"/>
      <c r="S93" s="26">
        <f t="shared" si="1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34"/>
      <c r="G94" s="215" t="s">
        <v>28</v>
      </c>
      <c r="H94" s="133">
        <v>1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0</v>
      </c>
      <c r="T94" s="39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81" t="s">
        <v>22</v>
      </c>
      <c r="D95" s="381" t="s">
        <v>101</v>
      </c>
      <c r="E95" s="381" t="s">
        <v>27</v>
      </c>
      <c r="F95" s="46"/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0</v>
      </c>
      <c r="T95" s="50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16"/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46"/>
      <c r="G97" s="23" t="s">
        <v>24</v>
      </c>
      <c r="H97" s="48">
        <v>2</v>
      </c>
      <c r="I97" s="49"/>
      <c r="J97" s="49"/>
      <c r="K97" s="50"/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51"/>
      <c r="S97" s="50">
        <f t="shared" si="1"/>
        <v>0</v>
      </c>
      <c r="T97" s="50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54"/>
      <c r="G98" s="55" t="s">
        <v>28</v>
      </c>
      <c r="H98" s="111"/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1</v>
      </c>
      <c r="Q98" s="114">
        <v>4358.2</v>
      </c>
      <c r="R98" s="44"/>
      <c r="S98" s="43">
        <f t="shared" si="1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107"/>
      <c r="I99" s="25"/>
      <c r="J99" s="25"/>
      <c r="K99" s="26"/>
      <c r="L99" s="27"/>
      <c r="M99" s="26">
        <f t="shared" si="0"/>
        <v>0</v>
      </c>
      <c r="N99" s="26"/>
      <c r="O99" s="31"/>
      <c r="P99" s="53">
        <v>4</v>
      </c>
      <c r="Q99" s="30">
        <v>5054.3999999999996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34"/>
      <c r="G100" s="35" t="s">
        <v>28</v>
      </c>
      <c r="H100" s="116"/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105</v>
      </c>
      <c r="E101" s="381" t="s">
        <v>27</v>
      </c>
      <c r="F101" s="46"/>
      <c r="G101" s="23" t="s">
        <v>24</v>
      </c>
      <c r="H101" s="48">
        <v>2</v>
      </c>
      <c r="I101" s="49"/>
      <c r="J101" s="49"/>
      <c r="K101" s="50"/>
      <c r="L101" s="51"/>
      <c r="M101" s="50">
        <f t="shared" si="0"/>
        <v>0</v>
      </c>
      <c r="N101" s="50"/>
      <c r="O101" s="31"/>
      <c r="P101" s="108">
        <v>7</v>
      </c>
      <c r="Q101" s="65">
        <v>18298</v>
      </c>
      <c r="R101" s="51"/>
      <c r="S101" s="50">
        <f t="shared" si="1"/>
        <v>0</v>
      </c>
      <c r="T101" s="50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107"/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16534.97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21" t="s">
        <v>233</v>
      </c>
      <c r="G104" s="55" t="s">
        <v>28</v>
      </c>
      <c r="H104" s="153">
        <v>1</v>
      </c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60"/>
      <c r="G105" s="23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4</v>
      </c>
      <c r="Q105" s="30">
        <v>14334.39</v>
      </c>
      <c r="R105" s="27"/>
      <c r="S105" s="26">
        <f t="shared" si="1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235" t="s">
        <v>234</v>
      </c>
      <c r="G106" s="141" t="s">
        <v>28</v>
      </c>
      <c r="H106" s="48">
        <v>1</v>
      </c>
      <c r="I106" s="139"/>
      <c r="J106" s="139"/>
      <c r="K106" s="142"/>
      <c r="L106" s="143"/>
      <c r="M106" s="142">
        <f t="shared" si="0"/>
        <v>0</v>
      </c>
      <c r="N106" s="142"/>
      <c r="O106" s="45"/>
      <c r="P106" s="144"/>
      <c r="Q106" s="142"/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146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2"/>
      <c r="B108" s="381" t="s">
        <v>110</v>
      </c>
      <c r="C108" s="381" t="s">
        <v>22</v>
      </c>
      <c r="D108" s="381"/>
      <c r="E108" s="381" t="s">
        <v>67</v>
      </c>
      <c r="F108" s="127"/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0</v>
      </c>
      <c r="T108" s="50"/>
      <c r="U108" s="3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53">
        <v>2</v>
      </c>
      <c r="Q110" s="30">
        <v>1306.28</v>
      </c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221" t="s">
        <v>235</v>
      </c>
      <c r="G111" s="55" t="s">
        <v>28</v>
      </c>
      <c r="H111" s="116"/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22</v>
      </c>
      <c r="D112" s="374" t="s">
        <v>114</v>
      </c>
      <c r="E112" s="374" t="s">
        <v>27</v>
      </c>
      <c r="F112" s="60"/>
      <c r="G112" s="23" t="s">
        <v>24</v>
      </c>
      <c r="H112" s="48">
        <v>3</v>
      </c>
      <c r="I112" s="62">
        <v>1</v>
      </c>
      <c r="J112" s="62">
        <v>1</v>
      </c>
      <c r="K112" s="30">
        <v>950.9</v>
      </c>
      <c r="L112" s="27"/>
      <c r="M112" s="26">
        <f t="shared" si="0"/>
        <v>0</v>
      </c>
      <c r="N112" s="26"/>
      <c r="O112" s="31"/>
      <c r="P112" s="53">
        <v>7</v>
      </c>
      <c r="Q112" s="30">
        <v>17784.37</v>
      </c>
      <c r="R112" s="27"/>
      <c r="S112" s="26">
        <f t="shared" si="1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54"/>
      <c r="G113" s="55" t="s">
        <v>28</v>
      </c>
      <c r="H113" s="118"/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46"/>
      <c r="G116" s="47" t="s">
        <v>24</v>
      </c>
      <c r="H116" s="61">
        <v>2</v>
      </c>
      <c r="I116" s="25"/>
      <c r="J116" s="25"/>
      <c r="K116" s="26"/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0</v>
      </c>
      <c r="T116" s="50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46"/>
      <c r="G118" s="23" t="s">
        <v>24</v>
      </c>
      <c r="H118" s="48">
        <v>4</v>
      </c>
      <c r="I118" s="49"/>
      <c r="J118" s="49"/>
      <c r="K118" s="50"/>
      <c r="L118" s="51"/>
      <c r="M118" s="50">
        <f t="shared" si="0"/>
        <v>0</v>
      </c>
      <c r="N118" s="50"/>
      <c r="O118" s="31"/>
      <c r="P118" s="108">
        <v>17</v>
      </c>
      <c r="Q118" s="65">
        <v>55736.83</v>
      </c>
      <c r="R118" s="51"/>
      <c r="S118" s="50">
        <f t="shared" si="1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126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22</v>
      </c>
      <c r="D120" s="374"/>
      <c r="E120" s="374" t="s">
        <v>27</v>
      </c>
      <c r="F120" s="150"/>
      <c r="G120" s="23" t="s">
        <v>24</v>
      </c>
      <c r="H120" s="151">
        <v>2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6</v>
      </c>
      <c r="Q120" s="30">
        <v>21153.67</v>
      </c>
      <c r="R120" s="27"/>
      <c r="S120" s="26">
        <f t="shared" si="1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120</v>
      </c>
      <c r="E122" s="374" t="s">
        <v>121</v>
      </c>
      <c r="F122" s="22"/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17</v>
      </c>
      <c r="Q122" s="30">
        <v>25859.26</v>
      </c>
      <c r="R122" s="27"/>
      <c r="S122" s="26">
        <f t="shared" si="1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54"/>
      <c r="G123" s="55" t="s">
        <v>25</v>
      </c>
      <c r="H123" s="15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39</v>
      </c>
      <c r="D124" s="374" t="s">
        <v>123</v>
      </c>
      <c r="E124" s="374" t="s">
        <v>55</v>
      </c>
      <c r="F124" s="223" t="s">
        <v>236</v>
      </c>
      <c r="G124" s="23" t="s">
        <v>24</v>
      </c>
      <c r="H124" s="48">
        <v>2</v>
      </c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9</v>
      </c>
      <c r="Q124" s="30">
        <v>35007.79</v>
      </c>
      <c r="R124" s="27"/>
      <c r="S124" s="26">
        <f t="shared" si="1"/>
        <v>15352.72</v>
      </c>
      <c r="T124" s="26"/>
      <c r="U124" s="225">
        <v>15352.72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124</v>
      </c>
      <c r="C126" s="381" t="s">
        <v>39</v>
      </c>
      <c r="D126" s="381" t="s">
        <v>125</v>
      </c>
      <c r="E126" s="381" t="s">
        <v>27</v>
      </c>
      <c r="F126" s="223" t="s">
        <v>237</v>
      </c>
      <c r="G126" s="23" t="s">
        <v>24</v>
      </c>
      <c r="H126" s="48">
        <v>6</v>
      </c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28</v>
      </c>
      <c r="Q126" s="65">
        <v>179329.47</v>
      </c>
      <c r="R126" s="51"/>
      <c r="S126" s="50">
        <f t="shared" si="1"/>
        <v>50185.66</v>
      </c>
      <c r="T126" s="50"/>
      <c r="U126" s="225">
        <v>50185.66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129"/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152"/>
      <c r="G130" s="35" t="s">
        <v>28</v>
      </c>
      <c r="H130" s="153">
        <v>2</v>
      </c>
      <c r="I130" s="38"/>
      <c r="J130" s="38"/>
      <c r="K130" s="39"/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107"/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3</v>
      </c>
      <c r="Q131" s="65">
        <v>9508.6200000000008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54"/>
      <c r="G132" s="55" t="s">
        <v>28</v>
      </c>
      <c r="H132" s="153">
        <v>1</v>
      </c>
      <c r="I132" s="38"/>
      <c r="J132" s="38"/>
      <c r="K132" s="39"/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25</v>
      </c>
      <c r="H134" s="111"/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23" t="s">
        <v>24</v>
      </c>
      <c r="H135" s="48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1</v>
      </c>
      <c r="Q135" s="30">
        <v>2466.56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12">
        <v>1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 t="s">
        <v>39</v>
      </c>
      <c r="D137" s="374" t="s">
        <v>238</v>
      </c>
      <c r="E137" s="381" t="s">
        <v>136</v>
      </c>
      <c r="F137" s="223" t="s">
        <v>239</v>
      </c>
      <c r="G137" s="23" t="s">
        <v>24</v>
      </c>
      <c r="H137" s="61">
        <v>1</v>
      </c>
      <c r="I137" s="62">
        <v>1</v>
      </c>
      <c r="J137" s="62">
        <v>1</v>
      </c>
      <c r="K137" s="30">
        <v>1210.23</v>
      </c>
      <c r="L137" s="27"/>
      <c r="M137" s="26">
        <f t="shared" si="0"/>
        <v>0</v>
      </c>
      <c r="N137" s="26"/>
      <c r="O137" s="31"/>
      <c r="P137" s="53">
        <v>8</v>
      </c>
      <c r="Q137" s="30">
        <v>18419.52</v>
      </c>
      <c r="R137" s="27"/>
      <c r="S137" s="26">
        <f t="shared" si="1"/>
        <v>2697.08</v>
      </c>
      <c r="T137" s="26"/>
      <c r="U137" s="225">
        <v>2697.08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237" t="s">
        <v>240</v>
      </c>
      <c r="G138" s="154" t="s">
        <v>28</v>
      </c>
      <c r="H138" s="112">
        <v>1</v>
      </c>
      <c r="I138" s="155"/>
      <c r="J138" s="155"/>
      <c r="K138" s="129"/>
      <c r="L138" s="128"/>
      <c r="M138" s="129">
        <f t="shared" si="0"/>
        <v>0</v>
      </c>
      <c r="N138" s="129"/>
      <c r="O138" s="45"/>
      <c r="P138" s="238">
        <v>3</v>
      </c>
      <c r="Q138" s="239">
        <v>2631.77</v>
      </c>
      <c r="R138" s="128"/>
      <c r="S138" s="129">
        <f t="shared" si="1"/>
        <v>0</v>
      </c>
      <c r="T138" s="129"/>
      <c r="U138" s="45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74"/>
      <c r="F140" s="22"/>
      <c r="G140" s="23" t="s">
        <v>24</v>
      </c>
      <c r="H140" s="61">
        <v>4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2"/>
      <c r="B142" s="381" t="s">
        <v>134</v>
      </c>
      <c r="C142" s="381" t="s">
        <v>39</v>
      </c>
      <c r="D142" s="381" t="s">
        <v>135</v>
      </c>
      <c r="E142" s="381" t="s">
        <v>136</v>
      </c>
      <c r="F142" s="46"/>
      <c r="G142" s="47" t="s">
        <v>24</v>
      </c>
      <c r="H142" s="48">
        <v>2</v>
      </c>
      <c r="I142" s="49"/>
      <c r="J142" s="49"/>
      <c r="K142" s="50"/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51"/>
      <c r="S142" s="50">
        <f t="shared" si="1"/>
        <v>0</v>
      </c>
      <c r="T142" s="50"/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140"/>
      <c r="G143" s="141" t="s">
        <v>28</v>
      </c>
      <c r="H143" s="151">
        <v>1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0</v>
      </c>
      <c r="T143" s="142"/>
      <c r="U143" s="4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54"/>
      <c r="G144" s="55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4"/>
      <c r="D145" s="374"/>
      <c r="E145" s="374"/>
      <c r="F145" s="22"/>
      <c r="G145" s="23" t="s">
        <v>24</v>
      </c>
      <c r="H145" s="24">
        <v>1</v>
      </c>
      <c r="I145" s="25"/>
      <c r="J145" s="25"/>
      <c r="K145" s="26"/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0</v>
      </c>
      <c r="T145" s="26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20" t="s">
        <v>241</v>
      </c>
      <c r="G146" s="35" t="s">
        <v>28</v>
      </c>
      <c r="H146" s="66">
        <v>2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2"/>
      <c r="B147" s="381" t="s">
        <v>138</v>
      </c>
      <c r="C147" s="381" t="s">
        <v>22</v>
      </c>
      <c r="D147" s="381"/>
      <c r="E147" s="381" t="s">
        <v>27</v>
      </c>
      <c r="F147" s="46"/>
      <c r="G147" s="47" t="s">
        <v>24</v>
      </c>
      <c r="H147" s="151">
        <v>1</v>
      </c>
      <c r="I147" s="49"/>
      <c r="J147" s="49"/>
      <c r="K147" s="50"/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9"/>
      <c r="B148" s="380"/>
      <c r="C148" s="380"/>
      <c r="D148" s="380"/>
      <c r="E148" s="380"/>
      <c r="F148" s="221" t="s">
        <v>242</v>
      </c>
      <c r="G148" s="55" t="s">
        <v>28</v>
      </c>
      <c r="H148" s="13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2</v>
      </c>
      <c r="Q148" s="114">
        <v>5859.05</v>
      </c>
      <c r="R148" s="44"/>
      <c r="S148" s="43">
        <f t="shared" si="1"/>
        <v>4802.5</v>
      </c>
      <c r="T148" s="43"/>
      <c r="U148" s="41">
        <f>4802.5</f>
        <v>4802.5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2"/>
      <c r="G149" s="23" t="s">
        <v>24</v>
      </c>
      <c r="H149" s="151">
        <v>3</v>
      </c>
      <c r="I149" s="62">
        <v>1</v>
      </c>
      <c r="J149" s="62">
        <v>1</v>
      </c>
      <c r="K149" s="30">
        <v>1521.43</v>
      </c>
      <c r="L149" s="27"/>
      <c r="M149" s="26">
        <f t="shared" si="0"/>
        <v>0</v>
      </c>
      <c r="N149" s="26"/>
      <c r="O149" s="31"/>
      <c r="P149" s="53">
        <v>7</v>
      </c>
      <c r="Q149" s="30">
        <v>15149.34</v>
      </c>
      <c r="R149" s="27"/>
      <c r="S149" s="26">
        <f t="shared" si="1"/>
        <v>0</v>
      </c>
      <c r="T149" s="26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54"/>
      <c r="G150" s="55" t="s">
        <v>28</v>
      </c>
      <c r="H150" s="102"/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2</v>
      </c>
      <c r="Q150" s="114">
        <v>3976.1</v>
      </c>
      <c r="R150" s="44"/>
      <c r="S150" s="43">
        <f t="shared" si="1"/>
        <v>3876.4</v>
      </c>
      <c r="T150" s="43"/>
      <c r="U150" s="45">
        <f>3876.4</f>
        <v>3876.4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20981.75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243</v>
      </c>
      <c r="G152" s="35" t="s">
        <v>28</v>
      </c>
      <c r="H152" s="66">
        <v>1</v>
      </c>
      <c r="I152" s="37">
        <v>1</v>
      </c>
      <c r="J152" s="37">
        <v>1</v>
      </c>
      <c r="K152" s="68">
        <v>1728</v>
      </c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1</v>
      </c>
      <c r="I155" s="25"/>
      <c r="J155" s="25"/>
      <c r="K155" s="26"/>
      <c r="L155" s="27"/>
      <c r="M155" s="26">
        <f t="shared" si="0"/>
        <v>0</v>
      </c>
      <c r="N155" s="26"/>
      <c r="O155" s="28"/>
      <c r="P155" s="99"/>
      <c r="Q155" s="26"/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144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8</v>
      </c>
      <c r="Q157" s="65">
        <v>27662.38</v>
      </c>
      <c r="R157" s="224">
        <v>4</v>
      </c>
      <c r="S157" s="50">
        <f t="shared" si="1"/>
        <v>14714.18</v>
      </c>
      <c r="T157" s="65">
        <v>14714.18</v>
      </c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221" t="s">
        <v>244</v>
      </c>
      <c r="G158" s="55" t="s">
        <v>28</v>
      </c>
      <c r="H158" s="133">
        <v>2</v>
      </c>
      <c r="I158" s="57"/>
      <c r="J158" s="57"/>
      <c r="K158" s="43"/>
      <c r="L158" s="128"/>
      <c r="M158" s="50">
        <f t="shared" si="0"/>
        <v>0</v>
      </c>
      <c r="N158" s="43"/>
      <c r="O158" s="41"/>
      <c r="P158" s="103"/>
      <c r="Q158" s="43"/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147</v>
      </c>
      <c r="E159" s="374" t="s">
        <v>27</v>
      </c>
      <c r="F159" s="22"/>
      <c r="G159" s="23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8</v>
      </c>
      <c r="Q159" s="30">
        <v>17730.189999999999</v>
      </c>
      <c r="R159" s="27"/>
      <c r="S159" s="26">
        <f t="shared" si="1"/>
        <v>0</v>
      </c>
      <c r="T159" s="26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1"/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3</v>
      </c>
      <c r="Q160" s="68">
        <v>16520.599999999999</v>
      </c>
      <c r="R160" s="40"/>
      <c r="S160" s="39">
        <f t="shared" si="1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23" t="s">
        <v>218</v>
      </c>
      <c r="G161" s="23" t="s">
        <v>24</v>
      </c>
      <c r="H161" s="48">
        <v>6</v>
      </c>
      <c r="I161" s="62">
        <v>3</v>
      </c>
      <c r="J161" s="204">
        <v>3</v>
      </c>
      <c r="K161" s="30">
        <v>3379.04</v>
      </c>
      <c r="L161" s="27"/>
      <c r="M161" s="26">
        <f t="shared" si="0"/>
        <v>0</v>
      </c>
      <c r="N161" s="26"/>
      <c r="O161" s="31"/>
      <c r="P161" s="108">
        <v>15</v>
      </c>
      <c r="Q161" s="65">
        <v>47053.26</v>
      </c>
      <c r="R161" s="224">
        <v>2</v>
      </c>
      <c r="S161" s="50">
        <f t="shared" si="1"/>
        <v>17249.09</v>
      </c>
      <c r="T161" s="65">
        <v>14024.29</v>
      </c>
      <c r="U161" s="225">
        <v>3224.8</v>
      </c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34"/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7">
        <v>3</v>
      </c>
      <c r="Q164" s="68">
        <v>10841.33</v>
      </c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81" t="s">
        <v>22</v>
      </c>
      <c r="D165" s="381" t="s">
        <v>154</v>
      </c>
      <c r="E165" s="381" t="s">
        <v>27</v>
      </c>
      <c r="F165" s="46"/>
      <c r="G165" s="47" t="s">
        <v>24</v>
      </c>
      <c r="H165" s="48">
        <v>1</v>
      </c>
      <c r="I165" s="49"/>
      <c r="J165" s="49"/>
      <c r="K165" s="166"/>
      <c r="L165" s="167"/>
      <c r="M165" s="166">
        <f t="shared" si="0"/>
        <v>0</v>
      </c>
      <c r="N165" s="166"/>
      <c r="O165" s="31"/>
      <c r="P165" s="108">
        <v>4</v>
      </c>
      <c r="Q165" s="65">
        <v>15452.64</v>
      </c>
      <c r="R165" s="51"/>
      <c r="S165" s="50">
        <f t="shared" si="1"/>
        <v>0</v>
      </c>
      <c r="T165" s="50"/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223" t="s">
        <v>245</v>
      </c>
      <c r="G167" s="23" t="s">
        <v>24</v>
      </c>
      <c r="H167" s="107"/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2</v>
      </c>
      <c r="Q167" s="30">
        <v>7187.89</v>
      </c>
      <c r="R167" s="27"/>
      <c r="S167" s="26">
        <f t="shared" si="1"/>
        <v>3759.09</v>
      </c>
      <c r="T167" s="26"/>
      <c r="U167" s="225">
        <v>3759.09</v>
      </c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158</v>
      </c>
      <c r="C173" s="391"/>
      <c r="D173" s="381"/>
      <c r="E173" s="381"/>
      <c r="F173" s="46"/>
      <c r="G173" s="47" t="s">
        <v>24</v>
      </c>
      <c r="H173" s="48">
        <v>2</v>
      </c>
      <c r="I173" s="203">
        <v>1</v>
      </c>
      <c r="J173" s="203">
        <v>1</v>
      </c>
      <c r="K173" s="65">
        <v>576.29999999999995</v>
      </c>
      <c r="L173" s="51"/>
      <c r="M173" s="50">
        <f t="shared" si="0"/>
        <v>0</v>
      </c>
      <c r="N173" s="50"/>
      <c r="O173" s="31"/>
      <c r="P173" s="108">
        <v>3</v>
      </c>
      <c r="Q173" s="65">
        <v>4741.03</v>
      </c>
      <c r="R173" s="51"/>
      <c r="S173" s="50">
        <f t="shared" si="1"/>
        <v>0</v>
      </c>
      <c r="T173" s="50"/>
      <c r="U173" s="3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105"/>
      <c r="G174" s="35" t="s">
        <v>28</v>
      </c>
      <c r="H174" s="106"/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159</v>
      </c>
      <c r="C175" s="381" t="s">
        <v>22</v>
      </c>
      <c r="D175" s="381"/>
      <c r="E175" s="381" t="s">
        <v>160</v>
      </c>
      <c r="F175" s="223" t="s">
        <v>246</v>
      </c>
      <c r="G175" s="47" t="s">
        <v>24</v>
      </c>
      <c r="H175" s="48">
        <v>1</v>
      </c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17</v>
      </c>
      <c r="Q175" s="65">
        <v>22103.35</v>
      </c>
      <c r="R175" s="51"/>
      <c r="S175" s="50">
        <f t="shared" si="1"/>
        <v>12661.42</v>
      </c>
      <c r="T175" s="50"/>
      <c r="U175" s="225">
        <v>12661.42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12">
        <v>1</v>
      </c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24">
        <v>2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4602.5</v>
      </c>
      <c r="T181" s="43"/>
      <c r="U181" s="234">
        <f>4602.5</f>
        <v>4602.5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54"/>
      <c r="G183" s="55" t="s">
        <v>28</v>
      </c>
      <c r="H183" s="56">
        <v>1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3</v>
      </c>
      <c r="Q183" s="114">
        <v>4898.55</v>
      </c>
      <c r="R183" s="44"/>
      <c r="S183" s="43">
        <f t="shared" si="1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23"/>
      <c r="Q186" s="50"/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119"/>
      <c r="I188" s="25"/>
      <c r="J188" s="25"/>
      <c r="K188" s="26"/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240" t="s">
        <v>247</v>
      </c>
      <c r="G189" s="35" t="s">
        <v>28</v>
      </c>
      <c r="H189" s="36"/>
      <c r="I189" s="37"/>
      <c r="J189" s="37"/>
      <c r="K189" s="39"/>
      <c r="L189" s="40"/>
      <c r="M189" s="39">
        <f t="shared" si="0"/>
        <v>0</v>
      </c>
      <c r="N189" s="39"/>
      <c r="O189" s="58"/>
      <c r="P189" s="174">
        <v>1</v>
      </c>
      <c r="Q189" s="175">
        <v>1152.5999999999999</v>
      </c>
      <c r="R189" s="40"/>
      <c r="S189" s="39">
        <f t="shared" si="1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169</v>
      </c>
      <c r="C190" s="381" t="s">
        <v>22</v>
      </c>
      <c r="D190" s="381"/>
      <c r="E190" s="381" t="s">
        <v>27</v>
      </c>
      <c r="F190" s="46"/>
      <c r="G190" s="47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1"/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23" t="s">
        <v>248</v>
      </c>
      <c r="G192" s="23" t="s">
        <v>24</v>
      </c>
      <c r="H192" s="48">
        <v>1</v>
      </c>
      <c r="I192" s="25"/>
      <c r="J192" s="25"/>
      <c r="K192" s="26"/>
      <c r="L192" s="27"/>
      <c r="M192" s="26">
        <f t="shared" si="0"/>
        <v>0</v>
      </c>
      <c r="N192" s="26"/>
      <c r="O192" s="31"/>
      <c r="P192" s="53">
        <v>11</v>
      </c>
      <c r="Q192" s="30">
        <v>29205.8</v>
      </c>
      <c r="R192" s="27"/>
      <c r="S192" s="26">
        <f t="shared" si="1"/>
        <v>5534.4</v>
      </c>
      <c r="T192" s="26"/>
      <c r="U192" s="225">
        <v>5534.4</v>
      </c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171</v>
      </c>
      <c r="C194" s="381" t="s">
        <v>22</v>
      </c>
      <c r="D194" s="381"/>
      <c r="E194" s="381" t="s">
        <v>27</v>
      </c>
      <c r="F194" s="46"/>
      <c r="G194" s="23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221" t="s">
        <v>249</v>
      </c>
      <c r="G195" s="55" t="s">
        <v>28</v>
      </c>
      <c r="H195" s="133">
        <v>1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4" t="s">
        <v>22</v>
      </c>
      <c r="D196" s="374"/>
      <c r="E196" s="374" t="s">
        <v>121</v>
      </c>
      <c r="F196" s="22"/>
      <c r="G196" s="23" t="s">
        <v>24</v>
      </c>
      <c r="H196" s="48">
        <v>2</v>
      </c>
      <c r="I196" s="25"/>
      <c r="J196" s="25"/>
      <c r="K196" s="26"/>
      <c r="L196" s="27"/>
      <c r="M196" s="26">
        <f t="shared" si="0"/>
        <v>0</v>
      </c>
      <c r="N196" s="26"/>
      <c r="O196" s="31"/>
      <c r="P196" s="53">
        <v>23</v>
      </c>
      <c r="Q196" s="30">
        <v>30692.35</v>
      </c>
      <c r="R196" s="27"/>
      <c r="S196" s="26">
        <f t="shared" si="1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/>
      <c r="E198" s="25"/>
      <c r="F198" s="22"/>
      <c r="G198" s="23" t="s">
        <v>24</v>
      </c>
      <c r="H198" s="61">
        <v>4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8"/>
      <c r="F199" s="34"/>
      <c r="G199" s="35" t="s">
        <v>25</v>
      </c>
      <c r="H199" s="117">
        <v>4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174</v>
      </c>
      <c r="C200" s="381" t="s">
        <v>39</v>
      </c>
      <c r="D200" s="381" t="s">
        <v>175</v>
      </c>
      <c r="E200" s="381" t="s">
        <v>176</v>
      </c>
      <c r="F200" s="46"/>
      <c r="G200" s="47" t="s">
        <v>24</v>
      </c>
      <c r="H200" s="48">
        <v>1</v>
      </c>
      <c r="I200" s="49"/>
      <c r="J200" s="49"/>
      <c r="K200" s="50"/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10929.7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81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14</v>
      </c>
      <c r="Q202" s="30">
        <v>45235.79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2</v>
      </c>
      <c r="I208" s="203">
        <v>1</v>
      </c>
      <c r="J208" s="203">
        <v>1</v>
      </c>
      <c r="K208" s="65">
        <v>950.9</v>
      </c>
      <c r="L208" s="51"/>
      <c r="M208" s="50">
        <f t="shared" si="0"/>
        <v>0</v>
      </c>
      <c r="N208" s="50"/>
      <c r="O208" s="31"/>
      <c r="P208" s="108">
        <v>10</v>
      </c>
      <c r="Q208" s="65">
        <v>31753.040000000001</v>
      </c>
      <c r="R208" s="224">
        <v>8</v>
      </c>
      <c r="S208" s="50">
        <f t="shared" si="1"/>
        <v>28968.84</v>
      </c>
      <c r="T208" s="65">
        <v>28968.84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0</v>
      </c>
      <c r="T209" s="43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4</v>
      </c>
      <c r="I210" s="62">
        <v>3</v>
      </c>
      <c r="J210" s="62">
        <v>3</v>
      </c>
      <c r="K210" s="30">
        <v>3878.12</v>
      </c>
      <c r="L210" s="27"/>
      <c r="M210" s="26">
        <f t="shared" si="0"/>
        <v>0</v>
      </c>
      <c r="N210" s="26"/>
      <c r="O210" s="31"/>
      <c r="P210" s="53">
        <v>6</v>
      </c>
      <c r="Q210" s="30">
        <v>31478.57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107"/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221" t="s">
        <v>252</v>
      </c>
      <c r="G213" s="55" t="s">
        <v>28</v>
      </c>
      <c r="H213" s="133">
        <v>2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221" t="s">
        <v>253</v>
      </c>
      <c r="G215" s="55" t="s">
        <v>28</v>
      </c>
      <c r="H215" s="111"/>
      <c r="I215" s="57"/>
      <c r="J215" s="57"/>
      <c r="K215" s="43"/>
      <c r="L215" s="44"/>
      <c r="M215" s="43">
        <f t="shared" si="0"/>
        <v>0</v>
      </c>
      <c r="N215" s="43"/>
      <c r="O215" s="41"/>
      <c r="P215" s="113">
        <v>2</v>
      </c>
      <c r="Q215" s="114">
        <v>2958.34</v>
      </c>
      <c r="R215" s="44"/>
      <c r="S215" s="43">
        <f t="shared" si="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2"/>
      <c r="G216" s="23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03"/>
      <c r="Q217" s="43"/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60"/>
      <c r="G218" s="23" t="s">
        <v>24</v>
      </c>
      <c r="H218" s="107"/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9</v>
      </c>
      <c r="Q218" s="30">
        <v>16989.849999999999</v>
      </c>
      <c r="R218" s="27"/>
      <c r="S218" s="26">
        <f t="shared" si="1"/>
        <v>0</v>
      </c>
      <c r="T218" s="26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254</v>
      </c>
      <c r="G219" s="35" t="s">
        <v>28</v>
      </c>
      <c r="H219" s="153">
        <v>2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46"/>
      <c r="G220" s="23" t="s">
        <v>24</v>
      </c>
      <c r="H220" s="48">
        <v>3</v>
      </c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12</v>
      </c>
      <c r="Q220" s="65">
        <v>27009.49</v>
      </c>
      <c r="R220" s="51"/>
      <c r="S220" s="50">
        <f t="shared" si="1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54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4050.2</v>
      </c>
      <c r="T223" s="43"/>
      <c r="U223" s="222">
        <v>4050.2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119"/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256</v>
      </c>
      <c r="G225" s="35" t="s">
        <v>28</v>
      </c>
      <c r="H225" s="36"/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4"/>
      <c r="G227" s="35" t="s">
        <v>28</v>
      </c>
      <c r="H227" s="102"/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1897</v>
      </c>
      <c r="T227" s="39"/>
      <c r="U227" s="41">
        <f>1897</f>
        <v>1897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192</v>
      </c>
      <c r="C228" s="381" t="s">
        <v>22</v>
      </c>
      <c r="D228" s="381"/>
      <c r="E228" s="381" t="s">
        <v>193</v>
      </c>
      <c r="F228" s="46"/>
      <c r="G228" s="23" t="s">
        <v>24</v>
      </c>
      <c r="H228" s="61">
        <v>1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51"/>
      <c r="S228" s="50">
        <f t="shared" si="1"/>
        <v>0</v>
      </c>
      <c r="T228" s="50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4" t="s">
        <v>22</v>
      </c>
      <c r="D230" s="374"/>
      <c r="E230" s="374" t="s">
        <v>160</v>
      </c>
      <c r="F230" s="22"/>
      <c r="G230" s="23" t="s">
        <v>24</v>
      </c>
      <c r="H230" s="107"/>
      <c r="I230" s="49"/>
      <c r="J230" s="49"/>
      <c r="K230" s="50"/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0</v>
      </c>
      <c r="T230" s="26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34"/>
      <c r="G231" s="35" t="s">
        <v>28</v>
      </c>
      <c r="H231" s="106"/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81" t="s">
        <v>39</v>
      </c>
      <c r="D232" s="381" t="s">
        <v>231</v>
      </c>
      <c r="E232" s="381" t="s">
        <v>27</v>
      </c>
      <c r="F232" s="204" t="s">
        <v>232</v>
      </c>
      <c r="G232" s="47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5</v>
      </c>
      <c r="Q232" s="65">
        <v>42908.57</v>
      </c>
      <c r="R232" s="224">
        <v>3</v>
      </c>
      <c r="S232" s="50">
        <f t="shared" si="1"/>
        <v>35948.410000000003</v>
      </c>
      <c r="T232" s="65">
        <v>35948.410000000003</v>
      </c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1" t="s">
        <v>260</v>
      </c>
      <c r="G233" s="55" t="s">
        <v>28</v>
      </c>
      <c r="H233" s="178">
        <v>2</v>
      </c>
      <c r="I233" s="130"/>
      <c r="J233" s="130"/>
      <c r="K233" s="43"/>
      <c r="L233" s="44"/>
      <c r="M233" s="43">
        <f t="shared" si="0"/>
        <v>0</v>
      </c>
      <c r="N233" s="43"/>
      <c r="O233" s="45"/>
      <c r="P233" s="130">
        <v>2</v>
      </c>
      <c r="Q233" s="130">
        <v>1849.55</v>
      </c>
      <c r="R233" s="44"/>
      <c r="S233" s="43">
        <f t="shared" si="1"/>
        <v>4994.6000000000004</v>
      </c>
      <c r="T233" s="43"/>
      <c r="U233" s="222">
        <v>4994.6000000000004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34"/>
      <c r="G235" s="35" t="s">
        <v>28</v>
      </c>
      <c r="H235" s="66">
        <v>1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748.27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54"/>
      <c r="G237" s="55" t="s">
        <v>28</v>
      </c>
      <c r="H237" s="153">
        <v>1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1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6</v>
      </c>
      <c r="Q238" s="30">
        <v>25021.41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34"/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54"/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0</v>
      </c>
      <c r="T243" s="43"/>
      <c r="U243" s="45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48">
        <v>1</v>
      </c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1" t="s">
        <v>262</v>
      </c>
      <c r="G247" s="55" t="s">
        <v>28</v>
      </c>
      <c r="H247" s="112">
        <v>1</v>
      </c>
      <c r="I247" s="57"/>
      <c r="J247" s="57"/>
      <c r="K247" s="43"/>
      <c r="L247" s="128"/>
      <c r="M247" s="129">
        <f t="shared" si="0"/>
        <v>0</v>
      </c>
      <c r="N247" s="43"/>
      <c r="O247" s="45"/>
      <c r="P247" s="113">
        <v>1</v>
      </c>
      <c r="Q247" s="114">
        <v>1344.7</v>
      </c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4</v>
      </c>
      <c r="I250" s="49"/>
      <c r="J250" s="49"/>
      <c r="K250" s="50"/>
      <c r="L250" s="51"/>
      <c r="M250" s="50">
        <f t="shared" si="0"/>
        <v>0</v>
      </c>
      <c r="N250" s="50"/>
      <c r="O250" s="31"/>
      <c r="P250" s="108">
        <v>3</v>
      </c>
      <c r="Q250" s="65">
        <v>2472.64</v>
      </c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193</v>
      </c>
      <c r="I252" s="183">
        <f t="shared" si="2"/>
        <v>28</v>
      </c>
      <c r="J252" s="183">
        <f t="shared" si="2"/>
        <v>29</v>
      </c>
      <c r="K252" s="184">
        <f t="shared" si="2"/>
        <v>43109.30000000001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626</v>
      </c>
      <c r="Q252" s="188">
        <f t="shared" si="2"/>
        <v>1796849.06</v>
      </c>
      <c r="R252" s="185">
        <f t="shared" si="2"/>
        <v>25</v>
      </c>
      <c r="S252" s="188">
        <f t="shared" si="2"/>
        <v>259497.90000000002</v>
      </c>
      <c r="T252" s="188">
        <f t="shared" si="2"/>
        <v>109800.00000000001</v>
      </c>
      <c r="U252" s="189">
        <f t="shared" si="2"/>
        <v>149697.90000000002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132</v>
      </c>
      <c r="H258" s="193">
        <f t="shared" si="3"/>
        <v>24</v>
      </c>
      <c r="I258" s="193">
        <f t="shared" si="3"/>
        <v>25</v>
      </c>
      <c r="J258" s="194">
        <f t="shared" ref="J258:J260" si="4">SUMIF($G$9:$G$251,F258,$K$9:$K$251)</f>
        <v>37539.300000000003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560</v>
      </c>
      <c r="P258" s="194">
        <f t="shared" ref="P258:P260" si="8">SUMIF($G$9:$G$251,F258,$Q$9:$Q$251)</f>
        <v>1636427.9399999997</v>
      </c>
      <c r="Q258" s="195">
        <f t="shared" ref="Q258:Q260" si="9">SUMIF($G$9:$G$251,F258,$R$9:$R$251)</f>
        <v>25</v>
      </c>
      <c r="R258" s="194">
        <f t="shared" ref="R258:R260" si="10">SUMIF($G$9:$G$251,F258,$S$9:$S$251)</f>
        <v>217473.47</v>
      </c>
      <c r="S258" s="194">
        <f t="shared" ref="S258:T258" si="11">SUMIF($G$9:$G$251,$F$258,T9:T251)</f>
        <v>109800.00000000001</v>
      </c>
      <c r="T258" s="194">
        <f t="shared" si="11"/>
        <v>107673.46999999999</v>
      </c>
      <c r="U258" s="194">
        <f t="shared" ref="U258:U260" si="12">S258+M258</f>
        <v>109800.00000000001</v>
      </c>
      <c r="V258" s="196">
        <f t="shared" ref="V258:V260" si="13">J258-M258+P258-S258</f>
        <v>1564167.2399999998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44</v>
      </c>
      <c r="H259" s="193">
        <f t="shared" si="14"/>
        <v>4</v>
      </c>
      <c r="I259" s="193">
        <f t="shared" si="14"/>
        <v>4</v>
      </c>
      <c r="J259" s="194">
        <f t="shared" si="4"/>
        <v>5570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53</v>
      </c>
      <c r="P259" s="194">
        <f t="shared" si="8"/>
        <v>120784.79000000001</v>
      </c>
      <c r="Q259" s="195">
        <f t="shared" si="9"/>
        <v>0</v>
      </c>
      <c r="R259" s="194">
        <f t="shared" si="10"/>
        <v>42024.43</v>
      </c>
      <c r="S259" s="194">
        <f t="shared" ref="S259:T259" si="16">SUMIF($G$9:$G$251,$F$259,T9:T251)</f>
        <v>0</v>
      </c>
      <c r="T259" s="194">
        <f t="shared" si="16"/>
        <v>42024.43</v>
      </c>
      <c r="U259" s="194">
        <f t="shared" si="12"/>
        <v>0</v>
      </c>
      <c r="V259" s="196">
        <f t="shared" si="13"/>
        <v>126354.79000000001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17</v>
      </c>
      <c r="H260" s="193">
        <f t="shared" si="17"/>
        <v>0</v>
      </c>
      <c r="I260" s="193">
        <f t="shared" si="17"/>
        <v>0</v>
      </c>
      <c r="J260" s="194">
        <f t="shared" si="4"/>
        <v>0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13</v>
      </c>
      <c r="P260" s="194">
        <f t="shared" si="8"/>
        <v>39636.329999999994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39636.329999999994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193</v>
      </c>
      <c r="H261" s="197">
        <f t="shared" si="20"/>
        <v>28</v>
      </c>
      <c r="I261" s="197">
        <f t="shared" si="20"/>
        <v>29</v>
      </c>
      <c r="J261" s="198">
        <f t="shared" si="20"/>
        <v>43109.3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626</v>
      </c>
      <c r="P261" s="198">
        <f t="shared" si="20"/>
        <v>1796849.0599999996</v>
      </c>
      <c r="Q261" s="200">
        <f t="shared" si="20"/>
        <v>25</v>
      </c>
      <c r="R261" s="198">
        <f t="shared" si="20"/>
        <v>259497.9</v>
      </c>
      <c r="S261" s="198">
        <f t="shared" si="20"/>
        <v>109800.00000000001</v>
      </c>
      <c r="T261" s="198">
        <f t="shared" si="20"/>
        <v>149697.9</v>
      </c>
      <c r="U261" s="198">
        <f t="shared" si="20"/>
        <v>109800.00000000001</v>
      </c>
      <c r="V261" s="198">
        <f t="shared" si="20"/>
        <v>1730158.3599999999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2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7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17</v>
      </c>
      <c r="I9" s="62">
        <v>10</v>
      </c>
      <c r="J9" s="62">
        <v>12</v>
      </c>
      <c r="K9" s="62">
        <v>20526.41</v>
      </c>
      <c r="L9" s="205">
        <v>8</v>
      </c>
      <c r="M9" s="26">
        <f t="shared" ref="M9:M33" si="0">N9+O9</f>
        <v>18030.28</v>
      </c>
      <c r="N9" s="30">
        <v>10196.11</v>
      </c>
      <c r="O9" s="241">
        <v>7834.17</v>
      </c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9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15</v>
      </c>
      <c r="I13" s="266">
        <v>13</v>
      </c>
      <c r="J13" s="266">
        <v>23</v>
      </c>
      <c r="K13" s="79">
        <v>64829.35</v>
      </c>
      <c r="L13" s="268">
        <v>23</v>
      </c>
      <c r="M13" s="81">
        <f t="shared" si="0"/>
        <v>64829.35</v>
      </c>
      <c r="N13" s="79">
        <v>64829.35</v>
      </c>
      <c r="O13" s="97"/>
      <c r="P13" s="267">
        <v>16</v>
      </c>
      <c r="Q13" s="79">
        <v>119807.03</v>
      </c>
      <c r="R13" s="268">
        <v>15</v>
      </c>
      <c r="S13" s="81">
        <f t="shared" si="1"/>
        <v>119807.03</v>
      </c>
      <c r="T13" s="79">
        <v>116855.85</v>
      </c>
      <c r="U13" s="336">
        <v>2951.18</v>
      </c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7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2</v>
      </c>
      <c r="Q14" s="68">
        <v>16973.099999999999</v>
      </c>
      <c r="R14" s="285">
        <v>1</v>
      </c>
      <c r="S14" s="39">
        <f t="shared" si="1"/>
        <v>11718.1</v>
      </c>
      <c r="T14" s="39">
        <f>11718.1</f>
        <v>11718.1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30</v>
      </c>
      <c r="I15" s="62">
        <v>29</v>
      </c>
      <c r="J15" s="62">
        <v>52</v>
      </c>
      <c r="K15" s="30">
        <v>129380.5</v>
      </c>
      <c r="L15" s="205">
        <v>49</v>
      </c>
      <c r="M15" s="26">
        <f t="shared" si="0"/>
        <v>129380.5</v>
      </c>
      <c r="N15" s="30">
        <v>124035.82</v>
      </c>
      <c r="O15" s="299">
        <v>5344.68</v>
      </c>
      <c r="P15" s="64">
        <v>23</v>
      </c>
      <c r="Q15" s="65">
        <v>113361.08</v>
      </c>
      <c r="R15" s="224">
        <v>20</v>
      </c>
      <c r="S15" s="50">
        <f t="shared" si="1"/>
        <v>113361.08</v>
      </c>
      <c r="T15" s="65">
        <v>105437</v>
      </c>
      <c r="U15" s="225">
        <v>7924.08</v>
      </c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5</v>
      </c>
      <c r="J16" s="37">
        <v>5</v>
      </c>
      <c r="K16" s="68">
        <v>13852.2</v>
      </c>
      <c r="L16" s="285">
        <v>2</v>
      </c>
      <c r="M16" s="39">
        <f t="shared" si="0"/>
        <v>3552.3999999999996</v>
      </c>
      <c r="N16" s="68">
        <f>1344.7+2207.7</f>
        <v>3552.3999999999996</v>
      </c>
      <c r="O16" s="41"/>
      <c r="P16" s="67">
        <v>6</v>
      </c>
      <c r="Q16" s="68">
        <v>25437.3</v>
      </c>
      <c r="R16" s="285">
        <v>5</v>
      </c>
      <c r="S16" s="39">
        <f t="shared" si="1"/>
        <v>24806.5</v>
      </c>
      <c r="T16" s="68">
        <f>15752.2+1921+5378.6+1152.6+602.1</f>
        <v>24806.5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7</v>
      </c>
      <c r="I18" s="208">
        <v>2</v>
      </c>
      <c r="J18" s="208">
        <v>2</v>
      </c>
      <c r="K18" s="209">
        <v>1837.5</v>
      </c>
      <c r="L18" s="290">
        <v>2</v>
      </c>
      <c r="M18" s="211">
        <f t="shared" si="0"/>
        <v>3185.3999999999996</v>
      </c>
      <c r="N18" s="211">
        <f>576.3+2609.1</f>
        <v>3185.3999999999996</v>
      </c>
      <c r="O18" s="212"/>
      <c r="P18" s="262">
        <v>10</v>
      </c>
      <c r="Q18" s="209">
        <v>44714.91</v>
      </c>
      <c r="R18" s="290">
        <v>9</v>
      </c>
      <c r="S18" s="211">
        <f t="shared" si="1"/>
        <v>42448.369999999995</v>
      </c>
      <c r="T18" s="209">
        <f>7027.7+4418.3+7721.17+6823.8+16457.4</f>
        <v>42448.369999999995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17</v>
      </c>
      <c r="I19" s="62">
        <v>9</v>
      </c>
      <c r="J19" s="62">
        <v>10</v>
      </c>
      <c r="K19" s="30">
        <v>19893.37</v>
      </c>
      <c r="L19" s="205">
        <v>6</v>
      </c>
      <c r="M19" s="26">
        <f t="shared" si="0"/>
        <v>19893.37</v>
      </c>
      <c r="N19" s="30">
        <v>9901.23</v>
      </c>
      <c r="O19" s="363">
        <v>9992.14</v>
      </c>
      <c r="P19" s="53">
        <v>13</v>
      </c>
      <c r="Q19" s="30">
        <v>39597.26</v>
      </c>
      <c r="R19" s="205">
        <v>12</v>
      </c>
      <c r="S19" s="26">
        <f t="shared" si="1"/>
        <v>39597.259999999995</v>
      </c>
      <c r="T19" s="30">
        <v>31543.78</v>
      </c>
      <c r="U19" s="241">
        <v>8053.48</v>
      </c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9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16</v>
      </c>
      <c r="I21" s="266">
        <v>15</v>
      </c>
      <c r="J21" s="266">
        <v>21</v>
      </c>
      <c r="K21" s="79">
        <v>36509.08</v>
      </c>
      <c r="L21" s="268">
        <v>17</v>
      </c>
      <c r="M21" s="81">
        <f t="shared" si="0"/>
        <v>36509.08</v>
      </c>
      <c r="N21" s="79">
        <v>32485.85</v>
      </c>
      <c r="O21" s="269">
        <v>4023.23</v>
      </c>
      <c r="P21" s="267">
        <v>12</v>
      </c>
      <c r="Q21" s="79">
        <v>37820.82</v>
      </c>
      <c r="R21" s="268">
        <v>11</v>
      </c>
      <c r="S21" s="81">
        <f t="shared" si="1"/>
        <v>37820.82</v>
      </c>
      <c r="T21" s="79">
        <v>26007.8</v>
      </c>
      <c r="U21" s="269">
        <v>11813.02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25</v>
      </c>
      <c r="I23" s="203">
        <v>22</v>
      </c>
      <c r="J23" s="203">
        <v>34</v>
      </c>
      <c r="K23" s="65">
        <v>48591.64</v>
      </c>
      <c r="L23" s="224">
        <v>33</v>
      </c>
      <c r="M23" s="50">
        <f t="shared" si="0"/>
        <v>47551.15</v>
      </c>
      <c r="N23" s="65">
        <v>47551.15</v>
      </c>
      <c r="O23" s="225"/>
      <c r="P23" s="53">
        <v>18</v>
      </c>
      <c r="Q23" s="30">
        <v>40711.599999999999</v>
      </c>
      <c r="R23" s="205">
        <v>17</v>
      </c>
      <c r="S23" s="26">
        <f t="shared" si="1"/>
        <v>40711.599999999999</v>
      </c>
      <c r="T23" s="30">
        <v>40711.599999999999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3</v>
      </c>
      <c r="I24" s="130">
        <v>1</v>
      </c>
      <c r="J24" s="130">
        <v>1</v>
      </c>
      <c r="K24" s="114">
        <v>630.6</v>
      </c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20</v>
      </c>
      <c r="I25" s="62">
        <v>17</v>
      </c>
      <c r="J25" s="62">
        <v>17</v>
      </c>
      <c r="K25" s="62">
        <v>14813.54</v>
      </c>
      <c r="L25" s="205">
        <v>15</v>
      </c>
      <c r="M25" s="26">
        <f t="shared" si="0"/>
        <v>14813.54</v>
      </c>
      <c r="N25" s="30">
        <v>12972.19</v>
      </c>
      <c r="O25" s="225">
        <v>1841.35</v>
      </c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6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0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17</v>
      </c>
      <c r="I27" s="203">
        <v>15</v>
      </c>
      <c r="J27" s="203">
        <v>23</v>
      </c>
      <c r="K27" s="65">
        <v>40691.089999999997</v>
      </c>
      <c r="L27" s="224">
        <v>22</v>
      </c>
      <c r="M27" s="50">
        <f t="shared" si="0"/>
        <v>40691.089999999997</v>
      </c>
      <c r="N27" s="65">
        <v>39652.28</v>
      </c>
      <c r="O27" s="225">
        <v>1038.81</v>
      </c>
      <c r="P27" s="53">
        <v>17</v>
      </c>
      <c r="Q27" s="30">
        <v>50255.54</v>
      </c>
      <c r="R27" s="205">
        <v>16</v>
      </c>
      <c r="S27" s="26">
        <f t="shared" si="1"/>
        <v>50255.54</v>
      </c>
      <c r="T27" s="30">
        <v>45117.43</v>
      </c>
      <c r="U27" s="243">
        <v>5138.1099999999997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9</v>
      </c>
      <c r="I28" s="130">
        <v>3</v>
      </c>
      <c r="J28" s="130">
        <v>3</v>
      </c>
      <c r="K28" s="114">
        <v>3211.2</v>
      </c>
      <c r="L28" s="270">
        <v>4</v>
      </c>
      <c r="M28" s="43">
        <f t="shared" si="0"/>
        <v>7626.6</v>
      </c>
      <c r="N28" s="43">
        <f>1204.2+1404.9+602.1+4415.4</f>
        <v>7626.6</v>
      </c>
      <c r="O28" s="41"/>
      <c r="P28" s="115">
        <v>13</v>
      </c>
      <c r="Q28" s="68">
        <v>61289.1</v>
      </c>
      <c r="R28" s="285">
        <v>11</v>
      </c>
      <c r="S28" s="39">
        <f t="shared" si="1"/>
        <v>45357.600000000006</v>
      </c>
      <c r="T28" s="68">
        <f>4302+3533.6+960.5+5240.8+4226.2+5820.3+2007+1204.2+1404.9+16658.1</f>
        <v>45357.600000000006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2</v>
      </c>
      <c r="I29" s="25"/>
      <c r="J29" s="25"/>
      <c r="K29" s="26"/>
      <c r="L29" s="27"/>
      <c r="M29" s="26">
        <f t="shared" si="0"/>
        <v>0</v>
      </c>
      <c r="N29" s="26"/>
      <c r="O29" s="31"/>
      <c r="P29" s="53">
        <v>5</v>
      </c>
      <c r="Q29" s="30">
        <v>16015.34</v>
      </c>
      <c r="R29" s="205">
        <v>5</v>
      </c>
      <c r="S29" s="26">
        <f t="shared" si="1"/>
        <v>16015.34</v>
      </c>
      <c r="T29" s="30">
        <v>16015.34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8</v>
      </c>
      <c r="I30" s="130">
        <v>5</v>
      </c>
      <c r="J30" s="130">
        <v>5</v>
      </c>
      <c r="K30" s="114">
        <v>10249.6</v>
      </c>
      <c r="L30" s="270">
        <v>3</v>
      </c>
      <c r="M30" s="43">
        <f t="shared" si="0"/>
        <v>4994.6000000000004</v>
      </c>
      <c r="N30" s="114">
        <f>3649.9+1344.7</f>
        <v>4994.6000000000004</v>
      </c>
      <c r="O30" s="45"/>
      <c r="P30" s="113">
        <v>6</v>
      </c>
      <c r="Q30" s="114">
        <v>13960.2</v>
      </c>
      <c r="R30" s="270">
        <v>7</v>
      </c>
      <c r="S30" s="43">
        <f t="shared" si="1"/>
        <v>21676.18</v>
      </c>
      <c r="T30" s="114">
        <f>14247.38+1921+2497.3+1806.3+1204.2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17</v>
      </c>
      <c r="I33" s="203">
        <v>10</v>
      </c>
      <c r="J33" s="203">
        <v>13</v>
      </c>
      <c r="K33" s="65">
        <v>21953.040000000001</v>
      </c>
      <c r="L33" s="224">
        <v>11</v>
      </c>
      <c r="M33" s="50">
        <f t="shared" si="0"/>
        <v>21953.039999999997</v>
      </c>
      <c r="N33" s="65">
        <v>19491.419999999998</v>
      </c>
      <c r="O33" s="225">
        <v>2461.62</v>
      </c>
      <c r="P33" s="108">
        <v>12</v>
      </c>
      <c r="Q33" s="65">
        <v>35396.99</v>
      </c>
      <c r="R33" s="224">
        <v>11</v>
      </c>
      <c r="S33" s="26">
        <f t="shared" si="1"/>
        <v>35396.99</v>
      </c>
      <c r="T33" s="65">
        <v>33775.75</v>
      </c>
      <c r="U33" s="225">
        <v>1621.24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8</v>
      </c>
      <c r="J34" s="130">
        <v>8</v>
      </c>
      <c r="K34" s="114">
        <v>18612.400000000001</v>
      </c>
      <c r="L34" s="270">
        <v>6</v>
      </c>
      <c r="M34" s="114">
        <v>15654.7</v>
      </c>
      <c r="N34" s="114">
        <v>15654.7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2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3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2"/>
        <v>0</v>
      </c>
      <c r="N36" s="39"/>
      <c r="O36" s="41"/>
      <c r="P36" s="69"/>
      <c r="Q36" s="39"/>
      <c r="R36" s="40"/>
      <c r="S36" s="39">
        <f t="shared" si="3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10</v>
      </c>
      <c r="M37" s="50">
        <f t="shared" si="2"/>
        <v>10039.700000000001</v>
      </c>
      <c r="N37" s="65">
        <v>10039.700000000001</v>
      </c>
      <c r="O37" s="31"/>
      <c r="P37" s="64">
        <v>6</v>
      </c>
      <c r="Q37" s="65">
        <v>16862.68</v>
      </c>
      <c r="R37" s="268">
        <v>5</v>
      </c>
      <c r="S37" s="50">
        <f t="shared" si="3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4</v>
      </c>
      <c r="J38" s="208">
        <v>4</v>
      </c>
      <c r="K38" s="209">
        <v>6273.9</v>
      </c>
      <c r="L38" s="290">
        <v>3</v>
      </c>
      <c r="M38" s="211">
        <f t="shared" si="2"/>
        <v>4802.5</v>
      </c>
      <c r="N38" s="209">
        <f>1152.6+576.3+3073.6</f>
        <v>4802.5</v>
      </c>
      <c r="O38" s="212"/>
      <c r="P38" s="304">
        <v>2</v>
      </c>
      <c r="Q38" s="209">
        <v>9182.3799999999992</v>
      </c>
      <c r="R38" s="317">
        <v>3</v>
      </c>
      <c r="S38" s="211">
        <f t="shared" si="3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62">
        <v>1</v>
      </c>
      <c r="J39" s="62">
        <v>3</v>
      </c>
      <c r="K39" s="30">
        <v>2815.81</v>
      </c>
      <c r="L39" s="27"/>
      <c r="M39" s="26">
        <f t="shared" si="2"/>
        <v>2815.81</v>
      </c>
      <c r="N39" s="26"/>
      <c r="O39" s="241">
        <v>2815.81</v>
      </c>
      <c r="P39" s="275"/>
      <c r="Q39" s="26"/>
      <c r="R39" s="27"/>
      <c r="S39" s="26">
        <f t="shared" si="3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2"/>
        <v>0</v>
      </c>
      <c r="N40" s="39"/>
      <c r="O40" s="41"/>
      <c r="P40" s="276"/>
      <c r="Q40" s="39"/>
      <c r="R40" s="40"/>
      <c r="S40" s="39">
        <f t="shared" si="3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2"/>
        <v>0</v>
      </c>
      <c r="N41" s="81"/>
      <c r="O41" s="219"/>
      <c r="P41" s="277"/>
      <c r="Q41" s="81"/>
      <c r="R41" s="80"/>
      <c r="S41" s="81">
        <f t="shared" si="3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2"/>
        <v>0</v>
      </c>
      <c r="N42" s="211"/>
      <c r="O42" s="212"/>
      <c r="P42" s="273"/>
      <c r="Q42" s="211"/>
      <c r="R42" s="210"/>
      <c r="S42" s="211">
        <f t="shared" si="3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10</v>
      </c>
      <c r="I43" s="62">
        <v>7</v>
      </c>
      <c r="J43" s="62">
        <v>9</v>
      </c>
      <c r="K43" s="30">
        <v>25887.16</v>
      </c>
      <c r="L43" s="205">
        <v>6</v>
      </c>
      <c r="M43" s="26">
        <f t="shared" si="2"/>
        <v>25887.16</v>
      </c>
      <c r="N43" s="30">
        <v>19565.71</v>
      </c>
      <c r="O43" s="243">
        <v>6321.45</v>
      </c>
      <c r="P43" s="53">
        <v>3</v>
      </c>
      <c r="Q43" s="30">
        <v>2055.75</v>
      </c>
      <c r="R43" s="205">
        <v>2</v>
      </c>
      <c r="S43" s="26">
        <f t="shared" si="3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2"/>
        <v>0</v>
      </c>
      <c r="N44" s="39"/>
      <c r="O44" s="41"/>
      <c r="P44" s="59"/>
      <c r="Q44" s="39"/>
      <c r="R44" s="40"/>
      <c r="S44" s="39">
        <f t="shared" si="3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21</v>
      </c>
      <c r="I45" s="266">
        <v>19</v>
      </c>
      <c r="J45" s="266">
        <v>26</v>
      </c>
      <c r="K45" s="79">
        <v>48612.82</v>
      </c>
      <c r="L45" s="268">
        <v>24</v>
      </c>
      <c r="M45" s="81">
        <f t="shared" si="2"/>
        <v>48612.82</v>
      </c>
      <c r="N45" s="79">
        <v>39175.68</v>
      </c>
      <c r="O45" s="314">
        <v>9437.14</v>
      </c>
      <c r="P45" s="53">
        <v>22</v>
      </c>
      <c r="Q45" s="30">
        <v>82933.13</v>
      </c>
      <c r="R45" s="205">
        <v>20</v>
      </c>
      <c r="S45" s="26">
        <f t="shared" si="3"/>
        <v>82933.13</v>
      </c>
      <c r="T45" s="30">
        <v>79577.89</v>
      </c>
      <c r="U45" s="241">
        <v>3355.24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2"/>
        <v>0</v>
      </c>
      <c r="N46" s="211"/>
      <c r="O46" s="274"/>
      <c r="P46" s="273"/>
      <c r="Q46" s="211"/>
      <c r="R46" s="210"/>
      <c r="S46" s="211">
        <f t="shared" si="3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30</v>
      </c>
      <c r="I47" s="62">
        <v>17</v>
      </c>
      <c r="J47" s="62">
        <v>21</v>
      </c>
      <c r="K47" s="30">
        <v>45747.68</v>
      </c>
      <c r="L47" s="205">
        <v>15</v>
      </c>
      <c r="M47" s="26">
        <f t="shared" si="2"/>
        <v>37906.339999999997</v>
      </c>
      <c r="N47" s="30">
        <v>26748.73</v>
      </c>
      <c r="O47" s="241">
        <v>11157.61</v>
      </c>
      <c r="P47" s="214"/>
      <c r="Q47" s="30"/>
      <c r="R47" s="27"/>
      <c r="S47" s="26">
        <f t="shared" si="3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1</v>
      </c>
      <c r="M48" s="211">
        <f t="shared" si="2"/>
        <v>4648.82</v>
      </c>
      <c r="N48" s="211">
        <f>4648.82</f>
        <v>4648.82</v>
      </c>
      <c r="O48" s="212"/>
      <c r="P48" s="280"/>
      <c r="Q48" s="209"/>
      <c r="R48" s="210"/>
      <c r="S48" s="211">
        <f t="shared" si="3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5</v>
      </c>
      <c r="I49" s="37"/>
      <c r="J49" s="37"/>
      <c r="K49" s="68"/>
      <c r="L49" s="285"/>
      <c r="M49" s="39">
        <f t="shared" si="2"/>
        <v>0</v>
      </c>
      <c r="N49" s="39"/>
      <c r="O49" s="41"/>
      <c r="P49" s="217"/>
      <c r="Q49" s="68"/>
      <c r="R49" s="40"/>
      <c r="S49" s="39">
        <f t="shared" si="3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11</v>
      </c>
      <c r="J50" s="266">
        <v>15</v>
      </c>
      <c r="K50" s="79">
        <v>29460.55</v>
      </c>
      <c r="L50" s="268">
        <v>11</v>
      </c>
      <c r="M50" s="81">
        <f t="shared" si="2"/>
        <v>29460.550000000003</v>
      </c>
      <c r="N50" s="79">
        <v>16010.01</v>
      </c>
      <c r="O50" s="336">
        <v>13450.54</v>
      </c>
      <c r="P50" s="303"/>
      <c r="Q50" s="81"/>
      <c r="R50" s="80"/>
      <c r="S50" s="81">
        <f t="shared" si="3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2"/>
        <v>0</v>
      </c>
      <c r="N51" s="39"/>
      <c r="O51" s="41"/>
      <c r="P51" s="276"/>
      <c r="Q51" s="39"/>
      <c r="R51" s="40"/>
      <c r="S51" s="39">
        <f t="shared" si="3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2"/>
        <v>0</v>
      </c>
      <c r="N52" s="81"/>
      <c r="O52" s="82"/>
      <c r="P52" s="303"/>
      <c r="Q52" s="81"/>
      <c r="R52" s="80"/>
      <c r="S52" s="142">
        <f t="shared" si="3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2</v>
      </c>
      <c r="J53" s="338">
        <v>2</v>
      </c>
      <c r="K53" s="339">
        <v>2634.9</v>
      </c>
      <c r="L53" s="340">
        <v>1</v>
      </c>
      <c r="M53" s="39">
        <f t="shared" si="2"/>
        <v>1204.2</v>
      </c>
      <c r="N53" s="87">
        <f>1204.2</f>
        <v>1204.2</v>
      </c>
      <c r="O53" s="89"/>
      <c r="P53" s="354"/>
      <c r="Q53" s="87"/>
      <c r="R53" s="88"/>
      <c r="S53" s="39">
        <f t="shared" si="3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2"/>
        <v>0</v>
      </c>
      <c r="N54" s="81"/>
      <c r="O54" s="82"/>
      <c r="P54" s="303"/>
      <c r="Q54" s="81"/>
      <c r="R54" s="80"/>
      <c r="S54" s="81">
        <f t="shared" si="3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2"/>
        <v>0</v>
      </c>
      <c r="N55" s="39"/>
      <c r="O55" s="41"/>
      <c r="P55" s="276"/>
      <c r="Q55" s="39"/>
      <c r="R55" s="40"/>
      <c r="S55" s="39">
        <f t="shared" si="3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8</v>
      </c>
      <c r="I56" s="266">
        <v>5</v>
      </c>
      <c r="J56" s="266">
        <v>6</v>
      </c>
      <c r="K56" s="79">
        <v>10046.86</v>
      </c>
      <c r="L56" s="268">
        <v>4</v>
      </c>
      <c r="M56" s="81">
        <f t="shared" si="2"/>
        <v>10046.86</v>
      </c>
      <c r="N56" s="79">
        <v>7445.63</v>
      </c>
      <c r="O56" s="314">
        <v>2601.23</v>
      </c>
      <c r="P56" s="277"/>
      <c r="Q56" s="81"/>
      <c r="R56" s="80"/>
      <c r="S56" s="81">
        <f t="shared" si="3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10</v>
      </c>
      <c r="I57" s="130">
        <v>8</v>
      </c>
      <c r="J57" s="130">
        <v>8</v>
      </c>
      <c r="K57" s="114">
        <v>21658.48</v>
      </c>
      <c r="L57" s="270">
        <v>6</v>
      </c>
      <c r="M57" s="43">
        <f t="shared" si="2"/>
        <v>14932.079999999998</v>
      </c>
      <c r="N57" s="43">
        <f>1605.6+1806.3+2207.7+3753.09+1806.3+3753.09</f>
        <v>14932.079999999998</v>
      </c>
      <c r="O57" s="58"/>
      <c r="P57" s="59"/>
      <c r="Q57" s="39"/>
      <c r="R57" s="40"/>
      <c r="S57" s="39">
        <f t="shared" si="3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5</v>
      </c>
      <c r="K58" s="30">
        <v>7056.89</v>
      </c>
      <c r="L58" s="205">
        <v>4</v>
      </c>
      <c r="M58" s="26">
        <f t="shared" si="2"/>
        <v>7056.89</v>
      </c>
      <c r="N58" s="30">
        <v>5581.3</v>
      </c>
      <c r="O58" s="225">
        <v>1475.59</v>
      </c>
      <c r="P58" s="108">
        <v>8</v>
      </c>
      <c r="Q58" s="65">
        <v>18110.38</v>
      </c>
      <c r="R58" s="224">
        <v>8</v>
      </c>
      <c r="S58" s="50">
        <f t="shared" si="3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8</v>
      </c>
      <c r="I59" s="37">
        <v>4</v>
      </c>
      <c r="J59" s="37">
        <v>4</v>
      </c>
      <c r="K59" s="68">
        <v>13848.3</v>
      </c>
      <c r="L59" s="285">
        <v>2</v>
      </c>
      <c r="M59" s="39">
        <f t="shared" si="2"/>
        <v>4616.1000000000004</v>
      </c>
      <c r="N59" s="39">
        <f>2007+2609.1</f>
        <v>4616.1000000000004</v>
      </c>
      <c r="O59" s="41"/>
      <c r="P59" s="115">
        <v>12</v>
      </c>
      <c r="Q59" s="68">
        <v>28567.23</v>
      </c>
      <c r="R59" s="285">
        <v>16</v>
      </c>
      <c r="S59" s="39">
        <f t="shared" si="3"/>
        <v>39414.53</v>
      </c>
      <c r="T59" s="68">
        <f>2209.2+576.3+13639.1+1921+1921+3438.83+3265.7+1404.9+4415.4+1204.2+5418.9</f>
        <v>39414.53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9</v>
      </c>
      <c r="J60" s="203">
        <v>13</v>
      </c>
      <c r="K60" s="65">
        <v>28160.93</v>
      </c>
      <c r="L60" s="224">
        <v>9</v>
      </c>
      <c r="M60" s="50">
        <f t="shared" si="2"/>
        <v>28160.93</v>
      </c>
      <c r="N60" s="65">
        <v>17478.27</v>
      </c>
      <c r="O60" s="225">
        <v>10682.66</v>
      </c>
      <c r="P60" s="53">
        <v>5</v>
      </c>
      <c r="Q60" s="30">
        <v>13725.08</v>
      </c>
      <c r="R60" s="205">
        <v>5</v>
      </c>
      <c r="S60" s="26">
        <f t="shared" si="3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2"/>
        <v>0</v>
      </c>
      <c r="N61" s="43"/>
      <c r="O61" s="41"/>
      <c r="P61" s="59"/>
      <c r="Q61" s="39"/>
      <c r="R61" s="40"/>
      <c r="S61" s="39">
        <f t="shared" si="3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21</v>
      </c>
      <c r="I62" s="62">
        <v>19</v>
      </c>
      <c r="J62" s="62">
        <v>24</v>
      </c>
      <c r="K62" s="30">
        <v>41959.59</v>
      </c>
      <c r="L62" s="205">
        <v>23</v>
      </c>
      <c r="M62" s="26">
        <f t="shared" si="2"/>
        <v>41030.51</v>
      </c>
      <c r="N62" s="30">
        <v>41030.51</v>
      </c>
      <c r="O62" s="225"/>
      <c r="P62" s="53">
        <v>7</v>
      </c>
      <c r="Q62" s="30">
        <v>47772.9</v>
      </c>
      <c r="R62" s="205">
        <v>7</v>
      </c>
      <c r="S62" s="26">
        <f t="shared" si="3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8</v>
      </c>
      <c r="I63" s="37">
        <v>6</v>
      </c>
      <c r="J63" s="37">
        <v>6</v>
      </c>
      <c r="K63" s="68">
        <v>9085.2999999999993</v>
      </c>
      <c r="L63" s="285">
        <v>3</v>
      </c>
      <c r="M63" s="39">
        <f t="shared" si="2"/>
        <v>3099.4</v>
      </c>
      <c r="N63" s="39">
        <f>1921+576.3+602.1</f>
        <v>3099.4</v>
      </c>
      <c r="O63" s="41"/>
      <c r="P63" s="115">
        <v>1</v>
      </c>
      <c r="Q63" s="68">
        <v>576.29999999999995</v>
      </c>
      <c r="R63" s="285">
        <v>1</v>
      </c>
      <c r="S63" s="39">
        <f t="shared" si="3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42</v>
      </c>
      <c r="I64" s="203">
        <v>38</v>
      </c>
      <c r="J64" s="203">
        <v>58</v>
      </c>
      <c r="K64" s="65">
        <v>116754.9</v>
      </c>
      <c r="L64" s="224">
        <v>53</v>
      </c>
      <c r="M64" s="50">
        <f t="shared" si="2"/>
        <v>107987.3</v>
      </c>
      <c r="N64" s="65">
        <v>107987.3</v>
      </c>
      <c r="O64" s="225"/>
      <c r="P64" s="53">
        <v>36</v>
      </c>
      <c r="Q64" s="30">
        <v>120544.03</v>
      </c>
      <c r="R64" s="205">
        <v>36</v>
      </c>
      <c r="S64" s="26">
        <f t="shared" si="3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2"/>
        <v>0</v>
      </c>
      <c r="N65" s="211"/>
      <c r="O65" s="212"/>
      <c r="P65" s="273"/>
      <c r="Q65" s="211"/>
      <c r="R65" s="210"/>
      <c r="S65" s="211">
        <f t="shared" si="3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19</v>
      </c>
      <c r="I66" s="62">
        <v>13</v>
      </c>
      <c r="J66" s="62">
        <v>14</v>
      </c>
      <c r="K66" s="30">
        <v>16489.689999999999</v>
      </c>
      <c r="L66" s="205">
        <v>12</v>
      </c>
      <c r="M66" s="26">
        <f t="shared" si="2"/>
        <v>15859.09</v>
      </c>
      <c r="N66" s="30">
        <v>13951.52</v>
      </c>
      <c r="O66" s="241">
        <v>1907.57</v>
      </c>
      <c r="P66" s="214"/>
      <c r="Q66" s="30"/>
      <c r="R66" s="27"/>
      <c r="S66" s="26">
        <f t="shared" si="3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10</v>
      </c>
      <c r="I67" s="208">
        <v>2</v>
      </c>
      <c r="J67" s="208">
        <v>2</v>
      </c>
      <c r="K67" s="209">
        <v>6158.86</v>
      </c>
      <c r="L67" s="210"/>
      <c r="M67" s="211">
        <f t="shared" si="2"/>
        <v>0</v>
      </c>
      <c r="N67" s="211"/>
      <c r="O67" s="212"/>
      <c r="P67" s="280"/>
      <c r="Q67" s="209"/>
      <c r="R67" s="210"/>
      <c r="S67" s="211">
        <f t="shared" si="3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7</v>
      </c>
      <c r="J68" s="62">
        <v>8</v>
      </c>
      <c r="K68" s="30">
        <v>18490.03</v>
      </c>
      <c r="L68" s="205">
        <v>7</v>
      </c>
      <c r="M68" s="26">
        <f t="shared" si="2"/>
        <v>18490.03</v>
      </c>
      <c r="N68" s="30">
        <v>13445.23</v>
      </c>
      <c r="O68" s="241">
        <v>5044.8</v>
      </c>
      <c r="P68" s="214"/>
      <c r="Q68" s="30"/>
      <c r="R68" s="27"/>
      <c r="S68" s="26">
        <f t="shared" si="3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10</v>
      </c>
      <c r="I69" s="37">
        <v>3</v>
      </c>
      <c r="J69" s="37">
        <v>3</v>
      </c>
      <c r="K69" s="68">
        <v>5444.78</v>
      </c>
      <c r="L69" s="285">
        <v>1</v>
      </c>
      <c r="M69" s="39">
        <f t="shared" si="2"/>
        <v>2207.6999999999998</v>
      </c>
      <c r="N69" s="39">
        <f>2207.7</f>
        <v>2207.6999999999998</v>
      </c>
      <c r="O69" s="41"/>
      <c r="P69" s="217"/>
      <c r="Q69" s="68"/>
      <c r="R69" s="40"/>
      <c r="S69" s="39">
        <f t="shared" si="3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10</v>
      </c>
      <c r="I70" s="266">
        <v>6</v>
      </c>
      <c r="J70" s="266">
        <v>7</v>
      </c>
      <c r="K70" s="79">
        <v>21315.53</v>
      </c>
      <c r="L70" s="268">
        <v>5</v>
      </c>
      <c r="M70" s="81">
        <f t="shared" si="2"/>
        <v>18350.66</v>
      </c>
      <c r="N70" s="79">
        <v>14670.7</v>
      </c>
      <c r="O70" s="269">
        <v>3679.96</v>
      </c>
      <c r="P70" s="267">
        <v>4</v>
      </c>
      <c r="Q70" s="79">
        <v>8585.01</v>
      </c>
      <c r="R70" s="268">
        <v>4</v>
      </c>
      <c r="S70" s="81">
        <f t="shared" si="3"/>
        <v>8585.01</v>
      </c>
      <c r="T70" s="79">
        <v>8585.01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8</v>
      </c>
      <c r="I71" s="130">
        <v>6</v>
      </c>
      <c r="J71" s="130">
        <v>6</v>
      </c>
      <c r="K71" s="114">
        <v>9712.0300000000007</v>
      </c>
      <c r="L71" s="316">
        <v>5</v>
      </c>
      <c r="M71" s="129">
        <f t="shared" si="2"/>
        <v>7705.0300000000007</v>
      </c>
      <c r="N71" s="43">
        <f>1344.7+1738.48+2113.1+1404.9+1103.85</f>
        <v>7705.0300000000007</v>
      </c>
      <c r="O71" s="45"/>
      <c r="P71" s="113">
        <v>5</v>
      </c>
      <c r="Q71" s="114">
        <v>40999.1</v>
      </c>
      <c r="R71" s="316">
        <v>2</v>
      </c>
      <c r="S71" s="129">
        <f t="shared" si="3"/>
        <v>18827.099999999999</v>
      </c>
      <c r="T71" s="43">
        <f>13446.9+5380.2</f>
        <v>18827.099999999999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2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3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2"/>
        <v>0</v>
      </c>
      <c r="N73" s="39"/>
      <c r="O73" s="41"/>
      <c r="P73" s="69"/>
      <c r="Q73" s="39"/>
      <c r="R73" s="40"/>
      <c r="S73" s="39">
        <f t="shared" si="3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12</v>
      </c>
      <c r="I74" s="203">
        <v>3</v>
      </c>
      <c r="J74" s="203">
        <v>3</v>
      </c>
      <c r="K74" s="65">
        <v>5482.32</v>
      </c>
      <c r="L74" s="224">
        <v>3</v>
      </c>
      <c r="M74" s="50">
        <f t="shared" si="2"/>
        <v>5482.32</v>
      </c>
      <c r="N74" s="65">
        <v>5482.32</v>
      </c>
      <c r="O74" s="31"/>
      <c r="P74" s="108">
        <v>20</v>
      </c>
      <c r="Q74" s="65">
        <v>89755.89</v>
      </c>
      <c r="R74" s="224">
        <v>19</v>
      </c>
      <c r="S74" s="50">
        <f t="shared" si="3"/>
        <v>88488.03</v>
      </c>
      <c r="T74" s="65">
        <v>88488.03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3</v>
      </c>
      <c r="J75" s="130">
        <v>3</v>
      </c>
      <c r="K75" s="114">
        <v>7880.4</v>
      </c>
      <c r="L75" s="270">
        <v>1</v>
      </c>
      <c r="M75" s="43">
        <f t="shared" si="2"/>
        <v>1152.5999999999999</v>
      </c>
      <c r="N75" s="43">
        <f>1152.6</f>
        <v>1152.5999999999999</v>
      </c>
      <c r="O75" s="41"/>
      <c r="P75" s="113">
        <v>1</v>
      </c>
      <c r="Q75" s="114">
        <v>2881.5</v>
      </c>
      <c r="R75" s="270">
        <v>4</v>
      </c>
      <c r="S75" s="43">
        <f t="shared" si="3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19</v>
      </c>
      <c r="I76" s="62">
        <v>15</v>
      </c>
      <c r="J76" s="62">
        <v>18</v>
      </c>
      <c r="K76" s="30">
        <v>39512.44</v>
      </c>
      <c r="L76" s="205">
        <v>14</v>
      </c>
      <c r="M76" s="26">
        <f t="shared" si="2"/>
        <v>39512.44</v>
      </c>
      <c r="N76" s="30">
        <v>36070.71</v>
      </c>
      <c r="O76" s="225">
        <v>3441.73</v>
      </c>
      <c r="P76" s="29">
        <v>6</v>
      </c>
      <c r="Q76" s="30">
        <v>10539.19</v>
      </c>
      <c r="R76" s="205">
        <v>5</v>
      </c>
      <c r="S76" s="26">
        <f t="shared" si="3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7</v>
      </c>
      <c r="I77" s="37">
        <v>3</v>
      </c>
      <c r="J77" s="37">
        <v>3</v>
      </c>
      <c r="K77" s="68">
        <v>10490.7</v>
      </c>
      <c r="L77" s="285">
        <v>1</v>
      </c>
      <c r="M77" s="39">
        <f t="shared" si="2"/>
        <v>3532.32</v>
      </c>
      <c r="N77" s="39">
        <f>3532.32</f>
        <v>3532.32</v>
      </c>
      <c r="O77" s="41"/>
      <c r="P77" s="67">
        <v>1</v>
      </c>
      <c r="Q77" s="68">
        <v>9031.5</v>
      </c>
      <c r="R77" s="40"/>
      <c r="S77" s="39">
        <f t="shared" si="3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2"/>
        <v>633.92999999999995</v>
      </c>
      <c r="N78" s="65">
        <v>633.92999999999995</v>
      </c>
      <c r="O78" s="225"/>
      <c r="P78" s="123"/>
      <c r="Q78" s="50"/>
      <c r="R78" s="51"/>
      <c r="S78" s="50">
        <f t="shared" si="3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2"/>
        <v>0</v>
      </c>
      <c r="N79" s="43"/>
      <c r="O79" s="41"/>
      <c r="P79" s="103"/>
      <c r="Q79" s="43"/>
      <c r="R79" s="44"/>
      <c r="S79" s="43">
        <f t="shared" si="3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15</v>
      </c>
      <c r="I80" s="62">
        <v>10</v>
      </c>
      <c r="J80" s="62">
        <v>16</v>
      </c>
      <c r="K80" s="30">
        <v>30852.05</v>
      </c>
      <c r="L80" s="205">
        <v>14</v>
      </c>
      <c r="M80" s="26">
        <f t="shared" si="2"/>
        <v>30852.050000000003</v>
      </c>
      <c r="N80" s="30">
        <v>25458.38</v>
      </c>
      <c r="O80" s="225">
        <v>5393.67</v>
      </c>
      <c r="P80" s="53">
        <v>4</v>
      </c>
      <c r="Q80" s="30">
        <v>8354.5499999999993</v>
      </c>
      <c r="R80" s="205">
        <v>3</v>
      </c>
      <c r="S80" s="26">
        <f t="shared" si="3"/>
        <v>8354.5499999999993</v>
      </c>
      <c r="T80" s="30">
        <v>6335.58</v>
      </c>
      <c r="U80" s="225">
        <v>2018.97</v>
      </c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6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2</v>
      </c>
      <c r="S81" s="68">
        <v>8429.4</v>
      </c>
      <c r="T81" s="68">
        <v>8429.4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15</v>
      </c>
      <c r="I82" s="203">
        <v>10</v>
      </c>
      <c r="J82" s="203">
        <v>15</v>
      </c>
      <c r="K82" s="158">
        <v>41592.300000000003</v>
      </c>
      <c r="L82" s="224">
        <v>14</v>
      </c>
      <c r="M82" s="50">
        <f t="shared" ref="M82:M98" si="4">N82+O82</f>
        <v>41592.300000000003</v>
      </c>
      <c r="N82" s="65">
        <v>36747.9</v>
      </c>
      <c r="O82" s="225">
        <v>4844.3999999999996</v>
      </c>
      <c r="P82" s="108">
        <v>14</v>
      </c>
      <c r="Q82" s="65">
        <v>56897.919999999998</v>
      </c>
      <c r="R82" s="224">
        <v>13</v>
      </c>
      <c r="S82" s="50">
        <f t="shared" ref="S82:S98" si="5">T82+U82</f>
        <v>56897.919999999998</v>
      </c>
      <c r="T82" s="65">
        <v>52889.43</v>
      </c>
      <c r="U82" s="225">
        <v>4008.49</v>
      </c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4"/>
        <v>0</v>
      </c>
      <c r="N83" s="43"/>
      <c r="O83" s="41"/>
      <c r="P83" s="103"/>
      <c r="Q83" s="43"/>
      <c r="R83" s="44"/>
      <c r="S83" s="43">
        <f t="shared" si="5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51</v>
      </c>
      <c r="I84" s="62">
        <v>51</v>
      </c>
      <c r="J84" s="62">
        <v>80</v>
      </c>
      <c r="K84" s="30">
        <v>161590.03</v>
      </c>
      <c r="L84" s="205">
        <v>64</v>
      </c>
      <c r="M84" s="26">
        <f t="shared" si="4"/>
        <v>159685.93</v>
      </c>
      <c r="N84" s="30">
        <v>130892.7</v>
      </c>
      <c r="O84" s="225">
        <v>28793.23</v>
      </c>
      <c r="P84" s="29">
        <v>26</v>
      </c>
      <c r="Q84" s="30">
        <v>88379.58</v>
      </c>
      <c r="R84" s="205">
        <v>26</v>
      </c>
      <c r="S84" s="26">
        <f t="shared" si="5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4"/>
        <v>0</v>
      </c>
      <c r="N85" s="211"/>
      <c r="O85" s="212"/>
      <c r="P85" s="284"/>
      <c r="Q85" s="211"/>
      <c r="R85" s="210"/>
      <c r="S85" s="211">
        <f t="shared" si="5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12</v>
      </c>
      <c r="I86" s="62">
        <v>8</v>
      </c>
      <c r="J86" s="62">
        <v>8</v>
      </c>
      <c r="K86" s="30">
        <v>15378.24</v>
      </c>
      <c r="L86" s="205">
        <v>8</v>
      </c>
      <c r="M86" s="26">
        <f t="shared" si="4"/>
        <v>15378.24</v>
      </c>
      <c r="N86" s="30">
        <v>15378.24</v>
      </c>
      <c r="O86" s="28"/>
      <c r="P86" s="214"/>
      <c r="Q86" s="30"/>
      <c r="R86" s="27"/>
      <c r="S86" s="26">
        <f t="shared" si="5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9</v>
      </c>
      <c r="I87" s="208">
        <v>2</v>
      </c>
      <c r="J87" s="208">
        <v>2</v>
      </c>
      <c r="K87" s="209">
        <v>8727.6</v>
      </c>
      <c r="L87" s="290">
        <v>1</v>
      </c>
      <c r="M87" s="211">
        <f t="shared" si="4"/>
        <v>2305.1999999999998</v>
      </c>
      <c r="N87" s="211">
        <f>2305.2</f>
        <v>2305.1999999999998</v>
      </c>
      <c r="O87" s="212"/>
      <c r="P87" s="280"/>
      <c r="Q87" s="209"/>
      <c r="R87" s="210"/>
      <c r="S87" s="211">
        <f t="shared" si="5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4"/>
        <v>0</v>
      </c>
      <c r="N88" s="26"/>
      <c r="O88" s="28"/>
      <c r="P88" s="214"/>
      <c r="Q88" s="30"/>
      <c r="R88" s="27"/>
      <c r="S88" s="26">
        <f t="shared" si="5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4"/>
        <v>0</v>
      </c>
      <c r="N89" s="39"/>
      <c r="O89" s="41"/>
      <c r="P89" s="217"/>
      <c r="Q89" s="68"/>
      <c r="R89" s="40"/>
      <c r="S89" s="39">
        <f t="shared" si="5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21</v>
      </c>
      <c r="I90" s="266">
        <v>15</v>
      </c>
      <c r="J90" s="266">
        <v>25</v>
      </c>
      <c r="K90" s="79">
        <v>42934.720000000001</v>
      </c>
      <c r="L90" s="268">
        <v>21</v>
      </c>
      <c r="M90" s="81">
        <f t="shared" si="4"/>
        <v>42934.720000000001</v>
      </c>
      <c r="N90" s="79">
        <v>35545.67</v>
      </c>
      <c r="O90" s="269">
        <v>7389.05</v>
      </c>
      <c r="P90" s="267">
        <v>13</v>
      </c>
      <c r="Q90" s="79">
        <v>30417.55</v>
      </c>
      <c r="R90" s="268">
        <v>11</v>
      </c>
      <c r="S90" s="81">
        <f t="shared" si="5"/>
        <v>30417.55</v>
      </c>
      <c r="T90" s="79">
        <v>29497.05</v>
      </c>
      <c r="U90" s="269">
        <v>920.5</v>
      </c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4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4"/>
        <v>1344.7</v>
      </c>
      <c r="N91" s="114">
        <v>1344.7</v>
      </c>
      <c r="O91" s="234"/>
      <c r="P91" s="103"/>
      <c r="Q91" s="43"/>
      <c r="R91" s="44"/>
      <c r="S91" s="43">
        <f t="shared" si="5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4"/>
        <v>0</v>
      </c>
      <c r="N92" s="26"/>
      <c r="O92" s="31"/>
      <c r="P92" s="120"/>
      <c r="Q92" s="26"/>
      <c r="R92" s="27"/>
      <c r="S92" s="26">
        <f t="shared" si="5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4"/>
        <v>0</v>
      </c>
      <c r="N93" s="39"/>
      <c r="O93" s="41"/>
      <c r="P93" s="69"/>
      <c r="Q93" s="39"/>
      <c r="R93" s="40"/>
      <c r="S93" s="39">
        <f t="shared" si="5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4"/>
        <v>0</v>
      </c>
      <c r="N94" s="50"/>
      <c r="O94" s="31"/>
      <c r="P94" s="108">
        <v>1</v>
      </c>
      <c r="Q94" s="65">
        <v>405.02</v>
      </c>
      <c r="R94" s="51"/>
      <c r="S94" s="50">
        <f t="shared" si="5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4"/>
        <v>0</v>
      </c>
      <c r="N95" s="43"/>
      <c r="O95" s="41"/>
      <c r="P95" s="103"/>
      <c r="Q95" s="43"/>
      <c r="R95" s="44"/>
      <c r="S95" s="43">
        <f t="shared" si="5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4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5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4"/>
        <v>0</v>
      </c>
      <c r="N97" s="43"/>
      <c r="O97" s="41"/>
      <c r="P97" s="103"/>
      <c r="Q97" s="43"/>
      <c r="R97" s="44"/>
      <c r="S97" s="43">
        <f t="shared" si="5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29</v>
      </c>
      <c r="I98" s="62">
        <v>22</v>
      </c>
      <c r="J98" s="62">
        <v>29</v>
      </c>
      <c r="K98" s="30">
        <v>49322.99</v>
      </c>
      <c r="L98" s="205">
        <v>24</v>
      </c>
      <c r="M98" s="26">
        <f t="shared" si="4"/>
        <v>49322.990000000005</v>
      </c>
      <c r="N98" s="30">
        <v>42965.08</v>
      </c>
      <c r="O98" s="225">
        <v>6357.91</v>
      </c>
      <c r="P98" s="53">
        <v>11</v>
      </c>
      <c r="Q98" s="30">
        <v>38951.43</v>
      </c>
      <c r="R98" s="205">
        <v>11</v>
      </c>
      <c r="S98" s="26">
        <f t="shared" si="5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12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3</v>
      </c>
      <c r="M100" s="50">
        <f>N100+O100</f>
        <v>5605.94</v>
      </c>
      <c r="N100" s="65">
        <v>5605.94</v>
      </c>
      <c r="O100" s="31"/>
      <c r="P100" s="108">
        <v>13</v>
      </c>
      <c r="Q100" s="65">
        <v>148055.10999999999</v>
      </c>
      <c r="R100" s="224">
        <v>11</v>
      </c>
      <c r="S100" s="50">
        <f t="shared" ref="S100:S108" si="6">T100+U100</f>
        <v>148055.10999999999</v>
      </c>
      <c r="T100" s="65">
        <v>118841.12</v>
      </c>
      <c r="U100" s="225">
        <v>29213.99</v>
      </c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5</v>
      </c>
      <c r="I101" s="130">
        <v>3</v>
      </c>
      <c r="J101" s="130">
        <v>3</v>
      </c>
      <c r="K101" s="114">
        <v>3151</v>
      </c>
      <c r="L101" s="270">
        <v>2</v>
      </c>
      <c r="M101" s="114">
        <v>1344.7</v>
      </c>
      <c r="N101" s="114">
        <f>1344.7+1204.2</f>
        <v>2548.9</v>
      </c>
      <c r="O101" s="41"/>
      <c r="P101" s="113">
        <v>1</v>
      </c>
      <c r="Q101" s="114">
        <v>1404.9</v>
      </c>
      <c r="R101" s="270">
        <v>1</v>
      </c>
      <c r="S101" s="43">
        <f t="shared" si="6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8</v>
      </c>
      <c r="I102" s="62">
        <v>3</v>
      </c>
      <c r="J102" s="62">
        <v>5</v>
      </c>
      <c r="K102" s="30">
        <v>12802.23</v>
      </c>
      <c r="L102" s="205">
        <v>4</v>
      </c>
      <c r="M102" s="26">
        <f t="shared" ref="M102:M108" si="7">N102+O102</f>
        <v>12802.23</v>
      </c>
      <c r="N102" s="30">
        <v>8733.91</v>
      </c>
      <c r="O102" s="225">
        <v>4068.32</v>
      </c>
      <c r="P102" s="53">
        <v>10</v>
      </c>
      <c r="Q102" s="30">
        <v>63373.52</v>
      </c>
      <c r="R102" s="205">
        <v>10</v>
      </c>
      <c r="S102" s="26">
        <f t="shared" si="6"/>
        <v>63373.52</v>
      </c>
      <c r="T102" s="30">
        <v>63373.52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3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7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6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7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6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38"/>
      <c r="J105" s="38"/>
      <c r="K105" s="39"/>
      <c r="L105" s="40"/>
      <c r="M105" s="39">
        <f t="shared" si="7"/>
        <v>0</v>
      </c>
      <c r="N105" s="39"/>
      <c r="O105" s="41"/>
      <c r="P105" s="59"/>
      <c r="Q105" s="39"/>
      <c r="R105" s="40"/>
      <c r="S105" s="39">
        <f t="shared" si="6"/>
        <v>0</v>
      </c>
      <c r="T105" s="39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85</v>
      </c>
      <c r="C106" s="374" t="s">
        <v>22</v>
      </c>
      <c r="D106" s="374"/>
      <c r="E106" s="374" t="s">
        <v>27</v>
      </c>
      <c r="F106" s="204" t="s">
        <v>501</v>
      </c>
      <c r="G106" s="176" t="s">
        <v>24</v>
      </c>
      <c r="H106" s="48"/>
      <c r="I106" s="266"/>
      <c r="J106" s="266"/>
      <c r="K106" s="79"/>
      <c r="L106" s="268"/>
      <c r="M106" s="361">
        <f t="shared" si="7"/>
        <v>0</v>
      </c>
      <c r="N106" s="79"/>
      <c r="O106" s="82"/>
      <c r="P106" s="267">
        <v>2</v>
      </c>
      <c r="Q106" s="79">
        <v>40923.599999999999</v>
      </c>
      <c r="R106" s="268">
        <v>1</v>
      </c>
      <c r="S106" s="361">
        <f t="shared" si="6"/>
        <v>37459.5</v>
      </c>
      <c r="T106" s="79">
        <v>37459.5</v>
      </c>
      <c r="U106" s="336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305"/>
      <c r="G107" s="229" t="s">
        <v>28</v>
      </c>
      <c r="H107" s="353"/>
      <c r="I107" s="231"/>
      <c r="J107" s="231"/>
      <c r="K107" s="91"/>
      <c r="L107" s="330"/>
      <c r="M107" s="43">
        <f t="shared" si="7"/>
        <v>0</v>
      </c>
      <c r="N107" s="91"/>
      <c r="O107" s="89"/>
      <c r="P107" s="329"/>
      <c r="Q107" s="91"/>
      <c r="R107" s="330"/>
      <c r="S107" s="43">
        <f t="shared" si="6"/>
        <v>0</v>
      </c>
      <c r="T107" s="91"/>
      <c r="U107" s="342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94</v>
      </c>
      <c r="C108" s="374" t="s">
        <v>39</v>
      </c>
      <c r="D108" s="374" t="s">
        <v>95</v>
      </c>
      <c r="E108" s="374" t="s">
        <v>96</v>
      </c>
      <c r="F108" s="204" t="s">
        <v>292</v>
      </c>
      <c r="G108" s="176" t="s">
        <v>24</v>
      </c>
      <c r="H108" s="265">
        <v>10</v>
      </c>
      <c r="I108" s="62">
        <v>7</v>
      </c>
      <c r="J108" s="62">
        <v>9</v>
      </c>
      <c r="K108" s="30">
        <v>27530.720000000001</v>
      </c>
      <c r="L108" s="205">
        <v>8</v>
      </c>
      <c r="M108" s="26">
        <f t="shared" si="7"/>
        <v>27530.720000000001</v>
      </c>
      <c r="N108" s="30">
        <v>20920.14</v>
      </c>
      <c r="O108" s="269">
        <v>6610.58</v>
      </c>
      <c r="P108" s="53">
        <v>28</v>
      </c>
      <c r="Q108" s="30">
        <v>97450.12</v>
      </c>
      <c r="R108" s="205">
        <v>28</v>
      </c>
      <c r="S108" s="26">
        <f t="shared" si="6"/>
        <v>97450.12</v>
      </c>
      <c r="T108" s="30">
        <v>97450.12</v>
      </c>
      <c r="U108" s="269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293</v>
      </c>
      <c r="G109" s="307" t="s">
        <v>25</v>
      </c>
      <c r="H109" s="112">
        <v>11</v>
      </c>
      <c r="I109" s="130">
        <v>8</v>
      </c>
      <c r="J109" s="130">
        <v>8</v>
      </c>
      <c r="K109" s="114">
        <v>10899.4</v>
      </c>
      <c r="L109" s="270">
        <v>8</v>
      </c>
      <c r="M109" s="114">
        <v>10899.4</v>
      </c>
      <c r="N109" s="114">
        <v>10899.4</v>
      </c>
      <c r="O109" s="234"/>
      <c r="P109" s="113">
        <v>13</v>
      </c>
      <c r="Q109" s="114">
        <v>27922.92</v>
      </c>
      <c r="R109" s="270">
        <v>12</v>
      </c>
      <c r="S109" s="114">
        <v>26451.52</v>
      </c>
      <c r="T109" s="114">
        <v>26451.52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97</v>
      </c>
      <c r="C110" s="374" t="s">
        <v>22</v>
      </c>
      <c r="D110" s="374"/>
      <c r="E110" s="374" t="s">
        <v>27</v>
      </c>
      <c r="F110" s="232" t="s">
        <v>406</v>
      </c>
      <c r="G110" s="176" t="s">
        <v>24</v>
      </c>
      <c r="H110" s="248">
        <v>10</v>
      </c>
      <c r="I110" s="62">
        <v>10</v>
      </c>
      <c r="J110" s="62">
        <v>10</v>
      </c>
      <c r="K110" s="30">
        <v>9417.3799999999992</v>
      </c>
      <c r="L110" s="205">
        <v>7</v>
      </c>
      <c r="M110" s="26">
        <f t="shared" ref="M110:M125" si="8">N110+O110</f>
        <v>6110.93</v>
      </c>
      <c r="N110" s="30">
        <v>6110.93</v>
      </c>
      <c r="O110" s="225"/>
      <c r="P110" s="53">
        <v>7</v>
      </c>
      <c r="Q110" s="30">
        <v>12035.94</v>
      </c>
      <c r="R110" s="205">
        <v>7</v>
      </c>
      <c r="S110" s="26">
        <f t="shared" ref="S110:S143" si="9">T110+U110</f>
        <v>12035.94</v>
      </c>
      <c r="T110" s="30">
        <v>12035.94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294</v>
      </c>
      <c r="G111" s="229" t="s">
        <v>28</v>
      </c>
      <c r="H111" s="251">
        <v>7</v>
      </c>
      <c r="I111" s="208">
        <v>4</v>
      </c>
      <c r="J111" s="208">
        <v>4</v>
      </c>
      <c r="K111" s="209">
        <v>5955.1</v>
      </c>
      <c r="L111" s="290">
        <v>4</v>
      </c>
      <c r="M111" s="211">
        <f t="shared" si="8"/>
        <v>5955.0999999999995</v>
      </c>
      <c r="N111" s="209">
        <f>1344.7+3265.7+1344.7</f>
        <v>5955.0999999999995</v>
      </c>
      <c r="O111" s="212"/>
      <c r="P111" s="103"/>
      <c r="Q111" s="43"/>
      <c r="R111" s="270">
        <v>1</v>
      </c>
      <c r="S111" s="43">
        <f t="shared" si="9"/>
        <v>2209.15</v>
      </c>
      <c r="T111" s="114">
        <v>2209.15</v>
      </c>
      <c r="U111" s="23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6"/>
      <c r="B112" s="377" t="s">
        <v>98</v>
      </c>
      <c r="C112" s="377" t="s">
        <v>39</v>
      </c>
      <c r="D112" s="377" t="s">
        <v>270</v>
      </c>
      <c r="E112" s="377" t="s">
        <v>99</v>
      </c>
      <c r="F112" s="232" t="s">
        <v>271</v>
      </c>
      <c r="G112" s="73" t="s">
        <v>24</v>
      </c>
      <c r="H112" s="24">
        <v>20</v>
      </c>
      <c r="I112" s="62">
        <v>15</v>
      </c>
      <c r="J112" s="62">
        <v>22</v>
      </c>
      <c r="K112" s="30">
        <v>61147.86</v>
      </c>
      <c r="L112" s="205">
        <v>16</v>
      </c>
      <c r="M112" s="26">
        <f t="shared" si="8"/>
        <v>60454.2</v>
      </c>
      <c r="N112" s="30">
        <v>29995.7</v>
      </c>
      <c r="O112" s="241">
        <v>30458.5</v>
      </c>
      <c r="P112" s="214">
        <v>14</v>
      </c>
      <c r="Q112" s="30">
        <v>75827.070000000007</v>
      </c>
      <c r="R112" s="205">
        <v>14</v>
      </c>
      <c r="S112" s="26">
        <f t="shared" si="9"/>
        <v>75827.070000000007</v>
      </c>
      <c r="T112" s="30">
        <v>75827.070000000007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295</v>
      </c>
      <c r="G113" s="215" t="s">
        <v>28</v>
      </c>
      <c r="H113" s="66">
        <v>11</v>
      </c>
      <c r="I113" s="286">
        <v>7</v>
      </c>
      <c r="J113" s="286">
        <v>7</v>
      </c>
      <c r="K113" s="287">
        <v>21767.4</v>
      </c>
      <c r="L113" s="315">
        <v>7</v>
      </c>
      <c r="M113" s="39">
        <f t="shared" si="8"/>
        <v>21767.4</v>
      </c>
      <c r="N113" s="39">
        <f>1921+3073.6+1921+3010.5+1404.9+2408.4+8028</f>
        <v>21767.4</v>
      </c>
      <c r="O113" s="41"/>
      <c r="P113" s="217">
        <v>4</v>
      </c>
      <c r="Q113" s="37">
        <v>19940.650000000001</v>
      </c>
      <c r="R113" s="285">
        <v>4</v>
      </c>
      <c r="S113" s="39">
        <f t="shared" si="9"/>
        <v>21093.25</v>
      </c>
      <c r="T113" s="68">
        <f>1056.55+3457.8+4226.2+12352.7</f>
        <v>21093.25</v>
      </c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100</v>
      </c>
      <c r="C114" s="374" t="s">
        <v>39</v>
      </c>
      <c r="D114" s="381" t="s">
        <v>296</v>
      </c>
      <c r="E114" s="381" t="s">
        <v>27</v>
      </c>
      <c r="F114" s="223" t="s">
        <v>297</v>
      </c>
      <c r="G114" s="47" t="s">
        <v>24</v>
      </c>
      <c r="H114" s="218"/>
      <c r="I114" s="96"/>
      <c r="J114" s="96"/>
      <c r="K114" s="81"/>
      <c r="L114" s="80"/>
      <c r="M114" s="81">
        <f t="shared" si="8"/>
        <v>0</v>
      </c>
      <c r="N114" s="81"/>
      <c r="O114" s="219"/>
      <c r="P114" s="108">
        <v>4</v>
      </c>
      <c r="Q114" s="65">
        <v>17684.7</v>
      </c>
      <c r="R114" s="224">
        <v>4</v>
      </c>
      <c r="S114" s="50">
        <f t="shared" si="9"/>
        <v>17684.7</v>
      </c>
      <c r="T114" s="65">
        <v>17684.7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220" t="s">
        <v>298</v>
      </c>
      <c r="G115" s="35" t="s">
        <v>28</v>
      </c>
      <c r="H115" s="133">
        <v>5</v>
      </c>
      <c r="I115" s="37">
        <v>1</v>
      </c>
      <c r="J115" s="37">
        <v>1</v>
      </c>
      <c r="K115" s="68">
        <v>864.45</v>
      </c>
      <c r="L115" s="285">
        <v>1</v>
      </c>
      <c r="M115" s="39">
        <f t="shared" si="8"/>
        <v>864.15</v>
      </c>
      <c r="N115" s="39">
        <f>864.15</f>
        <v>864.15</v>
      </c>
      <c r="O115" s="41"/>
      <c r="P115" s="115">
        <v>1</v>
      </c>
      <c r="Q115" s="68">
        <v>1152.5999999999999</v>
      </c>
      <c r="R115" s="40"/>
      <c r="S115" s="39">
        <f t="shared" si="9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102</v>
      </c>
      <c r="C116" s="381" t="s">
        <v>22</v>
      </c>
      <c r="D116" s="381"/>
      <c r="E116" s="381" t="s">
        <v>67</v>
      </c>
      <c r="F116" s="223" t="s">
        <v>272</v>
      </c>
      <c r="G116" s="23" t="s">
        <v>24</v>
      </c>
      <c r="H116" s="48">
        <v>15</v>
      </c>
      <c r="I116" s="203">
        <v>13</v>
      </c>
      <c r="J116" s="203">
        <v>14</v>
      </c>
      <c r="K116" s="65">
        <v>26478.959999999999</v>
      </c>
      <c r="L116" s="224">
        <v>13</v>
      </c>
      <c r="M116" s="50">
        <f t="shared" si="8"/>
        <v>26478.959999999999</v>
      </c>
      <c r="N116" s="65">
        <v>23143.51</v>
      </c>
      <c r="O116" s="225">
        <v>3335.45</v>
      </c>
      <c r="P116" s="108">
        <v>12</v>
      </c>
      <c r="Q116" s="65">
        <v>49261.74</v>
      </c>
      <c r="R116" s="224">
        <v>12</v>
      </c>
      <c r="S116" s="50">
        <f t="shared" si="9"/>
        <v>49261.74</v>
      </c>
      <c r="T116" s="65">
        <v>49261.74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9"/>
      <c r="B117" s="380"/>
      <c r="C117" s="380"/>
      <c r="D117" s="380"/>
      <c r="E117" s="380"/>
      <c r="F117" s="220" t="s">
        <v>299</v>
      </c>
      <c r="G117" s="55" t="s">
        <v>28</v>
      </c>
      <c r="H117" s="153">
        <v>10</v>
      </c>
      <c r="I117" s="130">
        <v>6</v>
      </c>
      <c r="J117" s="130">
        <v>6</v>
      </c>
      <c r="K117" s="114">
        <v>13482.3</v>
      </c>
      <c r="L117" s="316">
        <v>6</v>
      </c>
      <c r="M117" s="50">
        <f t="shared" si="8"/>
        <v>5770.3</v>
      </c>
      <c r="N117" s="43">
        <f>1290.6+1152.6+1290.6+694.3+602.1+740.1</f>
        <v>5770.3</v>
      </c>
      <c r="O117" s="41"/>
      <c r="P117" s="113">
        <v>3</v>
      </c>
      <c r="Q117" s="114">
        <v>14347.1</v>
      </c>
      <c r="R117" s="270">
        <v>4</v>
      </c>
      <c r="S117" s="43">
        <f t="shared" si="9"/>
        <v>19149.900000000001</v>
      </c>
      <c r="T117" s="114">
        <f>4358.2+3649.9+4802.5+6339.3</f>
        <v>19149.900000000001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103</v>
      </c>
      <c r="C118" s="374" t="s">
        <v>22</v>
      </c>
      <c r="D118" s="374"/>
      <c r="E118" s="374" t="s">
        <v>67</v>
      </c>
      <c r="F118" s="232" t="s">
        <v>407</v>
      </c>
      <c r="G118" s="23" t="s">
        <v>24</v>
      </c>
      <c r="H118" s="48">
        <v>8</v>
      </c>
      <c r="I118" s="62">
        <v>5</v>
      </c>
      <c r="J118" s="62">
        <v>6</v>
      </c>
      <c r="K118" s="30">
        <v>9672.5400000000009</v>
      </c>
      <c r="L118" s="205">
        <v>5</v>
      </c>
      <c r="M118" s="26">
        <f t="shared" si="8"/>
        <v>9672.5400000000009</v>
      </c>
      <c r="N118" s="30">
        <v>8528</v>
      </c>
      <c r="O118" s="225">
        <v>1144.54</v>
      </c>
      <c r="P118" s="53">
        <v>6</v>
      </c>
      <c r="Q118" s="30">
        <v>12782.06</v>
      </c>
      <c r="R118" s="205">
        <v>6</v>
      </c>
      <c r="S118" s="26">
        <f t="shared" si="9"/>
        <v>12782.06</v>
      </c>
      <c r="T118" s="30">
        <v>12782.06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220" t="s">
        <v>300</v>
      </c>
      <c r="G119" s="35" t="s">
        <v>28</v>
      </c>
      <c r="H119" s="133">
        <v>7</v>
      </c>
      <c r="I119" s="37">
        <v>7</v>
      </c>
      <c r="J119" s="37">
        <v>8</v>
      </c>
      <c r="K119" s="68">
        <v>18950.099999999999</v>
      </c>
      <c r="L119" s="285">
        <v>6</v>
      </c>
      <c r="M119" s="39">
        <f t="shared" si="8"/>
        <v>17111.8</v>
      </c>
      <c r="N119" s="39">
        <f>1580.8+3353.7+4415.4+1404.9+762.1+5594.9</f>
        <v>17111.8</v>
      </c>
      <c r="O119" s="41"/>
      <c r="P119" s="115">
        <v>3</v>
      </c>
      <c r="Q119" s="68">
        <v>4092.9</v>
      </c>
      <c r="R119" s="285">
        <v>3</v>
      </c>
      <c r="S119" s="39">
        <f t="shared" si="9"/>
        <v>8836.6</v>
      </c>
      <c r="T119" s="39">
        <f>5378.8+1344.7+2113.1</f>
        <v>8836.6</v>
      </c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104</v>
      </c>
      <c r="C120" s="374" t="s">
        <v>39</v>
      </c>
      <c r="D120" s="374" t="s">
        <v>301</v>
      </c>
      <c r="E120" s="374" t="s">
        <v>27</v>
      </c>
      <c r="F120" s="204" t="s">
        <v>302</v>
      </c>
      <c r="G120" s="176" t="s">
        <v>24</v>
      </c>
      <c r="H120" s="48">
        <v>28</v>
      </c>
      <c r="I120" s="203">
        <v>22</v>
      </c>
      <c r="J120" s="203">
        <v>29</v>
      </c>
      <c r="K120" s="65">
        <v>80041.98</v>
      </c>
      <c r="L120" s="224">
        <v>23</v>
      </c>
      <c r="M120" s="50">
        <f t="shared" si="8"/>
        <v>80041.98</v>
      </c>
      <c r="N120" s="65">
        <v>56337.54</v>
      </c>
      <c r="O120" s="225">
        <v>23704.44</v>
      </c>
      <c r="P120" s="108">
        <v>25</v>
      </c>
      <c r="Q120" s="65">
        <v>109305.7</v>
      </c>
      <c r="R120" s="224">
        <v>22</v>
      </c>
      <c r="S120" s="50">
        <f t="shared" si="9"/>
        <v>109305.7</v>
      </c>
      <c r="T120" s="65">
        <v>103740.81</v>
      </c>
      <c r="U120" s="225">
        <v>5564.89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229" t="s">
        <v>28</v>
      </c>
      <c r="H121" s="116"/>
      <c r="I121" s="57"/>
      <c r="J121" s="57"/>
      <c r="K121" s="43"/>
      <c r="L121" s="44"/>
      <c r="M121" s="43">
        <f t="shared" si="8"/>
        <v>0</v>
      </c>
      <c r="N121" s="43"/>
      <c r="O121" s="41"/>
      <c r="P121" s="113">
        <v>1</v>
      </c>
      <c r="Q121" s="114">
        <v>1545.39</v>
      </c>
      <c r="R121" s="44"/>
      <c r="S121" s="43">
        <f t="shared" si="9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106</v>
      </c>
      <c r="C122" s="377" t="s">
        <v>39</v>
      </c>
      <c r="D122" s="374" t="s">
        <v>107</v>
      </c>
      <c r="E122" s="374" t="s">
        <v>27</v>
      </c>
      <c r="F122" s="232" t="s">
        <v>366</v>
      </c>
      <c r="G122" s="23" t="s">
        <v>24</v>
      </c>
      <c r="H122" s="48">
        <v>10</v>
      </c>
      <c r="I122" s="62">
        <v>9</v>
      </c>
      <c r="J122" s="62">
        <v>9</v>
      </c>
      <c r="K122" s="30">
        <v>7593.07</v>
      </c>
      <c r="L122" s="205">
        <v>9</v>
      </c>
      <c r="M122" s="26">
        <f t="shared" si="8"/>
        <v>7593.07</v>
      </c>
      <c r="N122" s="30">
        <v>7593.07</v>
      </c>
      <c r="O122" s="31"/>
      <c r="P122" s="53">
        <v>13</v>
      </c>
      <c r="Q122" s="30">
        <v>84835.68</v>
      </c>
      <c r="R122" s="205">
        <v>12</v>
      </c>
      <c r="S122" s="26">
        <f t="shared" si="9"/>
        <v>84835.68</v>
      </c>
      <c r="T122" s="30">
        <v>83574.48</v>
      </c>
      <c r="U122" s="225">
        <v>1261.2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233</v>
      </c>
      <c r="G123" s="227" t="s">
        <v>28</v>
      </c>
      <c r="H123" s="153">
        <v>6</v>
      </c>
      <c r="I123" s="130">
        <v>5</v>
      </c>
      <c r="J123" s="130">
        <v>5</v>
      </c>
      <c r="K123" s="114">
        <v>1535.36</v>
      </c>
      <c r="L123" s="270">
        <v>1</v>
      </c>
      <c r="M123" s="43">
        <f t="shared" si="8"/>
        <v>576.29999999999995</v>
      </c>
      <c r="N123" s="43">
        <f>576.3</f>
        <v>576.29999999999995</v>
      </c>
      <c r="O123" s="41"/>
      <c r="P123" s="113">
        <v>5</v>
      </c>
      <c r="Q123" s="114">
        <v>5892</v>
      </c>
      <c r="R123" s="270">
        <v>2</v>
      </c>
      <c r="S123" s="43">
        <f t="shared" si="9"/>
        <v>2881.5</v>
      </c>
      <c r="T123" s="57">
        <f>576.3+2305.2</f>
        <v>2881.5</v>
      </c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108</v>
      </c>
      <c r="C124" s="374" t="s">
        <v>46</v>
      </c>
      <c r="D124" s="374" t="s">
        <v>109</v>
      </c>
      <c r="E124" s="374" t="s">
        <v>27</v>
      </c>
      <c r="F124" s="204" t="s">
        <v>273</v>
      </c>
      <c r="G124" s="176" t="s">
        <v>24</v>
      </c>
      <c r="H124" s="151">
        <v>19</v>
      </c>
      <c r="I124" s="62">
        <v>16</v>
      </c>
      <c r="J124" s="62">
        <v>17</v>
      </c>
      <c r="K124" s="30">
        <v>18761.5</v>
      </c>
      <c r="L124" s="205">
        <v>14</v>
      </c>
      <c r="M124" s="26">
        <f t="shared" si="8"/>
        <v>18761.5</v>
      </c>
      <c r="N124" s="30">
        <v>12003.49</v>
      </c>
      <c r="O124" s="225">
        <v>6758.01</v>
      </c>
      <c r="P124" s="53">
        <v>10</v>
      </c>
      <c r="Q124" s="30">
        <v>47934.79</v>
      </c>
      <c r="R124" s="205">
        <v>9</v>
      </c>
      <c r="S124" s="26">
        <f t="shared" si="9"/>
        <v>34430.15</v>
      </c>
      <c r="T124" s="30">
        <v>34430.15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87"/>
      <c r="B125" s="386"/>
      <c r="C125" s="386"/>
      <c r="D125" s="386"/>
      <c r="E125" s="386"/>
      <c r="F125" s="235" t="s">
        <v>234</v>
      </c>
      <c r="G125" s="252" t="s">
        <v>28</v>
      </c>
      <c r="H125" s="48">
        <v>8</v>
      </c>
      <c r="I125" s="246">
        <v>4</v>
      </c>
      <c r="J125" s="246">
        <v>4</v>
      </c>
      <c r="K125" s="158">
        <v>3561</v>
      </c>
      <c r="L125" s="317">
        <v>2</v>
      </c>
      <c r="M125" s="142">
        <f t="shared" si="8"/>
        <v>2583.3000000000002</v>
      </c>
      <c r="N125" s="142">
        <f>576.3+2007</f>
        <v>2583.3000000000002</v>
      </c>
      <c r="O125" s="45"/>
      <c r="P125" s="157">
        <v>8</v>
      </c>
      <c r="Q125" s="158">
        <v>15445.86</v>
      </c>
      <c r="R125" s="317">
        <v>5</v>
      </c>
      <c r="S125" s="142">
        <f t="shared" si="9"/>
        <v>13044.61</v>
      </c>
      <c r="T125" s="142">
        <f>288.15+576.3+5648.76+3649.9+2881.5</f>
        <v>13044.61</v>
      </c>
      <c r="U125" s="4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3"/>
      <c r="B126" s="375"/>
      <c r="C126" s="375"/>
      <c r="D126" s="375"/>
      <c r="E126" s="375"/>
      <c r="F126" s="359" t="s">
        <v>490</v>
      </c>
      <c r="G126" s="253" t="s">
        <v>25</v>
      </c>
      <c r="H126" s="306">
        <v>1</v>
      </c>
      <c r="I126" s="37">
        <v>1</v>
      </c>
      <c r="J126" s="37">
        <v>1</v>
      </c>
      <c r="K126" s="68">
        <v>2881.5</v>
      </c>
      <c r="L126" s="285">
        <v>1</v>
      </c>
      <c r="M126" s="68">
        <v>2881.5</v>
      </c>
      <c r="N126" s="68">
        <v>2881.5</v>
      </c>
      <c r="O126" s="41"/>
      <c r="P126" s="59"/>
      <c r="Q126" s="39"/>
      <c r="R126" s="40"/>
      <c r="S126" s="39">
        <f t="shared" si="9"/>
        <v>0</v>
      </c>
      <c r="T126" s="39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6"/>
      <c r="B127" s="377" t="s">
        <v>110</v>
      </c>
      <c r="C127" s="377" t="s">
        <v>22</v>
      </c>
      <c r="D127" s="377"/>
      <c r="E127" s="377" t="s">
        <v>67</v>
      </c>
      <c r="F127" s="232" t="s">
        <v>274</v>
      </c>
      <c r="G127" s="23" t="s">
        <v>24</v>
      </c>
      <c r="H127" s="48">
        <v>5</v>
      </c>
      <c r="I127" s="203">
        <v>5</v>
      </c>
      <c r="J127" s="203">
        <v>7</v>
      </c>
      <c r="K127" s="65">
        <v>9193.66</v>
      </c>
      <c r="L127" s="224">
        <v>6</v>
      </c>
      <c r="M127" s="50">
        <f t="shared" ref="M127:M143" si="10">N127+O127</f>
        <v>7512.06</v>
      </c>
      <c r="N127" s="65">
        <v>7512.06</v>
      </c>
      <c r="O127" s="31"/>
      <c r="P127" s="108">
        <v>9</v>
      </c>
      <c r="Q127" s="65">
        <v>40341.25</v>
      </c>
      <c r="R127" s="224">
        <v>9</v>
      </c>
      <c r="S127" s="50">
        <f t="shared" si="9"/>
        <v>40341.25</v>
      </c>
      <c r="T127" s="65">
        <v>40341.25</v>
      </c>
      <c r="U127" s="22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34"/>
      <c r="G128" s="55" t="s">
        <v>28</v>
      </c>
      <c r="H128" s="116"/>
      <c r="I128" s="57"/>
      <c r="J128" s="57"/>
      <c r="K128" s="43"/>
      <c r="L128" s="44"/>
      <c r="M128" s="43">
        <f t="shared" si="10"/>
        <v>0</v>
      </c>
      <c r="N128" s="43"/>
      <c r="O128" s="41"/>
      <c r="P128" s="103"/>
      <c r="Q128" s="43"/>
      <c r="R128" s="44"/>
      <c r="S128" s="43">
        <f t="shared" si="9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111</v>
      </c>
      <c r="C129" s="374" t="s">
        <v>39</v>
      </c>
      <c r="D129" s="374" t="s">
        <v>435</v>
      </c>
      <c r="E129" s="374" t="s">
        <v>112</v>
      </c>
      <c r="F129" s="232" t="s">
        <v>436</v>
      </c>
      <c r="G129" s="23" t="s">
        <v>24</v>
      </c>
      <c r="H129" s="48">
        <v>15</v>
      </c>
      <c r="I129" s="62">
        <v>12</v>
      </c>
      <c r="J129" s="62">
        <v>17</v>
      </c>
      <c r="K129" s="30">
        <v>41780.9</v>
      </c>
      <c r="L129" s="205">
        <v>17</v>
      </c>
      <c r="M129" s="26">
        <f t="shared" si="10"/>
        <v>41780.9</v>
      </c>
      <c r="N129" s="30">
        <v>41780.9</v>
      </c>
      <c r="O129" s="31"/>
      <c r="P129" s="53">
        <v>5</v>
      </c>
      <c r="Q129" s="30">
        <v>19946.89</v>
      </c>
      <c r="R129" s="205">
        <v>5</v>
      </c>
      <c r="S129" s="26">
        <f t="shared" si="9"/>
        <v>19946.89</v>
      </c>
      <c r="T129" s="30">
        <v>19946.89</v>
      </c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9"/>
      <c r="B130" s="380"/>
      <c r="C130" s="380"/>
      <c r="D130" s="380"/>
      <c r="E130" s="380"/>
      <c r="F130" s="233" t="s">
        <v>235</v>
      </c>
      <c r="G130" s="227" t="s">
        <v>28</v>
      </c>
      <c r="H130" s="133">
        <v>1</v>
      </c>
      <c r="I130" s="57"/>
      <c r="J130" s="57"/>
      <c r="K130" s="43"/>
      <c r="L130" s="44"/>
      <c r="M130" s="43">
        <f t="shared" si="10"/>
        <v>0</v>
      </c>
      <c r="N130" s="43"/>
      <c r="O130" s="41"/>
      <c r="P130" s="103"/>
      <c r="Q130" s="43"/>
      <c r="R130" s="44"/>
      <c r="S130" s="43">
        <f t="shared" si="9"/>
        <v>0</v>
      </c>
      <c r="T130" s="43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113</v>
      </c>
      <c r="C131" s="374" t="s">
        <v>39</v>
      </c>
      <c r="D131" s="374" t="s">
        <v>114</v>
      </c>
      <c r="E131" s="374" t="s">
        <v>27</v>
      </c>
      <c r="F131" s="204" t="s">
        <v>305</v>
      </c>
      <c r="G131" s="176" t="s">
        <v>24</v>
      </c>
      <c r="H131" s="48">
        <v>21</v>
      </c>
      <c r="I131" s="62">
        <v>21</v>
      </c>
      <c r="J131" s="62">
        <v>30</v>
      </c>
      <c r="K131" s="30">
        <v>73736</v>
      </c>
      <c r="L131" s="205">
        <v>26</v>
      </c>
      <c r="M131" s="26">
        <f t="shared" si="10"/>
        <v>73736</v>
      </c>
      <c r="N131" s="30">
        <v>66481.97</v>
      </c>
      <c r="O131" s="225">
        <v>7254.03</v>
      </c>
      <c r="P131" s="53">
        <v>11</v>
      </c>
      <c r="Q131" s="30">
        <v>31033.06</v>
      </c>
      <c r="R131" s="205">
        <v>11</v>
      </c>
      <c r="S131" s="26">
        <f t="shared" si="9"/>
        <v>31033.06</v>
      </c>
      <c r="T131" s="30">
        <v>31033.06</v>
      </c>
      <c r="U131" s="22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0" t="s">
        <v>306</v>
      </c>
      <c r="G132" s="229" t="s">
        <v>28</v>
      </c>
      <c r="H132" s="56">
        <v>6</v>
      </c>
      <c r="I132" s="130">
        <v>3</v>
      </c>
      <c r="J132" s="130">
        <v>3</v>
      </c>
      <c r="K132" s="114">
        <v>4816.8</v>
      </c>
      <c r="L132" s="270">
        <v>3</v>
      </c>
      <c r="M132" s="43">
        <f t="shared" si="10"/>
        <v>4905.7000000000007</v>
      </c>
      <c r="N132" s="43">
        <f>1152.6+1344.7+2408.4</f>
        <v>4905.7000000000007</v>
      </c>
      <c r="O132" s="45"/>
      <c r="P132" s="113">
        <v>2</v>
      </c>
      <c r="Q132" s="114">
        <v>5186.7</v>
      </c>
      <c r="R132" s="270">
        <v>2</v>
      </c>
      <c r="S132" s="43">
        <f t="shared" si="9"/>
        <v>5186.7</v>
      </c>
      <c r="T132" s="43">
        <f>5186.7</f>
        <v>5186.7</v>
      </c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2"/>
      <c r="B133" s="374" t="s">
        <v>115</v>
      </c>
      <c r="C133" s="374" t="s">
        <v>22</v>
      </c>
      <c r="D133" s="374"/>
      <c r="E133" s="374" t="s">
        <v>27</v>
      </c>
      <c r="F133" s="22"/>
      <c r="G133" s="23" t="s">
        <v>24</v>
      </c>
      <c r="H133" s="104"/>
      <c r="I133" s="25"/>
      <c r="J133" s="25"/>
      <c r="K133" s="26"/>
      <c r="L133" s="148"/>
      <c r="M133" s="149">
        <f t="shared" si="10"/>
        <v>0</v>
      </c>
      <c r="N133" s="26"/>
      <c r="O133" s="100"/>
      <c r="P133" s="120"/>
      <c r="Q133" s="26"/>
      <c r="R133" s="27"/>
      <c r="S133" s="26">
        <f t="shared" si="9"/>
        <v>0</v>
      </c>
      <c r="T133" s="26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06"/>
      <c r="I134" s="38"/>
      <c r="J134" s="38"/>
      <c r="K134" s="39"/>
      <c r="L134" s="40"/>
      <c r="M134" s="39">
        <f t="shared" si="10"/>
        <v>0</v>
      </c>
      <c r="N134" s="39"/>
      <c r="O134" s="41"/>
      <c r="P134" s="69"/>
      <c r="Q134" s="39"/>
      <c r="R134" s="40"/>
      <c r="S134" s="39">
        <f t="shared" si="9"/>
        <v>0</v>
      </c>
      <c r="T134" s="39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116</v>
      </c>
      <c r="C135" s="381" t="s">
        <v>22</v>
      </c>
      <c r="D135" s="381"/>
      <c r="E135" s="381" t="s">
        <v>27</v>
      </c>
      <c r="F135" s="223" t="s">
        <v>307</v>
      </c>
      <c r="G135" s="47" t="s">
        <v>24</v>
      </c>
      <c r="H135" s="61">
        <v>10</v>
      </c>
      <c r="I135" s="62">
        <v>9</v>
      </c>
      <c r="J135" s="62">
        <v>13</v>
      </c>
      <c r="K135" s="30">
        <v>31214.01</v>
      </c>
      <c r="L135" s="205">
        <v>11</v>
      </c>
      <c r="M135" s="26">
        <f t="shared" si="10"/>
        <v>31214.010000000002</v>
      </c>
      <c r="N135" s="30">
        <v>19669.79</v>
      </c>
      <c r="O135" s="243">
        <v>11544.22</v>
      </c>
      <c r="P135" s="64">
        <v>6</v>
      </c>
      <c r="Q135" s="65">
        <v>13120.33</v>
      </c>
      <c r="R135" s="224">
        <v>4</v>
      </c>
      <c r="S135" s="50">
        <f t="shared" si="9"/>
        <v>13120.33</v>
      </c>
      <c r="T135" s="65">
        <v>10597.93</v>
      </c>
      <c r="U135" s="225">
        <v>2522.4</v>
      </c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35" t="s">
        <v>28</v>
      </c>
      <c r="H136" s="133">
        <v>7</v>
      </c>
      <c r="I136" s="38"/>
      <c r="J136" s="38"/>
      <c r="K136" s="39"/>
      <c r="L136" s="40"/>
      <c r="M136" s="39">
        <f t="shared" si="10"/>
        <v>0</v>
      </c>
      <c r="N136" s="39"/>
      <c r="O136" s="41"/>
      <c r="P136" s="67">
        <v>1</v>
      </c>
      <c r="Q136" s="68">
        <v>2305.1999999999998</v>
      </c>
      <c r="R136" s="285">
        <v>1</v>
      </c>
      <c r="S136" s="39">
        <f t="shared" si="9"/>
        <v>2305.1999999999998</v>
      </c>
      <c r="T136" s="39">
        <f>2305.2</f>
        <v>2305.1999999999998</v>
      </c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82"/>
      <c r="B137" s="381" t="s">
        <v>117</v>
      </c>
      <c r="C137" s="381" t="s">
        <v>22</v>
      </c>
      <c r="D137" s="381"/>
      <c r="E137" s="381" t="s">
        <v>67</v>
      </c>
      <c r="F137" s="223" t="s">
        <v>308</v>
      </c>
      <c r="G137" s="23" t="s">
        <v>24</v>
      </c>
      <c r="H137" s="48">
        <v>25</v>
      </c>
      <c r="I137" s="203">
        <v>21</v>
      </c>
      <c r="J137" s="203">
        <v>33</v>
      </c>
      <c r="K137" s="65">
        <v>83736.800000000003</v>
      </c>
      <c r="L137" s="224">
        <v>28</v>
      </c>
      <c r="M137" s="50">
        <f t="shared" si="10"/>
        <v>74086.789999999994</v>
      </c>
      <c r="N137" s="65">
        <v>74086.789999999994</v>
      </c>
      <c r="O137" s="225"/>
      <c r="P137" s="108">
        <v>34</v>
      </c>
      <c r="Q137" s="65">
        <v>126059.69</v>
      </c>
      <c r="R137" s="224">
        <v>32</v>
      </c>
      <c r="S137" s="50">
        <f t="shared" si="9"/>
        <v>119894.49</v>
      </c>
      <c r="T137" s="65">
        <v>119894.49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9"/>
      <c r="B138" s="380"/>
      <c r="C138" s="380"/>
      <c r="D138" s="380"/>
      <c r="E138" s="380"/>
      <c r="F138" s="226"/>
      <c r="G138" s="227" t="s">
        <v>28</v>
      </c>
      <c r="H138" s="116"/>
      <c r="I138" s="57"/>
      <c r="J138" s="57"/>
      <c r="K138" s="43"/>
      <c r="L138" s="44"/>
      <c r="M138" s="43">
        <f t="shared" si="10"/>
        <v>0</v>
      </c>
      <c r="N138" s="43"/>
      <c r="O138" s="41"/>
      <c r="P138" s="103"/>
      <c r="Q138" s="43"/>
      <c r="R138" s="44"/>
      <c r="S138" s="43">
        <f t="shared" si="9"/>
        <v>0</v>
      </c>
      <c r="T138" s="43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118</v>
      </c>
      <c r="C139" s="374" t="s">
        <v>39</v>
      </c>
      <c r="D139" s="374" t="s">
        <v>309</v>
      </c>
      <c r="E139" s="374" t="s">
        <v>27</v>
      </c>
      <c r="F139" s="204" t="s">
        <v>310</v>
      </c>
      <c r="G139" s="176" t="s">
        <v>24</v>
      </c>
      <c r="H139" s="151">
        <v>20</v>
      </c>
      <c r="I139" s="62">
        <v>11</v>
      </c>
      <c r="J139" s="62">
        <v>15</v>
      </c>
      <c r="K139" s="30">
        <v>56689.56</v>
      </c>
      <c r="L139" s="205">
        <v>11</v>
      </c>
      <c r="M139" s="26">
        <f t="shared" si="10"/>
        <v>56689.56</v>
      </c>
      <c r="N139" s="30">
        <v>21795.34</v>
      </c>
      <c r="O139" s="225">
        <v>34894.22</v>
      </c>
      <c r="P139" s="53">
        <v>13</v>
      </c>
      <c r="Q139" s="30">
        <v>52477.24</v>
      </c>
      <c r="R139" s="205">
        <v>13</v>
      </c>
      <c r="S139" s="26">
        <f t="shared" si="9"/>
        <v>52477.24</v>
      </c>
      <c r="T139" s="30">
        <v>52477.24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75"/>
      <c r="C140" s="375"/>
      <c r="D140" s="375"/>
      <c r="E140" s="375"/>
      <c r="F140" s="152"/>
      <c r="G140" s="229" t="s">
        <v>28</v>
      </c>
      <c r="H140" s="116"/>
      <c r="I140" s="38"/>
      <c r="J140" s="38"/>
      <c r="K140" s="39"/>
      <c r="L140" s="40"/>
      <c r="M140" s="39">
        <f t="shared" si="10"/>
        <v>0</v>
      </c>
      <c r="N140" s="39"/>
      <c r="O140" s="41"/>
      <c r="P140" s="59"/>
      <c r="Q140" s="39"/>
      <c r="R140" s="40"/>
      <c r="S140" s="39">
        <f t="shared" si="9"/>
        <v>0</v>
      </c>
      <c r="T140" s="39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502</v>
      </c>
      <c r="C141" s="374"/>
      <c r="D141" s="374"/>
      <c r="E141" s="374"/>
      <c r="F141" s="232"/>
      <c r="G141" s="176" t="s">
        <v>24</v>
      </c>
      <c r="H141" s="151"/>
      <c r="I141" s="266"/>
      <c r="J141" s="266"/>
      <c r="K141" s="79"/>
      <c r="L141" s="268"/>
      <c r="M141" s="142">
        <f t="shared" si="10"/>
        <v>0</v>
      </c>
      <c r="N141" s="79"/>
      <c r="O141" s="82"/>
      <c r="P141" s="267"/>
      <c r="Q141" s="79"/>
      <c r="R141" s="268"/>
      <c r="S141" s="142">
        <f t="shared" si="9"/>
        <v>0</v>
      </c>
      <c r="T141" s="79"/>
      <c r="U141" s="336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86"/>
      <c r="D142" s="386"/>
      <c r="E142" s="386"/>
      <c r="F142" s="356"/>
      <c r="G142" s="229" t="s">
        <v>28</v>
      </c>
      <c r="H142" s="362">
        <v>2</v>
      </c>
      <c r="I142" s="231"/>
      <c r="J142" s="231"/>
      <c r="K142" s="91"/>
      <c r="L142" s="330"/>
      <c r="M142" s="87">
        <f t="shared" si="10"/>
        <v>0</v>
      </c>
      <c r="N142" s="91"/>
      <c r="O142" s="89"/>
      <c r="P142" s="329"/>
      <c r="Q142" s="91"/>
      <c r="R142" s="330"/>
      <c r="S142" s="39">
        <f t="shared" si="9"/>
        <v>0</v>
      </c>
      <c r="T142" s="91"/>
      <c r="U142" s="342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119</v>
      </c>
      <c r="C143" s="374" t="s">
        <v>39</v>
      </c>
      <c r="D143" s="374" t="s">
        <v>311</v>
      </c>
      <c r="E143" s="374" t="s">
        <v>121</v>
      </c>
      <c r="F143" s="232" t="s">
        <v>312</v>
      </c>
      <c r="G143" s="23" t="s">
        <v>24</v>
      </c>
      <c r="H143" s="281">
        <v>54</v>
      </c>
      <c r="I143" s="62">
        <v>42</v>
      </c>
      <c r="J143" s="62">
        <v>54</v>
      </c>
      <c r="K143" s="30">
        <v>101499.01</v>
      </c>
      <c r="L143" s="205">
        <v>44</v>
      </c>
      <c r="M143" s="26">
        <f t="shared" si="10"/>
        <v>101499.01</v>
      </c>
      <c r="N143" s="30">
        <v>74855.87</v>
      </c>
      <c r="O143" s="269">
        <v>26643.14</v>
      </c>
      <c r="P143" s="53">
        <v>27</v>
      </c>
      <c r="Q143" s="30">
        <v>47822.16</v>
      </c>
      <c r="R143" s="205">
        <v>27</v>
      </c>
      <c r="S143" s="26">
        <f t="shared" si="9"/>
        <v>47822.16</v>
      </c>
      <c r="T143" s="30">
        <v>47822.16</v>
      </c>
      <c r="U143" s="269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80"/>
      <c r="C144" s="380"/>
      <c r="D144" s="380"/>
      <c r="E144" s="380"/>
      <c r="F144" s="325" t="s">
        <v>491</v>
      </c>
      <c r="G144" s="227" t="s">
        <v>25</v>
      </c>
      <c r="H144" s="260">
        <v>13</v>
      </c>
      <c r="I144" s="208">
        <v>4</v>
      </c>
      <c r="J144" s="208">
        <v>4</v>
      </c>
      <c r="K144" s="209">
        <v>5140.3100000000004</v>
      </c>
      <c r="L144" s="290">
        <v>4</v>
      </c>
      <c r="M144" s="209">
        <v>5140.3100000000004</v>
      </c>
      <c r="N144" s="209">
        <v>5140.3100000000004</v>
      </c>
      <c r="O144" s="263"/>
      <c r="P144" s="262">
        <v>4</v>
      </c>
      <c r="Q144" s="209">
        <v>16712.7</v>
      </c>
      <c r="R144" s="290">
        <v>4</v>
      </c>
      <c r="S144" s="209">
        <v>16712.7</v>
      </c>
      <c r="T144" s="209">
        <v>16712.7</v>
      </c>
      <c r="U144" s="212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464</v>
      </c>
      <c r="C145" s="374" t="s">
        <v>22</v>
      </c>
      <c r="D145" s="374"/>
      <c r="E145" s="374" t="s">
        <v>391</v>
      </c>
      <c r="F145" s="204" t="s">
        <v>465</v>
      </c>
      <c r="G145" s="176" t="s">
        <v>24</v>
      </c>
      <c r="H145" s="61">
        <v>1</v>
      </c>
      <c r="I145" s="62"/>
      <c r="J145" s="62"/>
      <c r="K145" s="30"/>
      <c r="L145" s="27"/>
      <c r="M145" s="26">
        <f t="shared" ref="M145:M160" si="11">N145+O145</f>
        <v>0</v>
      </c>
      <c r="N145" s="26"/>
      <c r="O145" s="28"/>
      <c r="P145" s="214"/>
      <c r="Q145" s="30"/>
      <c r="R145" s="205"/>
      <c r="S145" s="26">
        <f t="shared" ref="S145:S151" si="12">T145+U145</f>
        <v>0</v>
      </c>
      <c r="T145" s="30"/>
      <c r="U145" s="2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86"/>
      <c r="C146" s="375"/>
      <c r="D146" s="386"/>
      <c r="E146" s="386"/>
      <c r="F146" s="152"/>
      <c r="G146" s="229" t="s">
        <v>28</v>
      </c>
      <c r="H146" s="344"/>
      <c r="I146" s="231"/>
      <c r="J146" s="231"/>
      <c r="K146" s="91"/>
      <c r="L146" s="92"/>
      <c r="M146" s="81">
        <f t="shared" si="11"/>
        <v>0</v>
      </c>
      <c r="N146" s="93"/>
      <c r="O146" s="94"/>
      <c r="P146" s="90"/>
      <c r="Q146" s="91"/>
      <c r="R146" s="330"/>
      <c r="S146" s="81">
        <f t="shared" si="12"/>
        <v>0</v>
      </c>
      <c r="T146" s="91"/>
      <c r="U146" s="33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367</v>
      </c>
      <c r="C147" s="374"/>
      <c r="D147" s="374"/>
      <c r="E147" s="374"/>
      <c r="F147" s="204"/>
      <c r="G147" s="213" t="s">
        <v>24</v>
      </c>
      <c r="H147" s="61"/>
      <c r="I147" s="62"/>
      <c r="J147" s="62"/>
      <c r="K147" s="30"/>
      <c r="L147" s="27"/>
      <c r="M147" s="26">
        <f t="shared" si="11"/>
        <v>0</v>
      </c>
      <c r="N147" s="26"/>
      <c r="O147" s="28"/>
      <c r="P147" s="214"/>
      <c r="Q147" s="30"/>
      <c r="R147" s="205"/>
      <c r="S147" s="26">
        <f t="shared" si="12"/>
        <v>0</v>
      </c>
      <c r="T147" s="30"/>
      <c r="U147" s="2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/>
      <c r="G148" s="215" t="s">
        <v>28</v>
      </c>
      <c r="H148" s="117">
        <v>6</v>
      </c>
      <c r="I148" s="37"/>
      <c r="J148" s="37"/>
      <c r="K148" s="68"/>
      <c r="L148" s="40"/>
      <c r="M148" s="39">
        <f t="shared" si="11"/>
        <v>0</v>
      </c>
      <c r="N148" s="39"/>
      <c r="O148" s="41"/>
      <c r="P148" s="217"/>
      <c r="Q148" s="68"/>
      <c r="R148" s="285"/>
      <c r="S148" s="39">
        <f t="shared" si="12"/>
        <v>0</v>
      </c>
      <c r="T148" s="68"/>
      <c r="U148" s="23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6"/>
      <c r="B149" s="377" t="s">
        <v>122</v>
      </c>
      <c r="C149" s="377" t="s">
        <v>39</v>
      </c>
      <c r="D149" s="377" t="s">
        <v>123</v>
      </c>
      <c r="E149" s="377" t="s">
        <v>55</v>
      </c>
      <c r="F149" s="232" t="s">
        <v>236</v>
      </c>
      <c r="G149" s="291" t="s">
        <v>24</v>
      </c>
      <c r="H149" s="265">
        <v>34</v>
      </c>
      <c r="I149" s="266">
        <v>30</v>
      </c>
      <c r="J149" s="266">
        <v>45</v>
      </c>
      <c r="K149" s="79">
        <v>97534.75</v>
      </c>
      <c r="L149" s="268">
        <v>36</v>
      </c>
      <c r="M149" s="81">
        <f t="shared" si="11"/>
        <v>77248.66</v>
      </c>
      <c r="N149" s="79">
        <v>77248.66</v>
      </c>
      <c r="O149" s="269"/>
      <c r="P149" s="267">
        <v>24</v>
      </c>
      <c r="Q149" s="79">
        <v>94901.45</v>
      </c>
      <c r="R149" s="268">
        <v>21</v>
      </c>
      <c r="S149" s="81">
        <f t="shared" si="12"/>
        <v>89981.45</v>
      </c>
      <c r="T149" s="79">
        <v>89981.45</v>
      </c>
      <c r="U149" s="269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6"/>
      <c r="I150" s="38"/>
      <c r="J150" s="38"/>
      <c r="K150" s="39"/>
      <c r="L150" s="40"/>
      <c r="M150" s="39">
        <f t="shared" si="11"/>
        <v>0</v>
      </c>
      <c r="N150" s="39"/>
      <c r="O150" s="41"/>
      <c r="P150" s="59"/>
      <c r="Q150" s="39"/>
      <c r="R150" s="40"/>
      <c r="S150" s="39">
        <f t="shared" si="12"/>
        <v>0</v>
      </c>
      <c r="T150" s="39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6"/>
      <c r="B151" s="377" t="s">
        <v>124</v>
      </c>
      <c r="C151" s="377" t="s">
        <v>39</v>
      </c>
      <c r="D151" s="377" t="s">
        <v>314</v>
      </c>
      <c r="E151" s="377" t="s">
        <v>27</v>
      </c>
      <c r="F151" s="232" t="s">
        <v>237</v>
      </c>
      <c r="G151" s="23" t="s">
        <v>24</v>
      </c>
      <c r="H151" s="48">
        <v>24</v>
      </c>
      <c r="I151" s="203">
        <v>16</v>
      </c>
      <c r="J151" s="203">
        <v>20</v>
      </c>
      <c r="K151" s="65">
        <v>56035.46</v>
      </c>
      <c r="L151" s="224">
        <v>17</v>
      </c>
      <c r="M151" s="50">
        <f t="shared" si="11"/>
        <v>47249.1</v>
      </c>
      <c r="N151" s="65">
        <v>47249.1</v>
      </c>
      <c r="O151" s="225"/>
      <c r="P151" s="108">
        <v>62</v>
      </c>
      <c r="Q151" s="65">
        <v>377247.47</v>
      </c>
      <c r="R151" s="224">
        <v>57</v>
      </c>
      <c r="S151" s="50">
        <f t="shared" si="12"/>
        <v>337965.75</v>
      </c>
      <c r="T151" s="65">
        <v>337965.75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500</v>
      </c>
      <c r="G152" s="154" t="s">
        <v>25</v>
      </c>
      <c r="H152" s="98"/>
      <c r="I152" s="155"/>
      <c r="J152" s="155"/>
      <c r="K152" s="239" t="s">
        <v>43</v>
      </c>
      <c r="L152" s="128"/>
      <c r="M152" s="129">
        <f t="shared" si="11"/>
        <v>0</v>
      </c>
      <c r="N152" s="129"/>
      <c r="O152" s="45"/>
      <c r="P152" s="238">
        <v>1</v>
      </c>
      <c r="Q152" s="239">
        <v>2408.4</v>
      </c>
      <c r="R152" s="316">
        <v>1</v>
      </c>
      <c r="S152" s="239">
        <v>2408.4</v>
      </c>
      <c r="T152" s="239">
        <v>2408.4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9"/>
      <c r="B153" s="380"/>
      <c r="C153" s="380"/>
      <c r="D153" s="380"/>
      <c r="E153" s="380"/>
      <c r="F153" s="34"/>
      <c r="G153" s="55" t="s">
        <v>28</v>
      </c>
      <c r="H153" s="111"/>
      <c r="I153" s="57"/>
      <c r="J153" s="57"/>
      <c r="K153" s="43"/>
      <c r="L153" s="44"/>
      <c r="M153" s="43">
        <f t="shared" si="11"/>
        <v>0</v>
      </c>
      <c r="N153" s="43"/>
      <c r="O153" s="41"/>
      <c r="P153" s="113">
        <v>4</v>
      </c>
      <c r="Q153" s="114">
        <v>9722.4</v>
      </c>
      <c r="R153" s="270">
        <v>4</v>
      </c>
      <c r="S153" s="43">
        <f t="shared" ref="S153:S160" si="13">T153+U153</f>
        <v>10625.699999999999</v>
      </c>
      <c r="T153" s="114">
        <f>2305.2+4226.2+2689.4+1404.9</f>
        <v>10625.699999999999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126</v>
      </c>
      <c r="C154" s="374" t="s">
        <v>22</v>
      </c>
      <c r="D154" s="378"/>
      <c r="E154" s="374" t="s">
        <v>65</v>
      </c>
      <c r="F154" s="232" t="s">
        <v>443</v>
      </c>
      <c r="G154" s="23" t="s">
        <v>24</v>
      </c>
      <c r="H154" s="151">
        <v>8</v>
      </c>
      <c r="I154" s="62">
        <v>4</v>
      </c>
      <c r="J154" s="62">
        <v>4</v>
      </c>
      <c r="K154" s="30">
        <v>2843.78</v>
      </c>
      <c r="L154" s="205">
        <v>2</v>
      </c>
      <c r="M154" s="26">
        <f t="shared" si="11"/>
        <v>1582.58</v>
      </c>
      <c r="N154" s="30">
        <v>1267.28</v>
      </c>
      <c r="O154" s="225">
        <v>315.3</v>
      </c>
      <c r="P154" s="53">
        <v>16</v>
      </c>
      <c r="Q154" s="30">
        <v>15501.68</v>
      </c>
      <c r="R154" s="205">
        <v>4</v>
      </c>
      <c r="S154" s="26">
        <f t="shared" si="13"/>
        <v>10414.84</v>
      </c>
      <c r="T154" s="30">
        <v>10414.84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54" t="s">
        <v>316</v>
      </c>
      <c r="G155" s="35" t="s">
        <v>28</v>
      </c>
      <c r="H155" s="153">
        <v>7</v>
      </c>
      <c r="I155" s="37">
        <v>5</v>
      </c>
      <c r="J155" s="37">
        <v>5</v>
      </c>
      <c r="K155" s="68">
        <v>8567.0400000000009</v>
      </c>
      <c r="L155" s="285">
        <v>3</v>
      </c>
      <c r="M155" s="39">
        <f t="shared" si="11"/>
        <v>3710.1</v>
      </c>
      <c r="N155" s="39">
        <f>2305.2+1404.9</f>
        <v>3710.1</v>
      </c>
      <c r="O155" s="41"/>
      <c r="P155" s="115">
        <v>8</v>
      </c>
      <c r="Q155" s="68">
        <v>13484.6</v>
      </c>
      <c r="R155" s="285">
        <v>3</v>
      </c>
      <c r="S155" s="39">
        <f t="shared" si="13"/>
        <v>7418.45</v>
      </c>
      <c r="T155" s="39">
        <f>1056.55+1344.4+5017.5</f>
        <v>7418.45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2"/>
      <c r="B156" s="381" t="s">
        <v>127</v>
      </c>
      <c r="C156" s="381" t="s">
        <v>22</v>
      </c>
      <c r="D156" s="381"/>
      <c r="E156" s="381" t="s">
        <v>67</v>
      </c>
      <c r="F156" s="223" t="s">
        <v>368</v>
      </c>
      <c r="G156" s="47" t="s">
        <v>24</v>
      </c>
      <c r="H156" s="48">
        <v>14</v>
      </c>
      <c r="I156" s="203">
        <v>13</v>
      </c>
      <c r="J156" s="203">
        <v>20</v>
      </c>
      <c r="K156" s="65">
        <v>39745.360000000001</v>
      </c>
      <c r="L156" s="224">
        <v>17</v>
      </c>
      <c r="M156" s="50">
        <f t="shared" si="11"/>
        <v>39745.360000000001</v>
      </c>
      <c r="N156" s="65">
        <v>33710.11</v>
      </c>
      <c r="O156" s="225">
        <v>6035.25</v>
      </c>
      <c r="P156" s="108">
        <v>8</v>
      </c>
      <c r="Q156" s="65">
        <v>29582.03</v>
      </c>
      <c r="R156" s="224">
        <v>8</v>
      </c>
      <c r="S156" s="50">
        <f t="shared" si="13"/>
        <v>29582.03</v>
      </c>
      <c r="T156" s="65">
        <v>29582.03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33" t="s">
        <v>317</v>
      </c>
      <c r="G157" s="227" t="s">
        <v>28</v>
      </c>
      <c r="H157" s="153">
        <v>8</v>
      </c>
      <c r="I157" s="37">
        <v>5</v>
      </c>
      <c r="J157" s="37">
        <v>5</v>
      </c>
      <c r="K157" s="68">
        <v>5776.7</v>
      </c>
      <c r="L157" s="285">
        <v>5</v>
      </c>
      <c r="M157" s="39">
        <f t="shared" si="11"/>
        <v>5822.7</v>
      </c>
      <c r="N157" s="39">
        <f>1578.8+1152.6+1152.6+1336.6+602.1</f>
        <v>5822.7</v>
      </c>
      <c r="O157" s="41"/>
      <c r="P157" s="115">
        <v>3</v>
      </c>
      <c r="Q157" s="68">
        <v>17095</v>
      </c>
      <c r="R157" s="285">
        <v>3</v>
      </c>
      <c r="S157" s="39">
        <f t="shared" si="13"/>
        <v>17095</v>
      </c>
      <c r="T157" s="39">
        <f>4034.1+11053.9+2007</f>
        <v>17095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128</v>
      </c>
      <c r="C158" s="374" t="s">
        <v>39</v>
      </c>
      <c r="D158" s="374" t="s">
        <v>129</v>
      </c>
      <c r="E158" s="374" t="s">
        <v>121</v>
      </c>
      <c r="F158" s="60"/>
      <c r="G158" s="176" t="s">
        <v>24</v>
      </c>
      <c r="H158" s="107"/>
      <c r="I158" s="49"/>
      <c r="J158" s="127"/>
      <c r="K158" s="50"/>
      <c r="L158" s="51"/>
      <c r="M158" s="50">
        <f t="shared" si="11"/>
        <v>0</v>
      </c>
      <c r="N158" s="50"/>
      <c r="O158" s="31"/>
      <c r="P158" s="108"/>
      <c r="Q158" s="65"/>
      <c r="R158" s="51"/>
      <c r="S158" s="50">
        <f t="shared" si="13"/>
        <v>0</v>
      </c>
      <c r="T158" s="50"/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220" t="s">
        <v>492</v>
      </c>
      <c r="G159" s="229" t="s">
        <v>25</v>
      </c>
      <c r="H159" s="153">
        <v>1</v>
      </c>
      <c r="I159" s="57"/>
      <c r="J159" s="57"/>
      <c r="K159" s="43"/>
      <c r="L159" s="44"/>
      <c r="M159" s="43">
        <f t="shared" si="11"/>
        <v>0</v>
      </c>
      <c r="N159" s="43"/>
      <c r="O159" s="41"/>
      <c r="P159" s="103"/>
      <c r="Q159" s="43"/>
      <c r="R159" s="44"/>
      <c r="S159" s="43">
        <f t="shared" si="13"/>
        <v>0</v>
      </c>
      <c r="T159" s="43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130</v>
      </c>
      <c r="C160" s="374" t="s">
        <v>22</v>
      </c>
      <c r="D160" s="374"/>
      <c r="E160" s="374" t="s">
        <v>131</v>
      </c>
      <c r="F160" s="232" t="s">
        <v>411</v>
      </c>
      <c r="G160" s="176" t="s">
        <v>24</v>
      </c>
      <c r="H160" s="48">
        <v>12</v>
      </c>
      <c r="I160" s="62">
        <v>7</v>
      </c>
      <c r="J160" s="62">
        <v>9</v>
      </c>
      <c r="K160" s="30">
        <v>18592.759999999998</v>
      </c>
      <c r="L160" s="205">
        <v>6</v>
      </c>
      <c r="M160" s="26">
        <f t="shared" si="11"/>
        <v>18592.760000000002</v>
      </c>
      <c r="N160" s="30">
        <v>9104.94</v>
      </c>
      <c r="O160" s="225">
        <v>9487.82</v>
      </c>
      <c r="P160" s="53">
        <v>4</v>
      </c>
      <c r="Q160" s="30">
        <v>22885.21</v>
      </c>
      <c r="R160" s="205">
        <v>4</v>
      </c>
      <c r="S160" s="26">
        <f t="shared" si="13"/>
        <v>22885.21</v>
      </c>
      <c r="T160" s="30">
        <v>22885.21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3"/>
      <c r="B161" s="375"/>
      <c r="C161" s="375"/>
      <c r="D161" s="375"/>
      <c r="E161" s="375"/>
      <c r="F161" s="220" t="s">
        <v>493</v>
      </c>
      <c r="G161" s="229" t="s">
        <v>25</v>
      </c>
      <c r="H161" s="112">
        <v>9</v>
      </c>
      <c r="I161" s="130">
        <v>5</v>
      </c>
      <c r="J161" s="130">
        <v>5</v>
      </c>
      <c r="K161" s="114">
        <v>9606.3799999999992</v>
      </c>
      <c r="L161" s="270">
        <v>5</v>
      </c>
      <c r="M161" s="114">
        <v>9606.3799999999992</v>
      </c>
      <c r="N161" s="114">
        <v>9606.3799999999992</v>
      </c>
      <c r="O161" s="234"/>
      <c r="P161" s="113">
        <v>4</v>
      </c>
      <c r="Q161" s="114">
        <v>8744</v>
      </c>
      <c r="R161" s="270">
        <v>4</v>
      </c>
      <c r="S161" s="114">
        <v>8744</v>
      </c>
      <c r="T161" s="114">
        <v>8744</v>
      </c>
      <c r="U161" s="4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2"/>
      <c r="B162" s="374" t="s">
        <v>132</v>
      </c>
      <c r="C162" s="374" t="s">
        <v>39</v>
      </c>
      <c r="D162" s="374" t="s">
        <v>238</v>
      </c>
      <c r="E162" s="377" t="s">
        <v>136</v>
      </c>
      <c r="F162" s="232" t="s">
        <v>239</v>
      </c>
      <c r="G162" s="23" t="s">
        <v>24</v>
      </c>
      <c r="H162" s="61">
        <v>19</v>
      </c>
      <c r="I162" s="62">
        <v>14</v>
      </c>
      <c r="J162" s="62">
        <v>18</v>
      </c>
      <c r="K162" s="30">
        <v>40036.720000000001</v>
      </c>
      <c r="L162" s="205">
        <v>16</v>
      </c>
      <c r="M162" s="26">
        <f t="shared" ref="M162:M194" si="14">N162+O162</f>
        <v>40036.720000000001</v>
      </c>
      <c r="N162" s="30">
        <v>28480.94</v>
      </c>
      <c r="O162" s="225">
        <v>11555.78</v>
      </c>
      <c r="P162" s="53">
        <v>17</v>
      </c>
      <c r="Q162" s="30">
        <v>66861.3</v>
      </c>
      <c r="R162" s="205">
        <v>14</v>
      </c>
      <c r="S162" s="26">
        <f t="shared" ref="S162:S168" si="15">T162+U162</f>
        <v>66861.3</v>
      </c>
      <c r="T162" s="30">
        <v>52348.73</v>
      </c>
      <c r="U162" s="225">
        <v>14512.57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87"/>
      <c r="B163" s="386"/>
      <c r="C163" s="386"/>
      <c r="D163" s="386"/>
      <c r="E163" s="386"/>
      <c r="F163" s="237" t="s">
        <v>240</v>
      </c>
      <c r="G163" s="154" t="s">
        <v>28</v>
      </c>
      <c r="H163" s="112">
        <v>20</v>
      </c>
      <c r="I163" s="271">
        <v>14</v>
      </c>
      <c r="J163" s="271">
        <v>14</v>
      </c>
      <c r="K163" s="239">
        <v>25573.4</v>
      </c>
      <c r="L163" s="316">
        <v>10</v>
      </c>
      <c r="M163" s="129">
        <f t="shared" si="14"/>
        <v>17440.899999999998</v>
      </c>
      <c r="N163" s="129">
        <f>1728.9+2305.2+576.3+4802.5+1404.9+1404.9+1404.9+1103.85+2408.4+301.05</f>
        <v>17440.899999999998</v>
      </c>
      <c r="O163" s="45"/>
      <c r="P163" s="238">
        <v>9</v>
      </c>
      <c r="Q163" s="239">
        <v>31223.56</v>
      </c>
      <c r="R163" s="316">
        <v>10</v>
      </c>
      <c r="S163" s="129">
        <f t="shared" si="15"/>
        <v>32433.79</v>
      </c>
      <c r="T163" s="239">
        <f>288.15+6934.81+3073.6+1344.7+1344.7+10837.8+8610.03</f>
        <v>32433.79</v>
      </c>
      <c r="U163" s="4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105"/>
      <c r="G164" s="55" t="s">
        <v>25</v>
      </c>
      <c r="H164" s="131"/>
      <c r="I164" s="57"/>
      <c r="J164" s="57"/>
      <c r="K164" s="43"/>
      <c r="L164" s="44"/>
      <c r="M164" s="43">
        <f t="shared" si="14"/>
        <v>0</v>
      </c>
      <c r="N164" s="43"/>
      <c r="O164" s="41"/>
      <c r="P164" s="103"/>
      <c r="Q164" s="43"/>
      <c r="R164" s="44"/>
      <c r="S164" s="43">
        <f t="shared" si="15"/>
        <v>0</v>
      </c>
      <c r="T164" s="43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133</v>
      </c>
      <c r="C165" s="374" t="s">
        <v>39</v>
      </c>
      <c r="D165" s="374" t="s">
        <v>448</v>
      </c>
      <c r="E165" s="381" t="s">
        <v>23</v>
      </c>
      <c r="F165" s="232" t="s">
        <v>449</v>
      </c>
      <c r="G165" s="23" t="s">
        <v>24</v>
      </c>
      <c r="H165" s="61">
        <v>13</v>
      </c>
      <c r="I165" s="62">
        <v>9</v>
      </c>
      <c r="J165" s="62">
        <v>11</v>
      </c>
      <c r="K165" s="30">
        <v>38516.25</v>
      </c>
      <c r="L165" s="205">
        <v>9</v>
      </c>
      <c r="M165" s="26">
        <f t="shared" si="14"/>
        <v>38516.25</v>
      </c>
      <c r="N165" s="30">
        <v>30919.360000000001</v>
      </c>
      <c r="O165" s="225">
        <v>7596.89</v>
      </c>
      <c r="P165" s="53">
        <v>15</v>
      </c>
      <c r="Q165" s="30">
        <v>6119.32</v>
      </c>
      <c r="R165" s="205">
        <v>4</v>
      </c>
      <c r="S165" s="26">
        <f t="shared" si="15"/>
        <v>6119.32</v>
      </c>
      <c r="T165" s="30">
        <v>6119.32</v>
      </c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34"/>
      <c r="G166" s="35" t="s">
        <v>25</v>
      </c>
      <c r="H166" s="106"/>
      <c r="I166" s="38"/>
      <c r="J166" s="38"/>
      <c r="K166" s="39"/>
      <c r="L166" s="40"/>
      <c r="M166" s="39">
        <f t="shared" si="14"/>
        <v>0</v>
      </c>
      <c r="N166" s="39"/>
      <c r="O166" s="41"/>
      <c r="P166" s="59"/>
      <c r="Q166" s="39"/>
      <c r="R166" s="40"/>
      <c r="S166" s="39">
        <f t="shared" si="15"/>
        <v>0</v>
      </c>
      <c r="T166" s="39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134</v>
      </c>
      <c r="C167" s="374" t="s">
        <v>39</v>
      </c>
      <c r="D167" s="374" t="s">
        <v>280</v>
      </c>
      <c r="E167" s="374" t="s">
        <v>136</v>
      </c>
      <c r="F167" s="204" t="s">
        <v>282</v>
      </c>
      <c r="G167" s="176" t="s">
        <v>24</v>
      </c>
      <c r="H167" s="48">
        <v>16</v>
      </c>
      <c r="I167" s="203">
        <v>13</v>
      </c>
      <c r="J167" s="203">
        <v>14</v>
      </c>
      <c r="K167" s="65">
        <v>29159.56</v>
      </c>
      <c r="L167" s="224">
        <v>12</v>
      </c>
      <c r="M167" s="50">
        <f t="shared" si="14"/>
        <v>29159.559999999998</v>
      </c>
      <c r="N167" s="65">
        <v>16411.849999999999</v>
      </c>
      <c r="O167" s="225">
        <v>12747.71</v>
      </c>
      <c r="P167" s="108">
        <v>8</v>
      </c>
      <c r="Q167" s="65">
        <v>55419.75</v>
      </c>
      <c r="R167" s="224">
        <v>7</v>
      </c>
      <c r="S167" s="50">
        <f t="shared" si="15"/>
        <v>55419.75</v>
      </c>
      <c r="T167" s="65">
        <v>50795.35</v>
      </c>
      <c r="U167" s="225">
        <v>4624.3999999999996</v>
      </c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87"/>
      <c r="B168" s="386"/>
      <c r="C168" s="386"/>
      <c r="D168" s="386"/>
      <c r="E168" s="386"/>
      <c r="F168" s="235" t="s">
        <v>321</v>
      </c>
      <c r="G168" s="252" t="s">
        <v>28</v>
      </c>
      <c r="H168" s="151">
        <v>17</v>
      </c>
      <c r="I168" s="246">
        <v>5</v>
      </c>
      <c r="J168" s="246">
        <v>5</v>
      </c>
      <c r="K168" s="158">
        <v>10648.6</v>
      </c>
      <c r="L168" s="317">
        <v>5</v>
      </c>
      <c r="M168" s="142">
        <f t="shared" si="14"/>
        <v>10648.599999999999</v>
      </c>
      <c r="N168" s="142">
        <f>1921+2305.2+1404.9+3211.2+1806.3</f>
        <v>10648.599999999999</v>
      </c>
      <c r="O168" s="45"/>
      <c r="P168" s="157">
        <v>4</v>
      </c>
      <c r="Q168" s="158">
        <v>8625.2900000000009</v>
      </c>
      <c r="R168" s="224">
        <v>5</v>
      </c>
      <c r="S168" s="50">
        <f t="shared" si="15"/>
        <v>9681.84</v>
      </c>
      <c r="T168" s="158">
        <f>6224.04+3457.8</f>
        <v>9681.84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494</v>
      </c>
      <c r="G169" s="229" t="s">
        <v>25</v>
      </c>
      <c r="H169" s="118"/>
      <c r="I169" s="57"/>
      <c r="J169" s="57"/>
      <c r="K169" s="43"/>
      <c r="L169" s="44"/>
      <c r="M169" s="43">
        <f t="shared" si="14"/>
        <v>0</v>
      </c>
      <c r="N169" s="43"/>
      <c r="O169" s="41"/>
      <c r="P169" s="113">
        <v>1</v>
      </c>
      <c r="Q169" s="114">
        <v>7024.5</v>
      </c>
      <c r="R169" s="270">
        <v>1</v>
      </c>
      <c r="S169" s="114">
        <v>7024.5</v>
      </c>
      <c r="T169" s="114">
        <v>7024.5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137</v>
      </c>
      <c r="C170" s="377" t="s">
        <v>39</v>
      </c>
      <c r="D170" s="374" t="s">
        <v>322</v>
      </c>
      <c r="E170" s="377" t="s">
        <v>27</v>
      </c>
      <c r="F170" s="232" t="s">
        <v>323</v>
      </c>
      <c r="G170" s="23" t="s">
        <v>24</v>
      </c>
      <c r="H170" s="24">
        <v>16</v>
      </c>
      <c r="I170" s="62">
        <v>11</v>
      </c>
      <c r="J170" s="62">
        <v>14</v>
      </c>
      <c r="K170" s="30">
        <v>23878.68</v>
      </c>
      <c r="L170" s="205">
        <v>14</v>
      </c>
      <c r="M170" s="26">
        <f t="shared" si="14"/>
        <v>23878.68</v>
      </c>
      <c r="N170" s="30">
        <v>23878.68</v>
      </c>
      <c r="O170" s="31"/>
      <c r="P170" s="53">
        <v>4</v>
      </c>
      <c r="Q170" s="30">
        <v>39691.760000000002</v>
      </c>
      <c r="R170" s="205">
        <v>2</v>
      </c>
      <c r="S170" s="26">
        <f t="shared" ref="S170:S194" si="16">T170+U170</f>
        <v>39691.760000000002</v>
      </c>
      <c r="T170" s="30">
        <v>3779.47</v>
      </c>
      <c r="U170" s="225">
        <v>35912.29</v>
      </c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80"/>
      <c r="F171" s="220" t="s">
        <v>241</v>
      </c>
      <c r="G171" s="35" t="s">
        <v>28</v>
      </c>
      <c r="H171" s="66">
        <v>10</v>
      </c>
      <c r="I171" s="37">
        <v>6</v>
      </c>
      <c r="J171" s="37">
        <v>6</v>
      </c>
      <c r="K171" s="68">
        <v>7049.7</v>
      </c>
      <c r="L171" s="285">
        <v>7</v>
      </c>
      <c r="M171" s="39">
        <f t="shared" si="14"/>
        <v>7049.7000000000007</v>
      </c>
      <c r="N171" s="39">
        <f>576.3+1716.8+1344.7+1404.9+602.1+1404.9</f>
        <v>7049.7000000000007</v>
      </c>
      <c r="O171" s="41"/>
      <c r="P171" s="115">
        <v>3</v>
      </c>
      <c r="Q171" s="68">
        <v>5674.1</v>
      </c>
      <c r="R171" s="285">
        <v>3</v>
      </c>
      <c r="S171" s="39">
        <f t="shared" si="16"/>
        <v>9366.36</v>
      </c>
      <c r="T171" s="39">
        <f>1921+1344.7+3692.26+2408.4</f>
        <v>9366.36</v>
      </c>
      <c r="U171" s="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138</v>
      </c>
      <c r="C172" s="374" t="s">
        <v>22</v>
      </c>
      <c r="D172" s="374"/>
      <c r="E172" s="374" t="s">
        <v>27</v>
      </c>
      <c r="F172" s="204" t="s">
        <v>324</v>
      </c>
      <c r="G172" s="176" t="s">
        <v>24</v>
      </c>
      <c r="H172" s="151">
        <v>18</v>
      </c>
      <c r="I172" s="203">
        <v>13</v>
      </c>
      <c r="J172" s="203">
        <v>16</v>
      </c>
      <c r="K172" s="65">
        <v>33267.919999999998</v>
      </c>
      <c r="L172" s="224">
        <v>10</v>
      </c>
      <c r="M172" s="50">
        <f t="shared" si="14"/>
        <v>33267.919999999998</v>
      </c>
      <c r="N172" s="65">
        <v>19508.22</v>
      </c>
      <c r="O172" s="225">
        <v>13759.7</v>
      </c>
      <c r="P172" s="108">
        <v>10</v>
      </c>
      <c r="Q172" s="65">
        <v>22636.89</v>
      </c>
      <c r="R172" s="224">
        <v>10</v>
      </c>
      <c r="S172" s="50">
        <f t="shared" si="16"/>
        <v>22636.89</v>
      </c>
      <c r="T172" s="65">
        <v>22636.89</v>
      </c>
      <c r="U172" s="225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20" t="s">
        <v>242</v>
      </c>
      <c r="G173" s="229" t="s">
        <v>28</v>
      </c>
      <c r="H173" s="133">
        <v>7</v>
      </c>
      <c r="I173" s="130">
        <v>7</v>
      </c>
      <c r="J173" s="130">
        <v>7</v>
      </c>
      <c r="K173" s="114">
        <v>26745.9</v>
      </c>
      <c r="L173" s="270">
        <v>7</v>
      </c>
      <c r="M173" s="43">
        <f t="shared" si="14"/>
        <v>21199.72</v>
      </c>
      <c r="N173" s="43">
        <f>3880.42+1344.7+1921+1690.48+6623.1+5740.02</f>
        <v>21199.72</v>
      </c>
      <c r="O173" s="41"/>
      <c r="P173" s="113">
        <v>5</v>
      </c>
      <c r="Q173" s="114">
        <v>11814.15</v>
      </c>
      <c r="R173" s="270">
        <v>4</v>
      </c>
      <c r="S173" s="43">
        <f t="shared" si="16"/>
        <v>9893.15</v>
      </c>
      <c r="T173" s="114">
        <f>4802.5+2401.25+2689.4</f>
        <v>9893.15</v>
      </c>
      <c r="U173" s="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139</v>
      </c>
      <c r="C174" s="374" t="s">
        <v>22</v>
      </c>
      <c r="D174" s="374"/>
      <c r="E174" s="374" t="s">
        <v>67</v>
      </c>
      <c r="F174" s="232" t="s">
        <v>325</v>
      </c>
      <c r="G174" s="23" t="s">
        <v>24</v>
      </c>
      <c r="H174" s="151">
        <v>12</v>
      </c>
      <c r="I174" s="62">
        <v>8</v>
      </c>
      <c r="J174" s="62">
        <v>9</v>
      </c>
      <c r="K174" s="30">
        <v>20374.03</v>
      </c>
      <c r="L174" s="205">
        <v>7</v>
      </c>
      <c r="M174" s="26">
        <f t="shared" si="14"/>
        <v>20374.03</v>
      </c>
      <c r="N174" s="30">
        <v>14388.8</v>
      </c>
      <c r="O174" s="225">
        <v>5985.23</v>
      </c>
      <c r="P174" s="53">
        <v>16</v>
      </c>
      <c r="Q174" s="30">
        <v>55930.74</v>
      </c>
      <c r="R174" s="205">
        <v>16</v>
      </c>
      <c r="S174" s="26">
        <f t="shared" si="16"/>
        <v>55930.74</v>
      </c>
      <c r="T174" s="30">
        <v>55930.74</v>
      </c>
      <c r="U174" s="22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33" t="s">
        <v>326</v>
      </c>
      <c r="G175" s="227" t="s">
        <v>28</v>
      </c>
      <c r="H175" s="112">
        <v>8</v>
      </c>
      <c r="I175" s="130">
        <v>6</v>
      </c>
      <c r="J175" s="130">
        <v>6</v>
      </c>
      <c r="K175" s="114">
        <v>12501.3</v>
      </c>
      <c r="L175" s="270">
        <v>4</v>
      </c>
      <c r="M175" s="43">
        <f t="shared" si="14"/>
        <v>8335.2999999999993</v>
      </c>
      <c r="N175" s="43">
        <f>1728.9+602.1+2504.4+3499.9</f>
        <v>8335.2999999999993</v>
      </c>
      <c r="O175" s="45"/>
      <c r="P175" s="113">
        <v>9</v>
      </c>
      <c r="Q175" s="114">
        <v>35157.300000000003</v>
      </c>
      <c r="R175" s="270">
        <v>8</v>
      </c>
      <c r="S175" s="43">
        <f t="shared" si="16"/>
        <v>22769.55</v>
      </c>
      <c r="T175" s="114">
        <f>6269.7+3984+2305.2+3503.9+5602.9+1103.85</f>
        <v>22769.55</v>
      </c>
      <c r="U175" s="4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140</v>
      </c>
      <c r="C176" s="374" t="s">
        <v>39</v>
      </c>
      <c r="D176" s="374" t="s">
        <v>369</v>
      </c>
      <c r="E176" s="374" t="s">
        <v>27</v>
      </c>
      <c r="F176" s="204" t="s">
        <v>370</v>
      </c>
      <c r="G176" s="176" t="s">
        <v>24</v>
      </c>
      <c r="H176" s="24">
        <v>20</v>
      </c>
      <c r="I176" s="62">
        <v>17</v>
      </c>
      <c r="J176" s="62">
        <v>22</v>
      </c>
      <c r="K176" s="30">
        <v>50082.06</v>
      </c>
      <c r="L176" s="205">
        <v>20</v>
      </c>
      <c r="M176" s="26">
        <f t="shared" si="14"/>
        <v>50082.06</v>
      </c>
      <c r="N176" s="30">
        <v>44937.68</v>
      </c>
      <c r="O176" s="312">
        <v>5144.38</v>
      </c>
      <c r="P176" s="53">
        <v>4</v>
      </c>
      <c r="Q176" s="30">
        <v>31835.37</v>
      </c>
      <c r="R176" s="205">
        <v>4</v>
      </c>
      <c r="S176" s="26">
        <f t="shared" si="16"/>
        <v>31835.37</v>
      </c>
      <c r="T176" s="30">
        <v>31835.37</v>
      </c>
      <c r="U176" s="2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233" t="s">
        <v>243</v>
      </c>
      <c r="G177" s="282" t="s">
        <v>28</v>
      </c>
      <c r="H177" s="207">
        <v>9</v>
      </c>
      <c r="I177" s="208">
        <v>3</v>
      </c>
      <c r="J177" s="208">
        <v>3</v>
      </c>
      <c r="K177" s="209">
        <v>7347.6</v>
      </c>
      <c r="L177" s="210"/>
      <c r="M177" s="211">
        <f t="shared" si="14"/>
        <v>1728.9</v>
      </c>
      <c r="N177" s="211">
        <f>1728.9</f>
        <v>1728.9</v>
      </c>
      <c r="O177" s="274"/>
      <c r="P177" s="262">
        <v>3</v>
      </c>
      <c r="Q177" s="209">
        <v>5494.06</v>
      </c>
      <c r="R177" s="290">
        <v>6</v>
      </c>
      <c r="S177" s="211">
        <f t="shared" si="16"/>
        <v>14023.3</v>
      </c>
      <c r="T177" s="211">
        <f>4034.1+3073.6+5071.44+1267.86+576.3</f>
        <v>14023.3</v>
      </c>
      <c r="U177" s="212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413</v>
      </c>
      <c r="C178" s="374" t="s">
        <v>22</v>
      </c>
      <c r="D178" s="374"/>
      <c r="E178" s="374" t="s">
        <v>391</v>
      </c>
      <c r="F178" s="204" t="s">
        <v>414</v>
      </c>
      <c r="G178" s="176" t="s">
        <v>24</v>
      </c>
      <c r="H178" s="24">
        <v>10</v>
      </c>
      <c r="I178" s="62">
        <v>8</v>
      </c>
      <c r="J178" s="62">
        <v>12</v>
      </c>
      <c r="K178" s="30">
        <v>31164.77</v>
      </c>
      <c r="L178" s="205">
        <v>9</v>
      </c>
      <c r="M178" s="26">
        <f t="shared" si="14"/>
        <v>31164.77</v>
      </c>
      <c r="N178" s="30">
        <v>23826.75</v>
      </c>
      <c r="O178" s="241">
        <v>7338.02</v>
      </c>
      <c r="P178" s="214"/>
      <c r="Q178" s="30"/>
      <c r="R178" s="205"/>
      <c r="S178" s="26">
        <f t="shared" si="16"/>
        <v>0</v>
      </c>
      <c r="T178" s="30"/>
      <c r="U178" s="2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220"/>
      <c r="G179" s="229" t="s">
        <v>28</v>
      </c>
      <c r="H179" s="66"/>
      <c r="I179" s="38"/>
      <c r="J179" s="38"/>
      <c r="K179" s="39"/>
      <c r="L179" s="40"/>
      <c r="M179" s="39">
        <f t="shared" si="14"/>
        <v>0</v>
      </c>
      <c r="N179" s="39"/>
      <c r="O179" s="41"/>
      <c r="P179" s="217"/>
      <c r="Q179" s="68"/>
      <c r="R179" s="285"/>
      <c r="S179" s="39">
        <f t="shared" si="16"/>
        <v>0</v>
      </c>
      <c r="T179" s="68"/>
      <c r="U179" s="4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141</v>
      </c>
      <c r="C180" s="374" t="s">
        <v>39</v>
      </c>
      <c r="D180" s="374" t="s">
        <v>371</v>
      </c>
      <c r="E180" s="374" t="s">
        <v>27</v>
      </c>
      <c r="F180" s="204" t="s">
        <v>372</v>
      </c>
      <c r="G180" s="176" t="s">
        <v>24</v>
      </c>
      <c r="H180" s="281">
        <v>9</v>
      </c>
      <c r="I180" s="266">
        <v>6</v>
      </c>
      <c r="J180" s="266">
        <v>8</v>
      </c>
      <c r="K180" s="79">
        <v>17989.78</v>
      </c>
      <c r="L180" s="268">
        <v>5</v>
      </c>
      <c r="M180" s="81">
        <f t="shared" si="14"/>
        <v>17989.78</v>
      </c>
      <c r="N180" s="79">
        <v>11395.47</v>
      </c>
      <c r="O180" s="269">
        <v>6594.31</v>
      </c>
      <c r="P180" s="267">
        <v>3</v>
      </c>
      <c r="Q180" s="79">
        <v>16223.5</v>
      </c>
      <c r="R180" s="268">
        <v>3</v>
      </c>
      <c r="S180" s="81">
        <f t="shared" si="16"/>
        <v>16223.5</v>
      </c>
      <c r="T180" s="79">
        <v>16223.5</v>
      </c>
      <c r="U180" s="219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34"/>
      <c r="G181" s="229" t="s">
        <v>28</v>
      </c>
      <c r="H181" s="118"/>
      <c r="I181" s="57"/>
      <c r="J181" s="57"/>
      <c r="K181" s="43"/>
      <c r="L181" s="44"/>
      <c r="M181" s="43">
        <f t="shared" si="14"/>
        <v>0</v>
      </c>
      <c r="N181" s="43"/>
      <c r="O181" s="45"/>
      <c r="P181" s="103"/>
      <c r="Q181" s="43"/>
      <c r="R181" s="44"/>
      <c r="S181" s="43">
        <f t="shared" si="16"/>
        <v>0</v>
      </c>
      <c r="T181" s="43"/>
      <c r="U181" s="4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142</v>
      </c>
      <c r="C182" s="374" t="s">
        <v>39</v>
      </c>
      <c r="D182" s="374" t="s">
        <v>415</v>
      </c>
      <c r="E182" s="374" t="s">
        <v>27</v>
      </c>
      <c r="F182" s="232" t="s">
        <v>416</v>
      </c>
      <c r="G182" s="23" t="s">
        <v>24</v>
      </c>
      <c r="H182" s="24">
        <v>6</v>
      </c>
      <c r="I182" s="62">
        <v>2</v>
      </c>
      <c r="J182" s="62">
        <v>2</v>
      </c>
      <c r="K182" s="30">
        <v>524.91</v>
      </c>
      <c r="L182" s="205">
        <v>2</v>
      </c>
      <c r="M182" s="26">
        <f t="shared" si="14"/>
        <v>524.91</v>
      </c>
      <c r="N182" s="30">
        <v>524.91</v>
      </c>
      <c r="O182" s="241"/>
      <c r="P182" s="53">
        <v>2</v>
      </c>
      <c r="Q182" s="30">
        <v>14444.79</v>
      </c>
      <c r="R182" s="205">
        <v>2</v>
      </c>
      <c r="S182" s="26">
        <f t="shared" si="16"/>
        <v>14444.79</v>
      </c>
      <c r="T182" s="30">
        <v>14444.79</v>
      </c>
      <c r="U182" s="2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105"/>
      <c r="G183" s="227" t="s">
        <v>28</v>
      </c>
      <c r="H183" s="311"/>
      <c r="I183" s="261"/>
      <c r="J183" s="261"/>
      <c r="K183" s="211"/>
      <c r="L183" s="210"/>
      <c r="M183" s="211">
        <f t="shared" si="14"/>
        <v>0</v>
      </c>
      <c r="N183" s="211"/>
      <c r="O183" s="212"/>
      <c r="P183" s="273"/>
      <c r="Q183" s="211"/>
      <c r="R183" s="210"/>
      <c r="S183" s="211">
        <f t="shared" si="16"/>
        <v>0</v>
      </c>
      <c r="T183" s="211"/>
      <c r="U183" s="21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424</v>
      </c>
      <c r="C184" s="374" t="s">
        <v>22</v>
      </c>
      <c r="D184" s="374"/>
      <c r="E184" s="374" t="s">
        <v>65</v>
      </c>
      <c r="F184" s="232" t="s">
        <v>437</v>
      </c>
      <c r="G184" s="213" t="s">
        <v>24</v>
      </c>
      <c r="H184" s="24">
        <v>10</v>
      </c>
      <c r="I184" s="62">
        <v>7</v>
      </c>
      <c r="J184" s="62">
        <v>11</v>
      </c>
      <c r="K184" s="30">
        <v>18026.650000000001</v>
      </c>
      <c r="L184" s="205">
        <v>6</v>
      </c>
      <c r="M184" s="26">
        <f t="shared" si="14"/>
        <v>18026.650000000001</v>
      </c>
      <c r="N184" s="30">
        <v>9442.35</v>
      </c>
      <c r="O184" s="241">
        <v>8584.2999999999993</v>
      </c>
      <c r="P184" s="214"/>
      <c r="Q184" s="30"/>
      <c r="R184" s="205"/>
      <c r="S184" s="26">
        <f t="shared" si="16"/>
        <v>0</v>
      </c>
      <c r="T184" s="30"/>
      <c r="U184" s="2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/>
      <c r="G185" s="215" t="s">
        <v>28</v>
      </c>
      <c r="H185" s="66"/>
      <c r="I185" s="38"/>
      <c r="J185" s="38"/>
      <c r="K185" s="39"/>
      <c r="L185" s="40"/>
      <c r="M185" s="39">
        <f t="shared" si="14"/>
        <v>0</v>
      </c>
      <c r="N185" s="39"/>
      <c r="O185" s="41"/>
      <c r="P185" s="217"/>
      <c r="Q185" s="68"/>
      <c r="R185" s="285"/>
      <c r="S185" s="39">
        <f t="shared" si="16"/>
        <v>0</v>
      </c>
      <c r="T185" s="68"/>
      <c r="U185" s="23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6"/>
      <c r="B186" s="377" t="s">
        <v>143</v>
      </c>
      <c r="C186" s="377" t="s">
        <v>39</v>
      </c>
      <c r="D186" s="377" t="s">
        <v>327</v>
      </c>
      <c r="E186" s="377" t="s">
        <v>145</v>
      </c>
      <c r="F186" s="232" t="s">
        <v>215</v>
      </c>
      <c r="G186" s="95" t="s">
        <v>24</v>
      </c>
      <c r="H186" s="281">
        <v>11</v>
      </c>
      <c r="I186" s="266">
        <v>8</v>
      </c>
      <c r="J186" s="266">
        <v>10</v>
      </c>
      <c r="K186" s="79">
        <v>15844.95</v>
      </c>
      <c r="L186" s="268">
        <v>9</v>
      </c>
      <c r="M186" s="81">
        <f t="shared" si="14"/>
        <v>15844.95</v>
      </c>
      <c r="N186" s="79">
        <v>15151.29</v>
      </c>
      <c r="O186" s="269">
        <v>693.66</v>
      </c>
      <c r="P186" s="267">
        <v>19</v>
      </c>
      <c r="Q186" s="79">
        <v>57909.45</v>
      </c>
      <c r="R186" s="268">
        <v>18</v>
      </c>
      <c r="S186" s="81">
        <f t="shared" si="16"/>
        <v>57909.450000000004</v>
      </c>
      <c r="T186" s="79">
        <v>50132.05</v>
      </c>
      <c r="U186" s="269">
        <v>7777.4</v>
      </c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9"/>
      <c r="B187" s="380"/>
      <c r="C187" s="380"/>
      <c r="D187" s="380"/>
      <c r="E187" s="380"/>
      <c r="F187" s="233" t="s">
        <v>244</v>
      </c>
      <c r="G187" s="227" t="s">
        <v>28</v>
      </c>
      <c r="H187" s="133">
        <v>10</v>
      </c>
      <c r="I187" s="130">
        <v>5</v>
      </c>
      <c r="J187" s="130">
        <v>5</v>
      </c>
      <c r="K187" s="114">
        <v>21716.12</v>
      </c>
      <c r="L187" s="316">
        <v>6</v>
      </c>
      <c r="M187" s="50">
        <f t="shared" si="14"/>
        <v>21489.82</v>
      </c>
      <c r="N187" s="43">
        <f>2497.3+1152.6+5920.02+4595.4+602.1+6722.4</f>
        <v>21489.82</v>
      </c>
      <c r="O187" s="41"/>
      <c r="P187" s="113">
        <v>3</v>
      </c>
      <c r="Q187" s="114">
        <v>17758.3</v>
      </c>
      <c r="R187" s="270">
        <v>3</v>
      </c>
      <c r="S187" s="43">
        <f t="shared" si="16"/>
        <v>8500.2999999999993</v>
      </c>
      <c r="T187" s="114">
        <f>576.3+5426.7+2497.3</f>
        <v>8500.2999999999993</v>
      </c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146</v>
      </c>
      <c r="C188" s="374" t="s">
        <v>39</v>
      </c>
      <c r="D188" s="374" t="s">
        <v>328</v>
      </c>
      <c r="E188" s="374" t="s">
        <v>27</v>
      </c>
      <c r="F188" s="204" t="s">
        <v>329</v>
      </c>
      <c r="G188" s="176" t="s">
        <v>24</v>
      </c>
      <c r="H188" s="48">
        <v>16</v>
      </c>
      <c r="I188" s="62">
        <v>12</v>
      </c>
      <c r="J188" s="62">
        <v>13</v>
      </c>
      <c r="K188" s="30">
        <v>34160.230000000003</v>
      </c>
      <c r="L188" s="205">
        <v>13</v>
      </c>
      <c r="M188" s="26">
        <f t="shared" si="14"/>
        <v>34160.230000000003</v>
      </c>
      <c r="N188" s="30">
        <v>34160.230000000003</v>
      </c>
      <c r="O188" s="225"/>
      <c r="P188" s="53">
        <v>13</v>
      </c>
      <c r="Q188" s="30">
        <v>38649.24</v>
      </c>
      <c r="R188" s="205">
        <v>13</v>
      </c>
      <c r="S188" s="26">
        <f t="shared" si="16"/>
        <v>38649.24</v>
      </c>
      <c r="T188" s="30">
        <v>38649.24</v>
      </c>
      <c r="U188" s="225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220" t="s">
        <v>330</v>
      </c>
      <c r="G189" s="229" t="s">
        <v>28</v>
      </c>
      <c r="H189" s="153">
        <v>5</v>
      </c>
      <c r="I189" s="130">
        <v>2</v>
      </c>
      <c r="J189" s="130">
        <v>2</v>
      </c>
      <c r="K189" s="114">
        <v>7867.44</v>
      </c>
      <c r="L189" s="270">
        <v>2</v>
      </c>
      <c r="M189" s="43">
        <f t="shared" si="14"/>
        <v>7867.44</v>
      </c>
      <c r="N189" s="43">
        <f>2649.24+5218.2</f>
        <v>7867.44</v>
      </c>
      <c r="O189" s="41"/>
      <c r="P189" s="115">
        <v>9</v>
      </c>
      <c r="Q189" s="68">
        <v>31615.67</v>
      </c>
      <c r="R189" s="285">
        <v>8</v>
      </c>
      <c r="S189" s="39">
        <f t="shared" si="16"/>
        <v>30985.07</v>
      </c>
      <c r="T189" s="68">
        <f>576.3+15944.3+1479.17+1344.7+8228.7+1404.9+2007</f>
        <v>30985.07</v>
      </c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148</v>
      </c>
      <c r="C190" s="374" t="s">
        <v>39</v>
      </c>
      <c r="D190" s="374" t="s">
        <v>149</v>
      </c>
      <c r="E190" s="374" t="s">
        <v>27</v>
      </c>
      <c r="F190" s="204" t="s">
        <v>218</v>
      </c>
      <c r="G190" s="176" t="s">
        <v>24</v>
      </c>
      <c r="H190" s="48">
        <v>26</v>
      </c>
      <c r="I190" s="62">
        <v>23</v>
      </c>
      <c r="J190" s="204">
        <v>32</v>
      </c>
      <c r="K190" s="30">
        <v>55043.14</v>
      </c>
      <c r="L190" s="205">
        <v>29</v>
      </c>
      <c r="M190" s="26">
        <f t="shared" si="14"/>
        <v>55043.14</v>
      </c>
      <c r="N190" s="30">
        <v>49041.25</v>
      </c>
      <c r="O190" s="225">
        <v>6001.89</v>
      </c>
      <c r="P190" s="108">
        <v>24</v>
      </c>
      <c r="Q190" s="65">
        <v>94559</v>
      </c>
      <c r="R190" s="224">
        <v>23</v>
      </c>
      <c r="S190" s="50">
        <f t="shared" si="16"/>
        <v>94559</v>
      </c>
      <c r="T190" s="65">
        <v>84634.18</v>
      </c>
      <c r="U190" s="225">
        <v>9924.82</v>
      </c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34"/>
      <c r="G191" s="229" t="s">
        <v>28</v>
      </c>
      <c r="H191" s="292">
        <v>4</v>
      </c>
      <c r="I191" s="208">
        <v>1</v>
      </c>
      <c r="J191" s="208">
        <v>1</v>
      </c>
      <c r="K191" s="209">
        <v>3010.5</v>
      </c>
      <c r="L191" s="290">
        <v>1</v>
      </c>
      <c r="M191" s="211">
        <f t="shared" si="14"/>
        <v>3010.5</v>
      </c>
      <c r="N191" s="211">
        <f>3010.5</f>
        <v>3010.5</v>
      </c>
      <c r="O191" s="212"/>
      <c r="P191" s="262">
        <v>2</v>
      </c>
      <c r="Q191" s="209">
        <v>10069.41</v>
      </c>
      <c r="R191" s="290">
        <v>3</v>
      </c>
      <c r="S191" s="211">
        <f t="shared" si="16"/>
        <v>3902.2000000000003</v>
      </c>
      <c r="T191" s="209">
        <f>1921+576.3+1404.9</f>
        <v>3902.2000000000003</v>
      </c>
      <c r="U191" s="21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373</v>
      </c>
      <c r="C192" s="374" t="s">
        <v>22</v>
      </c>
      <c r="D192" s="374"/>
      <c r="E192" s="374" t="s">
        <v>27</v>
      </c>
      <c r="F192" s="232" t="s">
        <v>417</v>
      </c>
      <c r="G192" s="213" t="s">
        <v>24</v>
      </c>
      <c r="H192" s="61">
        <v>2</v>
      </c>
      <c r="I192" s="62">
        <v>2</v>
      </c>
      <c r="J192" s="62">
        <v>3</v>
      </c>
      <c r="K192" s="326">
        <v>2669.31</v>
      </c>
      <c r="L192" s="327">
        <v>3</v>
      </c>
      <c r="M192" s="162">
        <f t="shared" si="14"/>
        <v>2669.31</v>
      </c>
      <c r="N192" s="326">
        <v>2669.31</v>
      </c>
      <c r="O192" s="28"/>
      <c r="P192" s="275"/>
      <c r="Q192" s="26"/>
      <c r="R192" s="27"/>
      <c r="S192" s="26">
        <f t="shared" si="16"/>
        <v>0</v>
      </c>
      <c r="T192" s="26"/>
      <c r="U192" s="28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215" t="s">
        <v>28</v>
      </c>
      <c r="H193" s="117">
        <v>7</v>
      </c>
      <c r="I193" s="37">
        <v>2</v>
      </c>
      <c r="J193" s="37">
        <v>2</v>
      </c>
      <c r="K193" s="318">
        <v>1658.32</v>
      </c>
      <c r="L193" s="343">
        <v>2</v>
      </c>
      <c r="M193" s="164">
        <f t="shared" si="14"/>
        <v>1658.65</v>
      </c>
      <c r="N193" s="164">
        <f>1056.55+602.1</f>
        <v>1658.65</v>
      </c>
      <c r="O193" s="41"/>
      <c r="P193" s="276"/>
      <c r="Q193" s="39"/>
      <c r="R193" s="40"/>
      <c r="S193" s="39">
        <f t="shared" si="16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6"/>
      <c r="B194" s="402" t="s">
        <v>150</v>
      </c>
      <c r="C194" s="377" t="s">
        <v>39</v>
      </c>
      <c r="D194" s="377" t="s">
        <v>151</v>
      </c>
      <c r="E194" s="377" t="s">
        <v>152</v>
      </c>
      <c r="F194" s="72"/>
      <c r="G194" s="95" t="s">
        <v>24</v>
      </c>
      <c r="H194" s="74"/>
      <c r="I194" s="96"/>
      <c r="J194" s="96"/>
      <c r="K194" s="293"/>
      <c r="L194" s="294"/>
      <c r="M194" s="293">
        <f t="shared" si="14"/>
        <v>0</v>
      </c>
      <c r="N194" s="293"/>
      <c r="O194" s="82"/>
      <c r="P194" s="295"/>
      <c r="Q194" s="81"/>
      <c r="R194" s="80"/>
      <c r="S194" s="81">
        <f t="shared" si="16"/>
        <v>0</v>
      </c>
      <c r="T194" s="81"/>
      <c r="U194" s="8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89"/>
      <c r="C195" s="375"/>
      <c r="D195" s="375"/>
      <c r="E195" s="375"/>
      <c r="F195" s="220" t="s">
        <v>331</v>
      </c>
      <c r="G195" s="35" t="s">
        <v>25</v>
      </c>
      <c r="H195" s="117">
        <v>4</v>
      </c>
      <c r="I195" s="37">
        <v>1</v>
      </c>
      <c r="J195" s="37">
        <v>1</v>
      </c>
      <c r="K195" s="318">
        <v>3153</v>
      </c>
      <c r="L195" s="343">
        <v>1</v>
      </c>
      <c r="M195" s="318">
        <v>3153</v>
      </c>
      <c r="N195" s="318">
        <v>3153</v>
      </c>
      <c r="O195" s="41"/>
      <c r="P195" s="67">
        <v>5</v>
      </c>
      <c r="Q195" s="68">
        <v>32446.01</v>
      </c>
      <c r="R195" s="285">
        <v>5</v>
      </c>
      <c r="S195" s="68">
        <v>32446.01</v>
      </c>
      <c r="T195" s="68">
        <v>32446.01</v>
      </c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153</v>
      </c>
      <c r="C196" s="374" t="s">
        <v>39</v>
      </c>
      <c r="D196" s="381" t="s">
        <v>332</v>
      </c>
      <c r="E196" s="381" t="s">
        <v>27</v>
      </c>
      <c r="F196" s="223" t="s">
        <v>333</v>
      </c>
      <c r="G196" s="47" t="s">
        <v>24</v>
      </c>
      <c r="H196" s="48">
        <v>25</v>
      </c>
      <c r="I196" s="203">
        <v>24</v>
      </c>
      <c r="J196" s="203">
        <v>40</v>
      </c>
      <c r="K196" s="242">
        <v>87338.42</v>
      </c>
      <c r="L196" s="320">
        <v>38</v>
      </c>
      <c r="M196" s="166">
        <f t="shared" ref="M196:M215" si="17">N196+O196</f>
        <v>87338.42</v>
      </c>
      <c r="N196" s="242">
        <v>84037.54</v>
      </c>
      <c r="O196" s="225">
        <v>3300.88</v>
      </c>
      <c r="P196" s="108">
        <v>8</v>
      </c>
      <c r="Q196" s="65">
        <v>44672.93</v>
      </c>
      <c r="R196" s="224">
        <v>8</v>
      </c>
      <c r="S196" s="50">
        <f t="shared" ref="S196:S215" si="18">T196+U196</f>
        <v>44672.93</v>
      </c>
      <c r="T196" s="65">
        <v>44672.93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75"/>
      <c r="D197" s="380"/>
      <c r="E197" s="380"/>
      <c r="F197" s="34"/>
      <c r="G197" s="35" t="s">
        <v>28</v>
      </c>
      <c r="H197" s="153">
        <v>5</v>
      </c>
      <c r="I197" s="130">
        <v>3</v>
      </c>
      <c r="J197" s="130">
        <v>3</v>
      </c>
      <c r="K197" s="114">
        <v>5166.6000000000004</v>
      </c>
      <c r="L197" s="270">
        <v>1</v>
      </c>
      <c r="M197" s="43">
        <f t="shared" si="17"/>
        <v>1152.5999999999999</v>
      </c>
      <c r="N197" s="43">
        <f>1152.6</f>
        <v>1152.5999999999999</v>
      </c>
      <c r="O197" s="41"/>
      <c r="P197" s="113">
        <v>4</v>
      </c>
      <c r="Q197" s="114">
        <v>21119.5</v>
      </c>
      <c r="R197" s="270">
        <v>5</v>
      </c>
      <c r="S197" s="43">
        <f t="shared" si="18"/>
        <v>23040.5</v>
      </c>
      <c r="T197" s="114">
        <f>1921+11718.1+5186.7+2809.8+1404.9</f>
        <v>23040.5</v>
      </c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155</v>
      </c>
      <c r="C198" s="374" t="s">
        <v>22</v>
      </c>
      <c r="D198" s="374"/>
      <c r="E198" s="374" t="s">
        <v>37</v>
      </c>
      <c r="F198" s="223" t="s">
        <v>245</v>
      </c>
      <c r="G198" s="23" t="s">
        <v>24</v>
      </c>
      <c r="H198" s="48">
        <v>9</v>
      </c>
      <c r="I198" s="62">
        <v>6</v>
      </c>
      <c r="J198" s="62">
        <v>7</v>
      </c>
      <c r="K198" s="30">
        <v>9989.77</v>
      </c>
      <c r="L198" s="205">
        <v>6</v>
      </c>
      <c r="M198" s="26">
        <f t="shared" si="17"/>
        <v>9989.7699999999986</v>
      </c>
      <c r="N198" s="30">
        <v>8463.7199999999993</v>
      </c>
      <c r="O198" s="225">
        <v>1526.05</v>
      </c>
      <c r="P198" s="53">
        <v>11</v>
      </c>
      <c r="Q198" s="30">
        <v>34261.74</v>
      </c>
      <c r="R198" s="205">
        <v>9</v>
      </c>
      <c r="S198" s="26">
        <f t="shared" si="18"/>
        <v>34261.74</v>
      </c>
      <c r="T198" s="30">
        <v>23074.77</v>
      </c>
      <c r="U198" s="225">
        <v>11186.97</v>
      </c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105"/>
      <c r="G199" s="35" t="s">
        <v>28</v>
      </c>
      <c r="H199" s="116"/>
      <c r="I199" s="38"/>
      <c r="J199" s="38"/>
      <c r="K199" s="39"/>
      <c r="L199" s="40"/>
      <c r="M199" s="39">
        <f t="shared" si="17"/>
        <v>0</v>
      </c>
      <c r="N199" s="39"/>
      <c r="O199" s="41"/>
      <c r="P199" s="59"/>
      <c r="Q199" s="39"/>
      <c r="R199" s="40"/>
      <c r="S199" s="39">
        <f t="shared" si="18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156</v>
      </c>
      <c r="C200" s="381" t="s">
        <v>46</v>
      </c>
      <c r="D200" s="385" t="s">
        <v>418</v>
      </c>
      <c r="E200" s="381" t="s">
        <v>27</v>
      </c>
      <c r="F200" s="223" t="s">
        <v>419</v>
      </c>
      <c r="G200" s="23" t="s">
        <v>24</v>
      </c>
      <c r="H200" s="98"/>
      <c r="I200" s="49"/>
      <c r="J200" s="49"/>
      <c r="K200" s="50"/>
      <c r="L200" s="51"/>
      <c r="M200" s="50">
        <f t="shared" si="17"/>
        <v>0</v>
      </c>
      <c r="N200" s="50"/>
      <c r="O200" s="31"/>
      <c r="P200" s="108">
        <v>2</v>
      </c>
      <c r="Q200" s="65">
        <v>14241.9</v>
      </c>
      <c r="R200" s="224">
        <v>2</v>
      </c>
      <c r="S200" s="50">
        <f t="shared" si="18"/>
        <v>14241.9</v>
      </c>
      <c r="T200" s="65">
        <v>14241.9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56">
        <v>6</v>
      </c>
      <c r="I201" s="130">
        <v>1</v>
      </c>
      <c r="J201" s="130">
        <v>1</v>
      </c>
      <c r="K201" s="114">
        <v>2102</v>
      </c>
      <c r="L201" s="44"/>
      <c r="M201" s="43">
        <f t="shared" si="17"/>
        <v>0</v>
      </c>
      <c r="N201" s="43"/>
      <c r="O201" s="41"/>
      <c r="P201" s="113">
        <v>1</v>
      </c>
      <c r="Q201" s="114">
        <v>0</v>
      </c>
      <c r="R201" s="44"/>
      <c r="S201" s="43">
        <f t="shared" si="18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157</v>
      </c>
      <c r="C202" s="390"/>
      <c r="D202" s="374"/>
      <c r="E202" s="374"/>
      <c r="F202" s="22"/>
      <c r="G202" s="23" t="s">
        <v>24</v>
      </c>
      <c r="H202" s="104"/>
      <c r="I202" s="25"/>
      <c r="J202" s="25"/>
      <c r="K202" s="26"/>
      <c r="L202" s="27"/>
      <c r="M202" s="26">
        <f t="shared" si="17"/>
        <v>0</v>
      </c>
      <c r="N202" s="26"/>
      <c r="O202" s="31"/>
      <c r="P202" s="120"/>
      <c r="Q202" s="26"/>
      <c r="R202" s="27"/>
      <c r="S202" s="26">
        <f t="shared" si="18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34"/>
      <c r="G203" s="35" t="s">
        <v>28</v>
      </c>
      <c r="H203" s="106"/>
      <c r="I203" s="38"/>
      <c r="J203" s="38"/>
      <c r="K203" s="39"/>
      <c r="L203" s="40"/>
      <c r="M203" s="39">
        <f t="shared" si="17"/>
        <v>0</v>
      </c>
      <c r="N203" s="39"/>
      <c r="O203" s="41"/>
      <c r="P203" s="69"/>
      <c r="Q203" s="39"/>
      <c r="R203" s="40"/>
      <c r="S203" s="39">
        <f t="shared" si="18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158</v>
      </c>
      <c r="C204" s="374" t="s">
        <v>39</v>
      </c>
      <c r="D204" s="374" t="s">
        <v>288</v>
      </c>
      <c r="E204" s="374" t="s">
        <v>27</v>
      </c>
      <c r="F204" s="204" t="s">
        <v>289</v>
      </c>
      <c r="G204" s="176" t="s">
        <v>24</v>
      </c>
      <c r="H204" s="48">
        <v>18</v>
      </c>
      <c r="I204" s="203">
        <v>14</v>
      </c>
      <c r="J204" s="203">
        <v>17</v>
      </c>
      <c r="K204" s="65">
        <v>34837.99</v>
      </c>
      <c r="L204" s="224">
        <v>12</v>
      </c>
      <c r="M204" s="50">
        <f t="shared" si="17"/>
        <v>33600.119999999995</v>
      </c>
      <c r="N204" s="65">
        <v>28819.85</v>
      </c>
      <c r="O204" s="225">
        <v>4780.2700000000004</v>
      </c>
      <c r="P204" s="108">
        <v>11</v>
      </c>
      <c r="Q204" s="65">
        <v>24722.32</v>
      </c>
      <c r="R204" s="224">
        <v>11</v>
      </c>
      <c r="S204" s="50">
        <f t="shared" si="18"/>
        <v>24722.32</v>
      </c>
      <c r="T204" s="65">
        <v>24722.32</v>
      </c>
      <c r="U204" s="22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220" t="s">
        <v>334</v>
      </c>
      <c r="G205" s="229" t="s">
        <v>28</v>
      </c>
      <c r="H205" s="117">
        <v>5</v>
      </c>
      <c r="I205" s="37">
        <v>5</v>
      </c>
      <c r="J205" s="37">
        <v>5</v>
      </c>
      <c r="K205" s="68">
        <v>8186.99</v>
      </c>
      <c r="L205" s="285">
        <v>3</v>
      </c>
      <c r="M205" s="39">
        <f t="shared" si="17"/>
        <v>4329.3999999999996</v>
      </c>
      <c r="N205" s="39">
        <f>1921+1204.2+1204.2</f>
        <v>4329.3999999999996</v>
      </c>
      <c r="O205" s="41"/>
      <c r="P205" s="59"/>
      <c r="Q205" s="39"/>
      <c r="R205" s="40"/>
      <c r="S205" s="39">
        <f t="shared" si="18"/>
        <v>1152.5999999999999</v>
      </c>
      <c r="T205" s="68">
        <v>1152.5999999999999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159</v>
      </c>
      <c r="C206" s="377" t="s">
        <v>22</v>
      </c>
      <c r="D206" s="377"/>
      <c r="E206" s="377" t="s">
        <v>160</v>
      </c>
      <c r="F206" s="232" t="s">
        <v>246</v>
      </c>
      <c r="G206" s="95" t="s">
        <v>24</v>
      </c>
      <c r="H206" s="48">
        <v>32</v>
      </c>
      <c r="I206" s="203">
        <v>30</v>
      </c>
      <c r="J206" s="203">
        <v>48</v>
      </c>
      <c r="K206" s="65">
        <v>89310.74</v>
      </c>
      <c r="L206" s="224">
        <v>41</v>
      </c>
      <c r="M206" s="50">
        <f t="shared" si="17"/>
        <v>82665.209999999992</v>
      </c>
      <c r="N206" s="65">
        <v>73501.649999999994</v>
      </c>
      <c r="O206" s="225">
        <v>9163.56</v>
      </c>
      <c r="P206" s="108">
        <v>29</v>
      </c>
      <c r="Q206" s="65">
        <v>50855.96</v>
      </c>
      <c r="R206" s="224">
        <v>27</v>
      </c>
      <c r="S206" s="50">
        <f t="shared" si="18"/>
        <v>45551.69</v>
      </c>
      <c r="T206" s="65">
        <v>44164.37</v>
      </c>
      <c r="U206" s="225">
        <v>1387.32</v>
      </c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54"/>
      <c r="G207" s="55" t="s">
        <v>28</v>
      </c>
      <c r="H207" s="112">
        <v>7</v>
      </c>
      <c r="I207" s="130">
        <v>2</v>
      </c>
      <c r="J207" s="130">
        <v>2</v>
      </c>
      <c r="K207" s="114">
        <v>2401.25</v>
      </c>
      <c r="L207" s="316">
        <v>2</v>
      </c>
      <c r="M207" s="50">
        <f t="shared" si="17"/>
        <v>2401.25</v>
      </c>
      <c r="N207" s="43">
        <f>1056.55+1344.7</f>
        <v>2401.25</v>
      </c>
      <c r="O207" s="41"/>
      <c r="P207" s="113">
        <v>3</v>
      </c>
      <c r="Q207" s="114">
        <v>5551.69</v>
      </c>
      <c r="R207" s="270">
        <v>3</v>
      </c>
      <c r="S207" s="43">
        <f t="shared" si="18"/>
        <v>5551.69</v>
      </c>
      <c r="T207" s="43">
        <f>5551.69</f>
        <v>5551.69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161</v>
      </c>
      <c r="C208" s="377" t="s">
        <v>22</v>
      </c>
      <c r="D208" s="374"/>
      <c r="E208" s="374" t="s">
        <v>450</v>
      </c>
      <c r="F208" s="204" t="s">
        <v>451</v>
      </c>
      <c r="G208" s="23" t="s">
        <v>24</v>
      </c>
      <c r="H208" s="24">
        <v>18</v>
      </c>
      <c r="I208" s="62">
        <v>6</v>
      </c>
      <c r="J208" s="62">
        <v>12</v>
      </c>
      <c r="K208" s="30">
        <v>19502.189999999999</v>
      </c>
      <c r="L208" s="205">
        <v>10</v>
      </c>
      <c r="M208" s="26">
        <f t="shared" si="17"/>
        <v>19502.190000000002</v>
      </c>
      <c r="N208" s="30">
        <v>14946.76</v>
      </c>
      <c r="O208" s="225">
        <v>4555.43</v>
      </c>
      <c r="P208" s="53">
        <v>12</v>
      </c>
      <c r="Q208" s="30">
        <v>42909.61</v>
      </c>
      <c r="R208" s="205">
        <v>12</v>
      </c>
      <c r="S208" s="26">
        <f t="shared" si="18"/>
        <v>42909.61</v>
      </c>
      <c r="T208" s="30">
        <v>42909.61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92"/>
      <c r="F209" s="34"/>
      <c r="G209" s="35" t="s">
        <v>28</v>
      </c>
      <c r="H209" s="66">
        <v>8</v>
      </c>
      <c r="I209" s="37">
        <v>3</v>
      </c>
      <c r="J209" s="37">
        <v>3</v>
      </c>
      <c r="K209" s="68">
        <v>13295.45</v>
      </c>
      <c r="L209" s="40"/>
      <c r="M209" s="39">
        <f t="shared" si="17"/>
        <v>0</v>
      </c>
      <c r="N209" s="39"/>
      <c r="O209" s="41"/>
      <c r="P209" s="115">
        <v>1</v>
      </c>
      <c r="Q209" s="68">
        <v>0</v>
      </c>
      <c r="R209" s="40"/>
      <c r="S209" s="39">
        <f t="shared" si="18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82"/>
      <c r="B210" s="381" t="s">
        <v>162</v>
      </c>
      <c r="C210" s="381" t="s">
        <v>39</v>
      </c>
      <c r="D210" s="381" t="s">
        <v>163</v>
      </c>
      <c r="E210" s="374" t="s">
        <v>27</v>
      </c>
      <c r="F210" s="135"/>
      <c r="G210" s="47" t="s">
        <v>24</v>
      </c>
      <c r="H210" s="98"/>
      <c r="I210" s="49"/>
      <c r="J210" s="49"/>
      <c r="K210" s="50"/>
      <c r="L210" s="51"/>
      <c r="M210" s="50">
        <f t="shared" si="17"/>
        <v>0</v>
      </c>
      <c r="N210" s="50"/>
      <c r="O210" s="31"/>
      <c r="P210" s="123"/>
      <c r="Q210" s="50"/>
      <c r="R210" s="51"/>
      <c r="S210" s="50">
        <f t="shared" si="18"/>
        <v>0</v>
      </c>
      <c r="T210" s="50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87"/>
      <c r="B211" s="386"/>
      <c r="C211" s="386"/>
      <c r="D211" s="386"/>
      <c r="E211" s="386"/>
      <c r="F211" s="54"/>
      <c r="G211" s="47" t="s">
        <v>25</v>
      </c>
      <c r="H211" s="98"/>
      <c r="I211" s="49"/>
      <c r="J211" s="49"/>
      <c r="K211" s="50"/>
      <c r="L211" s="51"/>
      <c r="M211" s="50">
        <f t="shared" si="17"/>
        <v>0</v>
      </c>
      <c r="N211" s="50"/>
      <c r="O211" s="45"/>
      <c r="P211" s="123"/>
      <c r="Q211" s="50"/>
      <c r="R211" s="51"/>
      <c r="S211" s="50">
        <f t="shared" si="18"/>
        <v>0</v>
      </c>
      <c r="T211" s="50"/>
      <c r="U211" s="45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9"/>
      <c r="B212" s="380"/>
      <c r="C212" s="380"/>
      <c r="D212" s="380"/>
      <c r="E212" s="380"/>
      <c r="F212" s="54"/>
      <c r="G212" s="55" t="s">
        <v>28</v>
      </c>
      <c r="H212" s="116"/>
      <c r="I212" s="57"/>
      <c r="J212" s="57"/>
      <c r="K212" s="43"/>
      <c r="L212" s="44"/>
      <c r="M212" s="43">
        <f t="shared" si="17"/>
        <v>0</v>
      </c>
      <c r="N212" s="43"/>
      <c r="O212" s="41"/>
      <c r="P212" s="113">
        <v>1</v>
      </c>
      <c r="Q212" s="114">
        <v>4602.5</v>
      </c>
      <c r="R212" s="270">
        <v>1</v>
      </c>
      <c r="S212" s="43">
        <f t="shared" si="18"/>
        <v>4602.5</v>
      </c>
      <c r="T212" s="114">
        <v>4602.5</v>
      </c>
      <c r="U212" s="23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2"/>
      <c r="B213" s="374" t="s">
        <v>164</v>
      </c>
      <c r="C213" s="374" t="s">
        <v>22</v>
      </c>
      <c r="D213" s="374"/>
      <c r="E213" s="374" t="s">
        <v>27</v>
      </c>
      <c r="F213" s="22"/>
      <c r="G213" s="23" t="s">
        <v>24</v>
      </c>
      <c r="H213" s="98"/>
      <c r="I213" s="25"/>
      <c r="J213" s="25"/>
      <c r="K213" s="26"/>
      <c r="L213" s="27"/>
      <c r="M213" s="26">
        <f t="shared" si="17"/>
        <v>0</v>
      </c>
      <c r="N213" s="26"/>
      <c r="O213" s="31"/>
      <c r="P213" s="99"/>
      <c r="Q213" s="26"/>
      <c r="R213" s="27"/>
      <c r="S213" s="26">
        <f t="shared" si="18"/>
        <v>0</v>
      </c>
      <c r="T213" s="26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1" t="s">
        <v>335</v>
      </c>
      <c r="G214" s="55" t="s">
        <v>28</v>
      </c>
      <c r="H214" s="56">
        <v>8</v>
      </c>
      <c r="I214" s="130">
        <v>2</v>
      </c>
      <c r="J214" s="130">
        <v>2</v>
      </c>
      <c r="K214" s="114">
        <v>3813.3</v>
      </c>
      <c r="L214" s="270">
        <v>2</v>
      </c>
      <c r="M214" s="43">
        <f t="shared" si="17"/>
        <v>3813.3</v>
      </c>
      <c r="N214" s="43">
        <f>2007+1806.3</f>
        <v>3813.3</v>
      </c>
      <c r="O214" s="41"/>
      <c r="P214" s="113">
        <v>4</v>
      </c>
      <c r="Q214" s="114">
        <v>7395.85</v>
      </c>
      <c r="R214" s="270">
        <v>5</v>
      </c>
      <c r="S214" s="43">
        <f t="shared" si="18"/>
        <v>8452.4000000000015</v>
      </c>
      <c r="T214" s="114">
        <f>4034.1+1921+2497.3</f>
        <v>8452.4000000000015</v>
      </c>
      <c r="U214" s="4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2"/>
      <c r="B215" s="374" t="s">
        <v>165</v>
      </c>
      <c r="C215" s="374"/>
      <c r="D215" s="374"/>
      <c r="E215" s="374"/>
      <c r="F215" s="22"/>
      <c r="G215" s="23" t="s">
        <v>24</v>
      </c>
      <c r="H215" s="119"/>
      <c r="I215" s="25"/>
      <c r="J215" s="25"/>
      <c r="K215" s="26"/>
      <c r="L215" s="27"/>
      <c r="M215" s="26">
        <f t="shared" si="17"/>
        <v>0</v>
      </c>
      <c r="N215" s="26"/>
      <c r="O215" s="31"/>
      <c r="P215" s="99"/>
      <c r="Q215" s="26"/>
      <c r="R215" s="27"/>
      <c r="S215" s="26">
        <f t="shared" si="18"/>
        <v>0</v>
      </c>
      <c r="T215" s="26"/>
      <c r="U215" s="3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0" t="s">
        <v>495</v>
      </c>
      <c r="G216" s="35" t="s">
        <v>25</v>
      </c>
      <c r="H216" s="66">
        <v>2</v>
      </c>
      <c r="I216" s="37">
        <v>1</v>
      </c>
      <c r="J216" s="37">
        <v>1</v>
      </c>
      <c r="K216" s="68">
        <v>2408.4</v>
      </c>
      <c r="L216" s="285">
        <v>1</v>
      </c>
      <c r="M216" s="68">
        <v>2408.4</v>
      </c>
      <c r="N216" s="68">
        <v>2408.4</v>
      </c>
      <c r="O216" s="41"/>
      <c r="P216" s="115">
        <v>2</v>
      </c>
      <c r="Q216" s="68">
        <v>288.14999999999998</v>
      </c>
      <c r="R216" s="285">
        <v>1</v>
      </c>
      <c r="S216" s="68">
        <v>288.14999999999998</v>
      </c>
      <c r="T216" s="68">
        <v>288.14999999999998</v>
      </c>
      <c r="U216" s="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6"/>
      <c r="B217" s="377" t="s">
        <v>454</v>
      </c>
      <c r="C217" s="377" t="s">
        <v>39</v>
      </c>
      <c r="D217" s="405" t="s">
        <v>455</v>
      </c>
      <c r="E217" s="381" t="s">
        <v>27</v>
      </c>
      <c r="F217" s="204" t="s">
        <v>467</v>
      </c>
      <c r="G217" s="23" t="s">
        <v>24</v>
      </c>
      <c r="H217" s="328">
        <v>8</v>
      </c>
      <c r="I217" s="231">
        <v>7</v>
      </c>
      <c r="J217" s="231">
        <v>7</v>
      </c>
      <c r="K217" s="91">
        <v>8245.5400000000009</v>
      </c>
      <c r="L217" s="330">
        <v>4</v>
      </c>
      <c r="M217" s="26">
        <f t="shared" ref="M217:M233" si="19">N217+O217</f>
        <v>7404.74</v>
      </c>
      <c r="N217" s="91">
        <v>5611.73</v>
      </c>
      <c r="O217" s="331">
        <v>1793.01</v>
      </c>
      <c r="P217" s="329"/>
      <c r="Q217" s="91"/>
      <c r="R217" s="330"/>
      <c r="S217" s="26">
        <f t="shared" ref="S217:S233" si="20">T217+U217</f>
        <v>0</v>
      </c>
      <c r="T217" s="79"/>
      <c r="U217" s="336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406"/>
      <c r="E218" s="375"/>
      <c r="F218" s="220"/>
      <c r="G218" s="345" t="s">
        <v>28</v>
      </c>
      <c r="H218" s="346">
        <v>9</v>
      </c>
      <c r="I218" s="37">
        <v>7</v>
      </c>
      <c r="J218" s="37">
        <v>7</v>
      </c>
      <c r="K218" s="68">
        <v>15554.25</v>
      </c>
      <c r="L218" s="285">
        <v>5</v>
      </c>
      <c r="M218" s="87">
        <f t="shared" si="19"/>
        <v>11540.25</v>
      </c>
      <c r="N218" s="39">
        <f>3211.2+2609.1+2609.1+2007+1103.85</f>
        <v>11540.25</v>
      </c>
      <c r="O218" s="41"/>
      <c r="P218" s="217"/>
      <c r="Q218" s="68"/>
      <c r="R218" s="285"/>
      <c r="S218" s="87">
        <f t="shared" si="20"/>
        <v>0</v>
      </c>
      <c r="T218" s="339"/>
      <c r="U218" s="34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82"/>
      <c r="B219" s="381" t="s">
        <v>166</v>
      </c>
      <c r="C219" s="381" t="s">
        <v>22</v>
      </c>
      <c r="D219" s="377"/>
      <c r="E219" s="381" t="s">
        <v>27</v>
      </c>
      <c r="F219" s="232" t="s">
        <v>420</v>
      </c>
      <c r="G219" s="347" t="s">
        <v>24</v>
      </c>
      <c r="H219" s="348">
        <v>1</v>
      </c>
      <c r="I219" s="96"/>
      <c r="J219" s="96"/>
      <c r="K219" s="81"/>
      <c r="L219" s="80"/>
      <c r="M219" s="81">
        <f t="shared" si="19"/>
        <v>0</v>
      </c>
      <c r="N219" s="81"/>
      <c r="O219" s="82"/>
      <c r="P219" s="78">
        <v>4</v>
      </c>
      <c r="Q219" s="79">
        <v>17868.150000000001</v>
      </c>
      <c r="R219" s="268">
        <v>4</v>
      </c>
      <c r="S219" s="81">
        <f t="shared" si="20"/>
        <v>17868.150000000001</v>
      </c>
      <c r="T219" s="79">
        <v>17868.150000000001</v>
      </c>
      <c r="U219" s="26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6"/>
      <c r="G220" s="227" t="s">
        <v>28</v>
      </c>
      <c r="H220" s="334"/>
      <c r="I220" s="57"/>
      <c r="J220" s="57"/>
      <c r="K220" s="43"/>
      <c r="L220" s="44"/>
      <c r="M220" s="43">
        <f t="shared" si="19"/>
        <v>0</v>
      </c>
      <c r="N220" s="43"/>
      <c r="O220" s="45"/>
      <c r="P220" s="273"/>
      <c r="Q220" s="211"/>
      <c r="R220" s="210"/>
      <c r="S220" s="211">
        <f t="shared" si="20"/>
        <v>0</v>
      </c>
      <c r="T220" s="211"/>
      <c r="U220" s="21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167</v>
      </c>
      <c r="C221" s="374" t="s">
        <v>46</v>
      </c>
      <c r="D221" s="374" t="s">
        <v>168</v>
      </c>
      <c r="E221" s="374" t="s">
        <v>27</v>
      </c>
      <c r="F221" s="204" t="s">
        <v>421</v>
      </c>
      <c r="G221" s="176" t="s">
        <v>24</v>
      </c>
      <c r="H221" s="248">
        <v>5</v>
      </c>
      <c r="I221" s="62">
        <v>5</v>
      </c>
      <c r="J221" s="62">
        <v>5</v>
      </c>
      <c r="K221" s="30">
        <v>8424.33</v>
      </c>
      <c r="L221" s="205">
        <v>4</v>
      </c>
      <c r="M221" s="26">
        <f t="shared" si="19"/>
        <v>8424.33</v>
      </c>
      <c r="N221" s="30">
        <v>6502.43</v>
      </c>
      <c r="O221" s="308">
        <v>1921.9</v>
      </c>
      <c r="P221" s="99"/>
      <c r="Q221" s="26"/>
      <c r="R221" s="27"/>
      <c r="S221" s="26">
        <f t="shared" si="20"/>
        <v>0</v>
      </c>
      <c r="T221" s="26"/>
      <c r="U221" s="28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247</v>
      </c>
      <c r="G222" s="229" t="s">
        <v>28</v>
      </c>
      <c r="H222" s="258">
        <v>9</v>
      </c>
      <c r="I222" s="37">
        <v>6</v>
      </c>
      <c r="J222" s="37">
        <v>6</v>
      </c>
      <c r="K222" s="68">
        <v>14608.15</v>
      </c>
      <c r="L222" s="285">
        <v>5</v>
      </c>
      <c r="M222" s="39">
        <f t="shared" si="19"/>
        <v>19304.88</v>
      </c>
      <c r="N222" s="39">
        <f>1985.09+7101.24+2689.4+4418.3+1705.95+1404.9</f>
        <v>19304.88</v>
      </c>
      <c r="O222" s="309"/>
      <c r="P222" s="310">
        <v>7</v>
      </c>
      <c r="Q222" s="245">
        <v>33570.1</v>
      </c>
      <c r="R222" s="285">
        <v>7</v>
      </c>
      <c r="S222" s="39">
        <f t="shared" si="20"/>
        <v>24543.769999999997</v>
      </c>
      <c r="T222" s="68">
        <f>4034.1+1152.6+2881.5+2497.3+1921+6638.37+5418.9</f>
        <v>24543.769999999997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6"/>
      <c r="B223" s="377" t="s">
        <v>169</v>
      </c>
      <c r="C223" s="377" t="s">
        <v>39</v>
      </c>
      <c r="D223" s="377"/>
      <c r="E223" s="377" t="s">
        <v>27</v>
      </c>
      <c r="F223" s="72"/>
      <c r="G223" s="291" t="s">
        <v>24</v>
      </c>
      <c r="H223" s="98"/>
      <c r="I223" s="49"/>
      <c r="J223" s="49"/>
      <c r="K223" s="50"/>
      <c r="L223" s="51"/>
      <c r="M223" s="50">
        <f t="shared" si="19"/>
        <v>0</v>
      </c>
      <c r="N223" s="50"/>
      <c r="O223" s="31"/>
      <c r="P223" s="277"/>
      <c r="Q223" s="81"/>
      <c r="R223" s="80"/>
      <c r="S223" s="81">
        <f t="shared" si="20"/>
        <v>0</v>
      </c>
      <c r="T223" s="81"/>
      <c r="U223" s="219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336</v>
      </c>
      <c r="G224" s="229" t="s">
        <v>28</v>
      </c>
      <c r="H224" s="153">
        <v>5</v>
      </c>
      <c r="I224" s="130">
        <v>2</v>
      </c>
      <c r="J224" s="130">
        <v>2</v>
      </c>
      <c r="K224" s="114">
        <v>2611.9</v>
      </c>
      <c r="L224" s="270">
        <v>1</v>
      </c>
      <c r="M224" s="43">
        <f t="shared" si="19"/>
        <v>1404.9</v>
      </c>
      <c r="N224" s="43">
        <f>1404.9</f>
        <v>1404.9</v>
      </c>
      <c r="O224" s="41"/>
      <c r="P224" s="113">
        <v>1</v>
      </c>
      <c r="Q224" s="114">
        <v>3842</v>
      </c>
      <c r="R224" s="316">
        <v>1</v>
      </c>
      <c r="S224" s="50">
        <f t="shared" si="20"/>
        <v>3842</v>
      </c>
      <c r="T224" s="43">
        <f>3842</f>
        <v>3842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170</v>
      </c>
      <c r="C225" s="374" t="s">
        <v>22</v>
      </c>
      <c r="D225" s="374"/>
      <c r="E225" s="374" t="s">
        <v>160</v>
      </c>
      <c r="F225" s="232" t="s">
        <v>248</v>
      </c>
      <c r="G225" s="23" t="s">
        <v>24</v>
      </c>
      <c r="H225" s="48">
        <v>32</v>
      </c>
      <c r="I225" s="62">
        <v>31</v>
      </c>
      <c r="J225" s="62">
        <v>48</v>
      </c>
      <c r="K225" s="30">
        <v>100531.98</v>
      </c>
      <c r="L225" s="205">
        <v>39</v>
      </c>
      <c r="M225" s="26">
        <f t="shared" si="19"/>
        <v>99025.06</v>
      </c>
      <c r="N225" s="30">
        <v>79827.37</v>
      </c>
      <c r="O225" s="225">
        <v>19197.689999999999</v>
      </c>
      <c r="P225" s="53">
        <v>26</v>
      </c>
      <c r="Q225" s="30">
        <v>78293.990000000005</v>
      </c>
      <c r="R225" s="205">
        <v>25</v>
      </c>
      <c r="S225" s="26">
        <f t="shared" si="20"/>
        <v>74173.19</v>
      </c>
      <c r="T225" s="30">
        <v>74173.19</v>
      </c>
      <c r="U225" s="22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105"/>
      <c r="G226" s="35" t="s">
        <v>28</v>
      </c>
      <c r="H226" s="116"/>
      <c r="I226" s="38"/>
      <c r="J226" s="38"/>
      <c r="K226" s="39"/>
      <c r="L226" s="40"/>
      <c r="M226" s="39">
        <f t="shared" si="19"/>
        <v>0</v>
      </c>
      <c r="N226" s="39"/>
      <c r="O226" s="41"/>
      <c r="P226" s="59"/>
      <c r="Q226" s="39"/>
      <c r="R226" s="40"/>
      <c r="S226" s="39">
        <f t="shared" si="20"/>
        <v>0</v>
      </c>
      <c r="T226" s="39"/>
      <c r="U226" s="4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171</v>
      </c>
      <c r="C227" s="374" t="s">
        <v>39</v>
      </c>
      <c r="D227" s="374" t="s">
        <v>374</v>
      </c>
      <c r="E227" s="374" t="s">
        <v>27</v>
      </c>
      <c r="F227" s="223" t="s">
        <v>375</v>
      </c>
      <c r="G227" s="176" t="s">
        <v>24</v>
      </c>
      <c r="H227" s="48">
        <v>6</v>
      </c>
      <c r="I227" s="203">
        <v>3</v>
      </c>
      <c r="J227" s="203">
        <v>3</v>
      </c>
      <c r="K227" s="65">
        <v>6059.73</v>
      </c>
      <c r="L227" s="224">
        <v>3</v>
      </c>
      <c r="M227" s="50">
        <f t="shared" si="19"/>
        <v>6059.73</v>
      </c>
      <c r="N227" s="65">
        <v>6059.73</v>
      </c>
      <c r="O227" s="31"/>
      <c r="P227" s="108">
        <v>7</v>
      </c>
      <c r="Q227" s="65">
        <v>19784.07</v>
      </c>
      <c r="R227" s="224">
        <v>7</v>
      </c>
      <c r="S227" s="50">
        <f t="shared" si="20"/>
        <v>19784.07</v>
      </c>
      <c r="T227" s="65">
        <v>19784.07</v>
      </c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337</v>
      </c>
      <c r="G228" s="229" t="s">
        <v>28</v>
      </c>
      <c r="H228" s="133">
        <v>5</v>
      </c>
      <c r="I228" s="37">
        <v>3</v>
      </c>
      <c r="J228" s="37">
        <v>3</v>
      </c>
      <c r="K228" s="68">
        <v>5980.2</v>
      </c>
      <c r="L228" s="350">
        <v>1</v>
      </c>
      <c r="M228" s="351">
        <f t="shared" si="19"/>
        <v>3457.8</v>
      </c>
      <c r="N228" s="39">
        <f>3457.8</f>
        <v>3457.8</v>
      </c>
      <c r="O228" s="41"/>
      <c r="P228" s="115">
        <v>3</v>
      </c>
      <c r="Q228" s="68">
        <v>12518</v>
      </c>
      <c r="R228" s="285">
        <v>3</v>
      </c>
      <c r="S228" s="39">
        <f t="shared" si="20"/>
        <v>12518</v>
      </c>
      <c r="T228" s="39">
        <f>3073.6+4226.2+5218.2</f>
        <v>12518</v>
      </c>
      <c r="U228" s="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477</v>
      </c>
      <c r="C229" s="374"/>
      <c r="D229" s="374"/>
      <c r="E229" s="374"/>
      <c r="F229" s="232"/>
      <c r="G229" s="176" t="s">
        <v>24</v>
      </c>
      <c r="H229" s="260"/>
      <c r="I229" s="231"/>
      <c r="J229" s="231"/>
      <c r="K229" s="91"/>
      <c r="L229" s="330"/>
      <c r="M229" s="50">
        <f t="shared" si="19"/>
        <v>0</v>
      </c>
      <c r="N229" s="91"/>
      <c r="O229" s="331"/>
      <c r="P229" s="329"/>
      <c r="Q229" s="91"/>
      <c r="R229" s="330"/>
      <c r="S229" s="142">
        <f t="shared" si="20"/>
        <v>0</v>
      </c>
      <c r="T229" s="91"/>
      <c r="U229" s="3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305"/>
      <c r="G230" s="229" t="s">
        <v>28</v>
      </c>
      <c r="H230" s="117">
        <v>1</v>
      </c>
      <c r="I230" s="208"/>
      <c r="J230" s="208"/>
      <c r="K230" s="209"/>
      <c r="L230" s="290"/>
      <c r="M230" s="87">
        <f t="shared" si="19"/>
        <v>0</v>
      </c>
      <c r="N230" s="209"/>
      <c r="O230" s="234"/>
      <c r="P230" s="262"/>
      <c r="Q230" s="209"/>
      <c r="R230" s="290"/>
      <c r="S230" s="87">
        <f t="shared" si="20"/>
        <v>0</v>
      </c>
      <c r="T230" s="209"/>
      <c r="U230" s="263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172</v>
      </c>
      <c r="C231" s="374" t="s">
        <v>39</v>
      </c>
      <c r="D231" s="374" t="s">
        <v>303</v>
      </c>
      <c r="E231" s="374" t="s">
        <v>121</v>
      </c>
      <c r="F231" s="204" t="s">
        <v>304</v>
      </c>
      <c r="G231" s="176" t="s">
        <v>24</v>
      </c>
      <c r="H231" s="265">
        <v>48</v>
      </c>
      <c r="I231" s="62">
        <v>32</v>
      </c>
      <c r="J231" s="62">
        <v>34</v>
      </c>
      <c r="K231" s="30">
        <v>38790.29</v>
      </c>
      <c r="L231" s="205">
        <v>28</v>
      </c>
      <c r="M231" s="26">
        <f t="shared" si="19"/>
        <v>38790.29</v>
      </c>
      <c r="N231" s="30">
        <v>25358.09</v>
      </c>
      <c r="O231" s="269">
        <v>13432.2</v>
      </c>
      <c r="P231" s="53">
        <v>34</v>
      </c>
      <c r="Q231" s="30">
        <v>98961.54</v>
      </c>
      <c r="R231" s="205">
        <v>33</v>
      </c>
      <c r="S231" s="26">
        <f t="shared" si="20"/>
        <v>98961.54</v>
      </c>
      <c r="T231" s="30">
        <v>98961.54</v>
      </c>
      <c r="U231" s="2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496</v>
      </c>
      <c r="G232" s="229" t="s">
        <v>25</v>
      </c>
      <c r="H232" s="102"/>
      <c r="I232" s="57"/>
      <c r="J232" s="57"/>
      <c r="K232" s="43"/>
      <c r="L232" s="44"/>
      <c r="M232" s="43">
        <f t="shared" si="19"/>
        <v>0</v>
      </c>
      <c r="N232" s="43"/>
      <c r="O232" s="41"/>
      <c r="P232" s="113">
        <v>1</v>
      </c>
      <c r="Q232" s="114">
        <v>1728.9</v>
      </c>
      <c r="R232" s="270">
        <v>1</v>
      </c>
      <c r="S232" s="43">
        <f t="shared" si="20"/>
        <v>1728.9</v>
      </c>
      <c r="T232" s="114">
        <v>1728.9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173</v>
      </c>
      <c r="C233" s="374" t="s">
        <v>39</v>
      </c>
      <c r="D233" s="374" t="s">
        <v>338</v>
      </c>
      <c r="E233" s="374" t="s">
        <v>121</v>
      </c>
      <c r="F233" s="232" t="s">
        <v>376</v>
      </c>
      <c r="G233" s="23" t="s">
        <v>24</v>
      </c>
      <c r="H233" s="61">
        <v>64</v>
      </c>
      <c r="I233" s="62">
        <v>38</v>
      </c>
      <c r="J233" s="62">
        <v>38</v>
      </c>
      <c r="K233" s="30">
        <v>49690.33</v>
      </c>
      <c r="L233" s="205">
        <v>25</v>
      </c>
      <c r="M233" s="26">
        <f t="shared" si="19"/>
        <v>49690.33</v>
      </c>
      <c r="N233" s="30">
        <v>29688.26</v>
      </c>
      <c r="O233" s="225">
        <v>20002.07</v>
      </c>
      <c r="P233" s="53">
        <v>9</v>
      </c>
      <c r="Q233" s="30">
        <v>5292.88</v>
      </c>
      <c r="R233" s="205">
        <v>5</v>
      </c>
      <c r="S233" s="26">
        <f t="shared" si="20"/>
        <v>5292.8799999999992</v>
      </c>
      <c r="T233" s="30">
        <v>4887.8599999999997</v>
      </c>
      <c r="U233" s="225">
        <v>405.02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220" t="s">
        <v>339</v>
      </c>
      <c r="G234" s="35" t="s">
        <v>25</v>
      </c>
      <c r="H234" s="117">
        <v>18</v>
      </c>
      <c r="I234" s="37">
        <v>9</v>
      </c>
      <c r="J234" s="37">
        <v>9</v>
      </c>
      <c r="K234" s="68">
        <v>14137.16</v>
      </c>
      <c r="L234" s="285">
        <v>9</v>
      </c>
      <c r="M234" s="68">
        <v>14137.16</v>
      </c>
      <c r="N234" s="68">
        <v>14137.16</v>
      </c>
      <c r="O234" s="234"/>
      <c r="P234" s="115">
        <v>4</v>
      </c>
      <c r="Q234" s="68">
        <v>14877.15</v>
      </c>
      <c r="R234" s="285">
        <v>4</v>
      </c>
      <c r="S234" s="68">
        <v>14877.15</v>
      </c>
      <c r="T234" s="68">
        <v>14877.15</v>
      </c>
      <c r="U234" s="23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174</v>
      </c>
      <c r="C235" s="374" t="s">
        <v>39</v>
      </c>
      <c r="D235" s="374" t="s">
        <v>175</v>
      </c>
      <c r="E235" s="374" t="s">
        <v>176</v>
      </c>
      <c r="F235" s="204" t="s">
        <v>377</v>
      </c>
      <c r="G235" s="176" t="s">
        <v>24</v>
      </c>
      <c r="H235" s="48">
        <v>30</v>
      </c>
      <c r="I235" s="203">
        <v>24</v>
      </c>
      <c r="J235" s="203">
        <v>32</v>
      </c>
      <c r="K235" s="65">
        <v>66506</v>
      </c>
      <c r="L235" s="224">
        <v>29</v>
      </c>
      <c r="M235" s="50">
        <f>N235+O235</f>
        <v>66506</v>
      </c>
      <c r="N235" s="65">
        <v>59152.57</v>
      </c>
      <c r="O235" s="225">
        <v>7353.43</v>
      </c>
      <c r="P235" s="108">
        <v>22</v>
      </c>
      <c r="Q235" s="65">
        <v>80070.350000000006</v>
      </c>
      <c r="R235" s="224">
        <v>22</v>
      </c>
      <c r="S235" s="50">
        <f>T235+U235</f>
        <v>80070.350000000006</v>
      </c>
      <c r="T235" s="65">
        <v>80070.350000000006</v>
      </c>
      <c r="U235" s="22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220" t="s">
        <v>340</v>
      </c>
      <c r="G236" s="229" t="s">
        <v>25</v>
      </c>
      <c r="H236" s="153">
        <v>3</v>
      </c>
      <c r="I236" s="130">
        <v>2</v>
      </c>
      <c r="J236" s="130">
        <v>2</v>
      </c>
      <c r="K236" s="114">
        <v>11239.2</v>
      </c>
      <c r="L236" s="270">
        <v>2</v>
      </c>
      <c r="M236" s="114">
        <v>11239.2</v>
      </c>
      <c r="N236" s="114">
        <v>11239.2</v>
      </c>
      <c r="O236" s="41"/>
      <c r="P236" s="113">
        <v>12</v>
      </c>
      <c r="Q236" s="114">
        <v>58553.66</v>
      </c>
      <c r="R236" s="270">
        <v>12</v>
      </c>
      <c r="S236" s="114">
        <v>58553.66</v>
      </c>
      <c r="T236" s="114">
        <v>58553.66</v>
      </c>
      <c r="U236" s="23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177</v>
      </c>
      <c r="C237" s="377" t="s">
        <v>39</v>
      </c>
      <c r="D237" s="374" t="s">
        <v>226</v>
      </c>
      <c r="E237" s="374" t="s">
        <v>27</v>
      </c>
      <c r="F237" s="204" t="s">
        <v>227</v>
      </c>
      <c r="G237" s="23" t="s">
        <v>24</v>
      </c>
      <c r="H237" s="48">
        <v>16</v>
      </c>
      <c r="I237" s="62">
        <v>12</v>
      </c>
      <c r="J237" s="62">
        <v>13</v>
      </c>
      <c r="K237" s="30">
        <v>17960.009999999998</v>
      </c>
      <c r="L237" s="205">
        <v>5</v>
      </c>
      <c r="M237" s="26">
        <f t="shared" ref="M237:M263" si="21">N237+O237</f>
        <v>17960.010000000002</v>
      </c>
      <c r="N237" s="30">
        <v>8372.27</v>
      </c>
      <c r="O237" s="225">
        <v>9587.74</v>
      </c>
      <c r="P237" s="53">
        <v>17</v>
      </c>
      <c r="Q237" s="30">
        <v>65146.03</v>
      </c>
      <c r="R237" s="205">
        <v>16</v>
      </c>
      <c r="S237" s="26">
        <f t="shared" ref="S237:S263" si="22">T237+U237</f>
        <v>65146.03</v>
      </c>
      <c r="T237" s="30">
        <v>53460.74</v>
      </c>
      <c r="U237" s="225">
        <v>11685.29</v>
      </c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80"/>
      <c r="D238" s="375"/>
      <c r="E238" s="375"/>
      <c r="F238" s="105"/>
      <c r="G238" s="55" t="s">
        <v>28</v>
      </c>
      <c r="H238" s="118"/>
      <c r="I238" s="57"/>
      <c r="J238" s="57"/>
      <c r="K238" s="43"/>
      <c r="L238" s="44"/>
      <c r="M238" s="43">
        <f t="shared" si="21"/>
        <v>0</v>
      </c>
      <c r="N238" s="43"/>
      <c r="O238" s="41"/>
      <c r="P238" s="103"/>
      <c r="Q238" s="43"/>
      <c r="R238" s="44"/>
      <c r="S238" s="43">
        <f t="shared" si="22"/>
        <v>0</v>
      </c>
      <c r="T238" s="43"/>
      <c r="U238" s="4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178</v>
      </c>
      <c r="C239" s="374" t="s">
        <v>22</v>
      </c>
      <c r="D239" s="374"/>
      <c r="E239" s="374" t="s">
        <v>27</v>
      </c>
      <c r="F239" s="232" t="s">
        <v>452</v>
      </c>
      <c r="G239" s="176" t="s">
        <v>24</v>
      </c>
      <c r="H239" s="61">
        <v>9</v>
      </c>
      <c r="I239" s="62">
        <v>9</v>
      </c>
      <c r="J239" s="62">
        <v>12</v>
      </c>
      <c r="K239" s="30">
        <v>16560.84</v>
      </c>
      <c r="L239" s="205">
        <v>10</v>
      </c>
      <c r="M239" s="26">
        <f t="shared" si="21"/>
        <v>16560.84</v>
      </c>
      <c r="N239" s="30">
        <v>14011.64</v>
      </c>
      <c r="O239" s="225">
        <v>2549.1999999999998</v>
      </c>
      <c r="P239" s="29">
        <v>2</v>
      </c>
      <c r="Q239" s="30">
        <v>6805.63</v>
      </c>
      <c r="R239" s="205">
        <v>1</v>
      </c>
      <c r="S239" s="26">
        <f t="shared" si="22"/>
        <v>6805.6299999999992</v>
      </c>
      <c r="T239" s="30">
        <v>2466.56</v>
      </c>
      <c r="U239" s="225">
        <v>4339.07</v>
      </c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52" t="s">
        <v>28</v>
      </c>
      <c r="H240" s="106"/>
      <c r="I240" s="38"/>
      <c r="J240" s="38"/>
      <c r="K240" s="39"/>
      <c r="L240" s="40"/>
      <c r="M240" s="39">
        <f t="shared" si="21"/>
        <v>0</v>
      </c>
      <c r="N240" s="39"/>
      <c r="O240" s="41"/>
      <c r="P240" s="69"/>
      <c r="Q240" s="39"/>
      <c r="R240" s="40"/>
      <c r="S240" s="39">
        <f t="shared" si="22"/>
        <v>0</v>
      </c>
      <c r="T240" s="39"/>
      <c r="U240" s="4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445</v>
      </c>
      <c r="C241" s="374"/>
      <c r="D241" s="374"/>
      <c r="E241" s="374" t="s">
        <v>484</v>
      </c>
      <c r="F241" s="72"/>
      <c r="G241" s="176" t="s">
        <v>24</v>
      </c>
      <c r="H241" s="265"/>
      <c r="I241" s="266"/>
      <c r="J241" s="96"/>
      <c r="K241" s="81"/>
      <c r="L241" s="80"/>
      <c r="M241" s="142">
        <f t="shared" si="21"/>
        <v>0</v>
      </c>
      <c r="N241" s="81"/>
      <c r="O241" s="82"/>
      <c r="P241" s="295"/>
      <c r="Q241" s="81"/>
      <c r="R241" s="80"/>
      <c r="S241" s="142">
        <f t="shared" si="22"/>
        <v>0</v>
      </c>
      <c r="T241" s="81"/>
      <c r="U241" s="8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6"/>
      <c r="G242" s="252" t="s">
        <v>28</v>
      </c>
      <c r="H242" s="302">
        <v>1</v>
      </c>
      <c r="I242" s="261"/>
      <c r="J242" s="261"/>
      <c r="K242" s="211"/>
      <c r="L242" s="210"/>
      <c r="M242" s="39">
        <f t="shared" si="21"/>
        <v>0</v>
      </c>
      <c r="N242" s="211"/>
      <c r="O242" s="212"/>
      <c r="P242" s="284"/>
      <c r="Q242" s="211"/>
      <c r="R242" s="210"/>
      <c r="S242" s="39">
        <f t="shared" si="22"/>
        <v>0</v>
      </c>
      <c r="T242" s="211"/>
      <c r="U242" s="21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2"/>
      <c r="B243" s="374" t="s">
        <v>179</v>
      </c>
      <c r="C243" s="374" t="s">
        <v>471</v>
      </c>
      <c r="D243" s="374" t="s">
        <v>472</v>
      </c>
      <c r="E243" s="374" t="s">
        <v>27</v>
      </c>
      <c r="F243" s="204" t="s">
        <v>473</v>
      </c>
      <c r="G243" s="176" t="s">
        <v>24</v>
      </c>
      <c r="H243" s="61">
        <v>2</v>
      </c>
      <c r="I243" s="25"/>
      <c r="J243" s="25"/>
      <c r="K243" s="26"/>
      <c r="L243" s="27"/>
      <c r="M243" s="26">
        <f t="shared" si="21"/>
        <v>0</v>
      </c>
      <c r="N243" s="26"/>
      <c r="O243" s="28"/>
      <c r="P243" s="29">
        <v>4</v>
      </c>
      <c r="Q243" s="30">
        <v>0</v>
      </c>
      <c r="R243" s="27"/>
      <c r="S243" s="26">
        <f t="shared" si="22"/>
        <v>0</v>
      </c>
      <c r="T243" s="26"/>
      <c r="U243" s="28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3"/>
      <c r="B244" s="375"/>
      <c r="C244" s="375"/>
      <c r="D244" s="375"/>
      <c r="E244" s="375"/>
      <c r="F244" s="105"/>
      <c r="G244" s="229" t="s">
        <v>28</v>
      </c>
      <c r="H244" s="298"/>
      <c r="I244" s="261"/>
      <c r="J244" s="261"/>
      <c r="K244" s="211"/>
      <c r="L244" s="210"/>
      <c r="M244" s="211">
        <f t="shared" si="21"/>
        <v>0</v>
      </c>
      <c r="N244" s="211"/>
      <c r="O244" s="212"/>
      <c r="P244" s="284"/>
      <c r="Q244" s="211"/>
      <c r="R244" s="210"/>
      <c r="S244" s="211">
        <f t="shared" si="22"/>
        <v>0</v>
      </c>
      <c r="T244" s="211"/>
      <c r="U244" s="21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2"/>
      <c r="B245" s="374" t="s">
        <v>378</v>
      </c>
      <c r="C245" s="374" t="s">
        <v>46</v>
      </c>
      <c r="D245" s="374" t="s">
        <v>422</v>
      </c>
      <c r="E245" s="374" t="s">
        <v>27</v>
      </c>
      <c r="F245" s="232" t="s">
        <v>423</v>
      </c>
      <c r="G245" s="213" t="s">
        <v>24</v>
      </c>
      <c r="H245" s="61">
        <v>28</v>
      </c>
      <c r="I245" s="62">
        <v>20</v>
      </c>
      <c r="J245" s="62">
        <v>24</v>
      </c>
      <c r="K245" s="30">
        <v>47095.13</v>
      </c>
      <c r="L245" s="205">
        <v>21</v>
      </c>
      <c r="M245" s="26">
        <f t="shared" si="21"/>
        <v>47095.13</v>
      </c>
      <c r="N245" s="30">
        <v>38410.49</v>
      </c>
      <c r="O245" s="241">
        <v>8684.64</v>
      </c>
      <c r="P245" s="214"/>
      <c r="Q245" s="30"/>
      <c r="R245" s="205"/>
      <c r="S245" s="26">
        <f t="shared" si="22"/>
        <v>0</v>
      </c>
      <c r="T245" s="30"/>
      <c r="U245" s="2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3"/>
      <c r="B246" s="375"/>
      <c r="C246" s="375"/>
      <c r="D246" s="375"/>
      <c r="E246" s="375"/>
      <c r="F246" s="220"/>
      <c r="G246" s="215" t="s">
        <v>28</v>
      </c>
      <c r="H246" s="117">
        <v>7</v>
      </c>
      <c r="I246" s="37">
        <v>1</v>
      </c>
      <c r="J246" s="37">
        <v>1</v>
      </c>
      <c r="K246" s="68">
        <v>1152.5999999999999</v>
      </c>
      <c r="L246" s="285">
        <v>1</v>
      </c>
      <c r="M246" s="39">
        <f t="shared" si="21"/>
        <v>1152.5999999999999</v>
      </c>
      <c r="N246" s="39">
        <f>1152.6</f>
        <v>1152.5999999999999</v>
      </c>
      <c r="O246" s="41"/>
      <c r="P246" s="217"/>
      <c r="Q246" s="68"/>
      <c r="R246" s="285"/>
      <c r="S246" s="39">
        <f t="shared" si="22"/>
        <v>0</v>
      </c>
      <c r="T246" s="68"/>
      <c r="U246" s="23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6"/>
      <c r="B247" s="377" t="s">
        <v>180</v>
      </c>
      <c r="C247" s="377" t="s">
        <v>46</v>
      </c>
      <c r="D247" s="377" t="s">
        <v>181</v>
      </c>
      <c r="E247" s="377" t="s">
        <v>27</v>
      </c>
      <c r="F247" s="232" t="s">
        <v>228</v>
      </c>
      <c r="G247" s="95" t="s">
        <v>24</v>
      </c>
      <c r="H247" s="265">
        <v>20</v>
      </c>
      <c r="I247" s="266">
        <v>13</v>
      </c>
      <c r="J247" s="266">
        <v>14</v>
      </c>
      <c r="K247" s="79">
        <v>27921.57</v>
      </c>
      <c r="L247" s="268">
        <v>12</v>
      </c>
      <c r="M247" s="81">
        <f t="shared" si="21"/>
        <v>27921.57</v>
      </c>
      <c r="N247" s="79">
        <v>21720.67</v>
      </c>
      <c r="O247" s="269">
        <v>6200.9</v>
      </c>
      <c r="P247" s="267">
        <v>17</v>
      </c>
      <c r="Q247" s="79">
        <v>74693.53</v>
      </c>
      <c r="R247" s="268">
        <v>17</v>
      </c>
      <c r="S247" s="26">
        <f t="shared" si="22"/>
        <v>74693.53</v>
      </c>
      <c r="T247" s="79">
        <v>74693.53</v>
      </c>
      <c r="U247" s="269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9"/>
      <c r="B248" s="380"/>
      <c r="C248" s="380"/>
      <c r="D248" s="380"/>
      <c r="E248" s="380"/>
      <c r="F248" s="54"/>
      <c r="G248" s="55" t="s">
        <v>28</v>
      </c>
      <c r="H248" s="116"/>
      <c r="I248" s="57"/>
      <c r="J248" s="57"/>
      <c r="K248" s="43"/>
      <c r="L248" s="128"/>
      <c r="M248" s="50">
        <f t="shared" si="21"/>
        <v>0</v>
      </c>
      <c r="N248" s="43"/>
      <c r="O248" s="41"/>
      <c r="P248" s="113">
        <v>3</v>
      </c>
      <c r="Q248" s="114">
        <v>15175.95</v>
      </c>
      <c r="R248" s="270">
        <v>3</v>
      </c>
      <c r="S248" s="43">
        <f t="shared" si="22"/>
        <v>2881.5499999999997</v>
      </c>
      <c r="T248" s="114">
        <f>2209.2+672.35</f>
        <v>2881.5499999999997</v>
      </c>
      <c r="U248" s="4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2"/>
      <c r="B249" s="374" t="s">
        <v>182</v>
      </c>
      <c r="C249" s="374" t="s">
        <v>46</v>
      </c>
      <c r="D249" s="374" t="s">
        <v>181</v>
      </c>
      <c r="E249" s="374" t="s">
        <v>27</v>
      </c>
      <c r="F249" s="204" t="s">
        <v>379</v>
      </c>
      <c r="G249" s="23" t="s">
        <v>24</v>
      </c>
      <c r="H249" s="48">
        <v>20</v>
      </c>
      <c r="I249" s="62">
        <v>19</v>
      </c>
      <c r="J249" s="62">
        <v>21</v>
      </c>
      <c r="K249" s="30">
        <v>30857.77</v>
      </c>
      <c r="L249" s="205">
        <v>21</v>
      </c>
      <c r="M249" s="26">
        <f t="shared" si="21"/>
        <v>30857.77</v>
      </c>
      <c r="N249" s="30">
        <v>30857.77</v>
      </c>
      <c r="O249" s="31"/>
      <c r="P249" s="53">
        <v>13</v>
      </c>
      <c r="Q249" s="30">
        <v>80512.5</v>
      </c>
      <c r="R249" s="205">
        <v>13</v>
      </c>
      <c r="S249" s="26">
        <f t="shared" si="22"/>
        <v>80512.5</v>
      </c>
      <c r="T249" s="30">
        <v>80512.5</v>
      </c>
      <c r="U249" s="100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3"/>
      <c r="B250" s="375"/>
      <c r="C250" s="375"/>
      <c r="D250" s="375"/>
      <c r="E250" s="375"/>
      <c r="F250" s="34"/>
      <c r="G250" s="35" t="s">
        <v>28</v>
      </c>
      <c r="H250" s="116"/>
      <c r="I250" s="38"/>
      <c r="J250" s="38"/>
      <c r="K250" s="39"/>
      <c r="L250" s="40"/>
      <c r="M250" s="39">
        <f t="shared" si="21"/>
        <v>0</v>
      </c>
      <c r="N250" s="39"/>
      <c r="O250" s="41"/>
      <c r="P250" s="115">
        <v>2</v>
      </c>
      <c r="Q250" s="68">
        <v>4418.3</v>
      </c>
      <c r="R250" s="285">
        <v>2</v>
      </c>
      <c r="S250" s="39">
        <f t="shared" si="22"/>
        <v>4418.3</v>
      </c>
      <c r="T250" s="39">
        <f>3073.6+1344.7</f>
        <v>4418.3</v>
      </c>
      <c r="U250" s="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70"/>
      <c r="B251" s="377" t="s">
        <v>480</v>
      </c>
      <c r="C251" s="377" t="s">
        <v>39</v>
      </c>
      <c r="D251" s="377" t="s">
        <v>481</v>
      </c>
      <c r="E251" s="377"/>
      <c r="F251" s="232"/>
      <c r="G251" s="23" t="s">
        <v>24</v>
      </c>
      <c r="H251" s="48"/>
      <c r="I251" s="266"/>
      <c r="J251" s="266"/>
      <c r="K251" s="79"/>
      <c r="L251" s="268"/>
      <c r="M251" s="142">
        <f t="shared" si="21"/>
        <v>0</v>
      </c>
      <c r="N251" s="79"/>
      <c r="O251" s="82"/>
      <c r="P251" s="267"/>
      <c r="Q251" s="79"/>
      <c r="R251" s="268"/>
      <c r="S251" s="142">
        <f t="shared" si="22"/>
        <v>0</v>
      </c>
      <c r="T251" s="79"/>
      <c r="U251" s="336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55"/>
      <c r="B252" s="375"/>
      <c r="C252" s="375"/>
      <c r="D252" s="375"/>
      <c r="E252" s="375"/>
      <c r="F252" s="356"/>
      <c r="G252" s="35" t="s">
        <v>28</v>
      </c>
      <c r="H252" s="353">
        <v>7</v>
      </c>
      <c r="I252" s="338">
        <v>1</v>
      </c>
      <c r="J252" s="338">
        <v>1</v>
      </c>
      <c r="K252" s="339">
        <v>1324.62</v>
      </c>
      <c r="L252" s="340">
        <v>1</v>
      </c>
      <c r="M252" s="39">
        <f t="shared" si="21"/>
        <v>1324.62</v>
      </c>
      <c r="N252" s="339">
        <v>1324.62</v>
      </c>
      <c r="O252" s="89"/>
      <c r="P252" s="357"/>
      <c r="Q252" s="339"/>
      <c r="R252" s="340"/>
      <c r="S252" s="39">
        <f t="shared" si="22"/>
        <v>0</v>
      </c>
      <c r="T252" s="339"/>
      <c r="U252" s="342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183</v>
      </c>
      <c r="C253" s="377" t="s">
        <v>22</v>
      </c>
      <c r="D253" s="377"/>
      <c r="E253" s="377" t="s">
        <v>99</v>
      </c>
      <c r="F253" s="232" t="s">
        <v>380</v>
      </c>
      <c r="G253" s="23" t="s">
        <v>24</v>
      </c>
      <c r="H253" s="265">
        <v>20</v>
      </c>
      <c r="I253" s="266">
        <v>14</v>
      </c>
      <c r="J253" s="266">
        <v>21</v>
      </c>
      <c r="K253" s="79">
        <v>27647.42</v>
      </c>
      <c r="L253" s="268">
        <v>17</v>
      </c>
      <c r="M253" s="81">
        <f t="shared" si="21"/>
        <v>27647.42</v>
      </c>
      <c r="N253" s="79">
        <v>23506.21</v>
      </c>
      <c r="O253" s="269">
        <v>4141.21</v>
      </c>
      <c r="P253" s="267">
        <v>15</v>
      </c>
      <c r="Q253" s="79">
        <v>54881.4</v>
      </c>
      <c r="R253" s="268">
        <v>14</v>
      </c>
      <c r="S253" s="81">
        <f t="shared" si="22"/>
        <v>54881.4</v>
      </c>
      <c r="T253" s="79">
        <v>53584.26</v>
      </c>
      <c r="U253" s="269">
        <v>1297.1400000000001</v>
      </c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252</v>
      </c>
      <c r="G254" s="227" t="s">
        <v>28</v>
      </c>
      <c r="H254" s="292">
        <v>12</v>
      </c>
      <c r="I254" s="208">
        <v>8</v>
      </c>
      <c r="J254" s="208">
        <v>8</v>
      </c>
      <c r="K254" s="209">
        <v>19683</v>
      </c>
      <c r="L254" s="290">
        <v>5</v>
      </c>
      <c r="M254" s="211">
        <f t="shared" si="21"/>
        <v>11101.599999999999</v>
      </c>
      <c r="N254" s="211">
        <f>1806.3+3073.6+2408.4+2408.4+1404.9</f>
        <v>11101.599999999999</v>
      </c>
      <c r="O254" s="212"/>
      <c r="P254" s="262">
        <v>4</v>
      </c>
      <c r="Q254" s="209">
        <v>25850.2</v>
      </c>
      <c r="R254" s="290">
        <v>2</v>
      </c>
      <c r="S254" s="211">
        <f t="shared" si="22"/>
        <v>5378.8</v>
      </c>
      <c r="T254" s="211">
        <f>4034.1+1344.7</f>
        <v>5378.8</v>
      </c>
      <c r="U254" s="212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425</v>
      </c>
      <c r="C255" s="374" t="s">
        <v>22</v>
      </c>
      <c r="D255" s="374"/>
      <c r="E255" s="374" t="s">
        <v>131</v>
      </c>
      <c r="F255" s="204" t="s">
        <v>426</v>
      </c>
      <c r="G255" s="176" t="s">
        <v>24</v>
      </c>
      <c r="H255" s="61">
        <v>19</v>
      </c>
      <c r="I255" s="62">
        <v>14</v>
      </c>
      <c r="J255" s="62">
        <v>19</v>
      </c>
      <c r="K255" s="30">
        <v>28674.22</v>
      </c>
      <c r="L255" s="205">
        <v>14</v>
      </c>
      <c r="M255" s="26">
        <f t="shared" si="21"/>
        <v>27633.73</v>
      </c>
      <c r="N255" s="30">
        <v>17695.5</v>
      </c>
      <c r="O255" s="241">
        <v>9938.23</v>
      </c>
      <c r="P255" s="275"/>
      <c r="Q255" s="26"/>
      <c r="R255" s="27"/>
      <c r="S255" s="26">
        <f t="shared" si="22"/>
        <v>0</v>
      </c>
      <c r="T255" s="26"/>
      <c r="U255" s="28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6.5" customHeight="1">
      <c r="A256" s="373"/>
      <c r="B256" s="375"/>
      <c r="C256" s="375"/>
      <c r="D256" s="375"/>
      <c r="E256" s="375"/>
      <c r="F256" s="34"/>
      <c r="G256" s="229" t="s">
        <v>25</v>
      </c>
      <c r="H256" s="106"/>
      <c r="I256" s="38"/>
      <c r="J256" s="38"/>
      <c r="K256" s="39"/>
      <c r="L256" s="40"/>
      <c r="M256" s="39">
        <f t="shared" si="21"/>
        <v>0</v>
      </c>
      <c r="N256" s="39"/>
      <c r="O256" s="41"/>
      <c r="P256" s="276"/>
      <c r="Q256" s="39"/>
      <c r="R256" s="40"/>
      <c r="S256" s="39">
        <f t="shared" si="22"/>
        <v>0</v>
      </c>
      <c r="T256" s="39"/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6.5" customHeight="1">
      <c r="A257" s="376"/>
      <c r="B257" s="377" t="s">
        <v>184</v>
      </c>
      <c r="C257" s="377" t="s">
        <v>22</v>
      </c>
      <c r="D257" s="377"/>
      <c r="E257" s="377" t="s">
        <v>27</v>
      </c>
      <c r="F257" s="223" t="s">
        <v>453</v>
      </c>
      <c r="G257" s="95" t="s">
        <v>24</v>
      </c>
      <c r="H257" s="265">
        <v>6</v>
      </c>
      <c r="I257" s="266">
        <v>3</v>
      </c>
      <c r="J257" s="266">
        <v>4</v>
      </c>
      <c r="K257" s="79">
        <v>6459.48</v>
      </c>
      <c r="L257" s="268">
        <v>2</v>
      </c>
      <c r="M257" s="81">
        <f t="shared" si="21"/>
        <v>4199.09</v>
      </c>
      <c r="N257" s="79">
        <v>3158.6</v>
      </c>
      <c r="O257" s="269">
        <v>1040.49</v>
      </c>
      <c r="P257" s="277"/>
      <c r="Q257" s="81"/>
      <c r="R257" s="80"/>
      <c r="S257" s="81">
        <f t="shared" si="22"/>
        <v>0</v>
      </c>
      <c r="T257" s="81"/>
      <c r="U257" s="219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6.5" customHeight="1">
      <c r="A258" s="379"/>
      <c r="B258" s="380"/>
      <c r="C258" s="380"/>
      <c r="D258" s="380"/>
      <c r="E258" s="380"/>
      <c r="F258" s="233" t="s">
        <v>253</v>
      </c>
      <c r="G258" s="227" t="s">
        <v>28</v>
      </c>
      <c r="H258" s="153">
        <v>8</v>
      </c>
      <c r="I258" s="130">
        <v>4</v>
      </c>
      <c r="J258" s="130">
        <v>4</v>
      </c>
      <c r="K258" s="114">
        <v>10482.120000000001</v>
      </c>
      <c r="L258" s="270">
        <v>3</v>
      </c>
      <c r="M258" s="43">
        <f t="shared" si="21"/>
        <v>9275.82</v>
      </c>
      <c r="N258" s="43">
        <f>1921+3380.96+3973.86</f>
        <v>9275.82</v>
      </c>
      <c r="O258" s="41"/>
      <c r="P258" s="113">
        <v>5</v>
      </c>
      <c r="Q258" s="114">
        <v>10565.5</v>
      </c>
      <c r="R258" s="270">
        <v>4</v>
      </c>
      <c r="S258" s="43">
        <f t="shared" si="22"/>
        <v>9989.2000000000007</v>
      </c>
      <c r="T258" s="114">
        <f>2958.34+3457.8+1267.86+2305.2</f>
        <v>9989.2000000000007</v>
      </c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6.5" customHeight="1">
      <c r="A259" s="372"/>
      <c r="B259" s="374" t="s">
        <v>185</v>
      </c>
      <c r="C259" s="374" t="s">
        <v>22</v>
      </c>
      <c r="D259" s="374"/>
      <c r="E259" s="374" t="s">
        <v>27</v>
      </c>
      <c r="F259" s="204" t="s">
        <v>341</v>
      </c>
      <c r="G259" s="176" t="s">
        <v>24</v>
      </c>
      <c r="H259" s="98"/>
      <c r="I259" s="25"/>
      <c r="J259" s="25"/>
      <c r="K259" s="26"/>
      <c r="L259" s="27"/>
      <c r="M259" s="26">
        <f t="shared" si="21"/>
        <v>0</v>
      </c>
      <c r="N259" s="26"/>
      <c r="O259" s="31"/>
      <c r="P259" s="53">
        <v>2</v>
      </c>
      <c r="Q259" s="30">
        <v>2633.4</v>
      </c>
      <c r="R259" s="205">
        <v>2</v>
      </c>
      <c r="S259" s="26">
        <f t="shared" si="22"/>
        <v>2633.4</v>
      </c>
      <c r="T259" s="30">
        <v>2633.4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 t="s">
        <v>342</v>
      </c>
      <c r="G260" s="229" t="s">
        <v>28</v>
      </c>
      <c r="H260" s="133">
        <v>8</v>
      </c>
      <c r="I260" s="130">
        <v>1</v>
      </c>
      <c r="J260" s="130">
        <v>1</v>
      </c>
      <c r="K260" s="114">
        <v>2007</v>
      </c>
      <c r="L260" s="44"/>
      <c r="M260" s="43">
        <f t="shared" si="21"/>
        <v>0</v>
      </c>
      <c r="N260" s="43"/>
      <c r="O260" s="41"/>
      <c r="P260" s="113">
        <v>5</v>
      </c>
      <c r="Q260" s="114">
        <v>25755.33</v>
      </c>
      <c r="R260" s="270">
        <v>3</v>
      </c>
      <c r="S260" s="43">
        <f t="shared" si="22"/>
        <v>15773.67</v>
      </c>
      <c r="T260" s="43">
        <f>2994.47+1204.2+11575</f>
        <v>15773.67</v>
      </c>
      <c r="U260" s="4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186</v>
      </c>
      <c r="C261" s="374" t="s">
        <v>22</v>
      </c>
      <c r="D261" s="374"/>
      <c r="E261" s="374" t="s">
        <v>99</v>
      </c>
      <c r="F261" s="232" t="s">
        <v>315</v>
      </c>
      <c r="G261" s="23" t="s">
        <v>24</v>
      </c>
      <c r="H261" s="48">
        <v>24</v>
      </c>
      <c r="I261" s="62">
        <v>17</v>
      </c>
      <c r="J261" s="62">
        <v>23</v>
      </c>
      <c r="K261" s="30">
        <v>44348.3</v>
      </c>
      <c r="L261" s="205">
        <v>17</v>
      </c>
      <c r="M261" s="26">
        <f t="shared" si="21"/>
        <v>44348.299999999996</v>
      </c>
      <c r="N261" s="30">
        <v>35760.379999999997</v>
      </c>
      <c r="O261" s="225">
        <v>8587.92</v>
      </c>
      <c r="P261" s="53">
        <v>15</v>
      </c>
      <c r="Q261" s="30">
        <v>46212.56</v>
      </c>
      <c r="R261" s="205">
        <v>15</v>
      </c>
      <c r="S261" s="26">
        <f t="shared" si="22"/>
        <v>46212.56</v>
      </c>
      <c r="T261" s="30">
        <v>46212.56</v>
      </c>
      <c r="U261" s="225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 t="s">
        <v>254</v>
      </c>
      <c r="G262" s="35" t="s">
        <v>28</v>
      </c>
      <c r="H262" s="153">
        <v>14</v>
      </c>
      <c r="I262" s="37">
        <v>4</v>
      </c>
      <c r="J262" s="37">
        <v>4</v>
      </c>
      <c r="K262" s="68">
        <v>6622.6</v>
      </c>
      <c r="L262" s="285">
        <v>1</v>
      </c>
      <c r="M262" s="39">
        <f t="shared" si="21"/>
        <v>3010.5</v>
      </c>
      <c r="N262" s="39">
        <f>3010.5</f>
        <v>3010.5</v>
      </c>
      <c r="O262" s="41"/>
      <c r="P262" s="59"/>
      <c r="Q262" s="39"/>
      <c r="R262" s="40"/>
      <c r="S262" s="39">
        <f t="shared" si="22"/>
        <v>0</v>
      </c>
      <c r="T262" s="39"/>
      <c r="U262" s="41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82"/>
      <c r="B263" s="381" t="s">
        <v>187</v>
      </c>
      <c r="C263" s="381" t="s">
        <v>22</v>
      </c>
      <c r="D263" s="381"/>
      <c r="E263" s="381" t="s">
        <v>131</v>
      </c>
      <c r="F263" s="223" t="s">
        <v>343</v>
      </c>
      <c r="G263" s="23" t="s">
        <v>24</v>
      </c>
      <c r="H263" s="48">
        <v>19</v>
      </c>
      <c r="I263" s="203">
        <v>16</v>
      </c>
      <c r="J263" s="203">
        <v>24</v>
      </c>
      <c r="K263" s="65">
        <v>43817.02</v>
      </c>
      <c r="L263" s="224">
        <v>24</v>
      </c>
      <c r="M263" s="50">
        <f t="shared" si="21"/>
        <v>43817.02</v>
      </c>
      <c r="N263" s="65">
        <v>43817.02</v>
      </c>
      <c r="O263" s="225"/>
      <c r="P263" s="108">
        <v>20</v>
      </c>
      <c r="Q263" s="65">
        <v>57368.51</v>
      </c>
      <c r="R263" s="224">
        <v>20</v>
      </c>
      <c r="S263" s="50">
        <f t="shared" si="22"/>
        <v>57368.51</v>
      </c>
      <c r="T263" s="65">
        <v>57368.51</v>
      </c>
      <c r="U263" s="225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9"/>
      <c r="B264" s="380"/>
      <c r="C264" s="380"/>
      <c r="D264" s="380"/>
      <c r="E264" s="380"/>
      <c r="F264" s="233" t="s">
        <v>497</v>
      </c>
      <c r="G264" s="227" t="s">
        <v>25</v>
      </c>
      <c r="H264" s="153">
        <v>5</v>
      </c>
      <c r="I264" s="130">
        <v>4</v>
      </c>
      <c r="J264" s="130">
        <v>4</v>
      </c>
      <c r="K264" s="114">
        <v>11800.7</v>
      </c>
      <c r="L264" s="270">
        <v>3</v>
      </c>
      <c r="M264" s="114">
        <v>6545.7</v>
      </c>
      <c r="N264" s="114">
        <v>6545.7</v>
      </c>
      <c r="O264" s="41"/>
      <c r="P264" s="113">
        <v>5</v>
      </c>
      <c r="Q264" s="114">
        <v>34513.06</v>
      </c>
      <c r="R264" s="270">
        <v>5</v>
      </c>
      <c r="S264" s="114">
        <v>34513.06</v>
      </c>
      <c r="T264" s="114">
        <v>34513.06</v>
      </c>
      <c r="U264" s="2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429</v>
      </c>
      <c r="C265" s="374" t="s">
        <v>22</v>
      </c>
      <c r="D265" s="374"/>
      <c r="E265" s="374" t="s">
        <v>27</v>
      </c>
      <c r="F265" s="204" t="s">
        <v>446</v>
      </c>
      <c r="G265" s="176" t="s">
        <v>24</v>
      </c>
      <c r="H265" s="151">
        <v>2</v>
      </c>
      <c r="I265" s="25"/>
      <c r="J265" s="25"/>
      <c r="K265" s="26"/>
      <c r="L265" s="27"/>
      <c r="M265" s="26">
        <f t="shared" ref="M265:M291" si="23">N265+O265</f>
        <v>0</v>
      </c>
      <c r="N265" s="30"/>
      <c r="O265" s="31"/>
      <c r="P265" s="53">
        <v>1</v>
      </c>
      <c r="Q265" s="30">
        <v>36784.050000000003</v>
      </c>
      <c r="R265" s="205">
        <v>1</v>
      </c>
      <c r="S265" s="26">
        <f t="shared" ref="S265:S291" si="24">T265+U265</f>
        <v>36784.050000000003</v>
      </c>
      <c r="T265" s="30">
        <v>36784.050000000003</v>
      </c>
      <c r="U265" s="3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/>
      <c r="G266" s="229" t="s">
        <v>28</v>
      </c>
      <c r="H266" s="133"/>
      <c r="I266" s="57"/>
      <c r="J266" s="57"/>
      <c r="K266" s="43"/>
      <c r="L266" s="44"/>
      <c r="M266" s="43">
        <f t="shared" si="23"/>
        <v>0</v>
      </c>
      <c r="N266" s="43"/>
      <c r="O266" s="41"/>
      <c r="P266" s="113"/>
      <c r="Q266" s="114"/>
      <c r="R266" s="44"/>
      <c r="S266" s="43">
        <f t="shared" si="24"/>
        <v>0</v>
      </c>
      <c r="T266" s="114"/>
      <c r="U266" s="2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188</v>
      </c>
      <c r="C267" s="374" t="s">
        <v>39</v>
      </c>
      <c r="D267" s="374" t="s">
        <v>474</v>
      </c>
      <c r="E267" s="374" t="s">
        <v>27</v>
      </c>
      <c r="F267" s="358" t="s">
        <v>482</v>
      </c>
      <c r="G267" s="176" t="s">
        <v>24</v>
      </c>
      <c r="H267" s="281">
        <v>4</v>
      </c>
      <c r="I267" s="62">
        <v>3</v>
      </c>
      <c r="J267" s="62">
        <v>4</v>
      </c>
      <c r="K267" s="30">
        <v>11113.6</v>
      </c>
      <c r="L267" s="205">
        <v>1</v>
      </c>
      <c r="M267" s="26">
        <f t="shared" si="23"/>
        <v>11113.6</v>
      </c>
      <c r="N267" s="30">
        <v>1646.5</v>
      </c>
      <c r="O267" s="269">
        <v>9467.1</v>
      </c>
      <c r="P267" s="53">
        <v>3</v>
      </c>
      <c r="Q267" s="30">
        <v>8065.3</v>
      </c>
      <c r="R267" s="205">
        <v>2</v>
      </c>
      <c r="S267" s="26">
        <f t="shared" si="24"/>
        <v>8065.3</v>
      </c>
      <c r="T267" s="30">
        <v>8065.3</v>
      </c>
      <c r="U267" s="219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20.25" customHeight="1">
      <c r="A268" s="373"/>
      <c r="B268" s="375"/>
      <c r="C268" s="375"/>
      <c r="D268" s="375"/>
      <c r="E268" s="375"/>
      <c r="F268" s="220" t="s">
        <v>344</v>
      </c>
      <c r="G268" s="229" t="s">
        <v>28</v>
      </c>
      <c r="H268" s="56">
        <v>13</v>
      </c>
      <c r="I268" s="130">
        <v>2</v>
      </c>
      <c r="J268" s="130">
        <v>2</v>
      </c>
      <c r="K268" s="114">
        <v>2524</v>
      </c>
      <c r="L268" s="44"/>
      <c r="M268" s="43">
        <f t="shared" si="23"/>
        <v>0</v>
      </c>
      <c r="N268" s="43"/>
      <c r="O268" s="222">
        <v>0</v>
      </c>
      <c r="P268" s="113">
        <v>20</v>
      </c>
      <c r="Q268" s="114">
        <v>31033.8</v>
      </c>
      <c r="R268" s="270">
        <v>11</v>
      </c>
      <c r="S268" s="43">
        <f t="shared" si="24"/>
        <v>24068.65</v>
      </c>
      <c r="T268" s="114">
        <f>4050.2+4802.5+4415.4+3311.55+3073.6+4415.4</f>
        <v>24068.65</v>
      </c>
      <c r="U268" s="222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189</v>
      </c>
      <c r="C269" s="374" t="s">
        <v>39</v>
      </c>
      <c r="D269" s="374" t="s">
        <v>427</v>
      </c>
      <c r="E269" s="374" t="s">
        <v>27</v>
      </c>
      <c r="F269" s="232" t="s">
        <v>428</v>
      </c>
      <c r="G269" s="23" t="s">
        <v>24</v>
      </c>
      <c r="H269" s="24">
        <v>21</v>
      </c>
      <c r="I269" s="62">
        <v>17</v>
      </c>
      <c r="J269" s="62">
        <v>21</v>
      </c>
      <c r="K269" s="30">
        <v>43460.22</v>
      </c>
      <c r="L269" s="205">
        <v>18</v>
      </c>
      <c r="M269" s="26">
        <f t="shared" si="23"/>
        <v>43460.22</v>
      </c>
      <c r="N269" s="30">
        <v>38219.47</v>
      </c>
      <c r="O269" s="241">
        <v>5240.75</v>
      </c>
      <c r="P269" s="29">
        <v>3</v>
      </c>
      <c r="Q269" s="30">
        <v>23366.85</v>
      </c>
      <c r="R269" s="205">
        <v>3</v>
      </c>
      <c r="S269" s="26">
        <f t="shared" si="24"/>
        <v>23366.85</v>
      </c>
      <c r="T269" s="30">
        <v>23366.85</v>
      </c>
      <c r="U269" s="2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256</v>
      </c>
      <c r="G270" s="35" t="s">
        <v>28</v>
      </c>
      <c r="H270" s="66">
        <v>7</v>
      </c>
      <c r="I270" s="37">
        <v>4</v>
      </c>
      <c r="J270" s="37">
        <v>4</v>
      </c>
      <c r="K270" s="68">
        <v>7978.72</v>
      </c>
      <c r="L270" s="285">
        <v>2</v>
      </c>
      <c r="M270" s="39">
        <f t="shared" si="23"/>
        <v>5453.32</v>
      </c>
      <c r="N270" s="39">
        <f>1921+3532.32</f>
        <v>5453.32</v>
      </c>
      <c r="O270" s="41"/>
      <c r="P270" s="69"/>
      <c r="Q270" s="39"/>
      <c r="R270" s="40"/>
      <c r="S270" s="39">
        <f t="shared" si="24"/>
        <v>0</v>
      </c>
      <c r="T270" s="39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82"/>
      <c r="B271" s="381" t="s">
        <v>190</v>
      </c>
      <c r="C271" s="381" t="s">
        <v>39</v>
      </c>
      <c r="D271" s="381" t="s">
        <v>191</v>
      </c>
      <c r="E271" s="381" t="s">
        <v>27</v>
      </c>
      <c r="F271" s="46"/>
      <c r="G271" s="47" t="s">
        <v>24</v>
      </c>
      <c r="H271" s="98"/>
      <c r="I271" s="49"/>
      <c r="J271" s="49"/>
      <c r="K271" s="50"/>
      <c r="L271" s="51"/>
      <c r="M271" s="50">
        <f t="shared" si="23"/>
        <v>0</v>
      </c>
      <c r="N271" s="50"/>
      <c r="O271" s="31"/>
      <c r="P271" s="123"/>
      <c r="Q271" s="50"/>
      <c r="R271" s="51"/>
      <c r="S271" s="50">
        <f t="shared" si="24"/>
        <v>0</v>
      </c>
      <c r="T271" s="50"/>
      <c r="U271" s="3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345</v>
      </c>
      <c r="G272" s="35" t="s">
        <v>28</v>
      </c>
      <c r="H272" s="112">
        <v>2</v>
      </c>
      <c r="I272" s="57"/>
      <c r="J272" s="57"/>
      <c r="K272" s="43"/>
      <c r="L272" s="44"/>
      <c r="M272" s="43">
        <f t="shared" si="23"/>
        <v>0</v>
      </c>
      <c r="N272" s="43"/>
      <c r="O272" s="45"/>
      <c r="P272" s="115">
        <v>4</v>
      </c>
      <c r="Q272" s="68">
        <v>5106.7</v>
      </c>
      <c r="R272" s="285">
        <v>6</v>
      </c>
      <c r="S272" s="39">
        <f t="shared" si="24"/>
        <v>8028.28</v>
      </c>
      <c r="T272" s="68">
        <f>3818+2921.58+1288.7</f>
        <v>8028.28</v>
      </c>
      <c r="U272" s="41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192</v>
      </c>
      <c r="C273" s="374" t="s">
        <v>22</v>
      </c>
      <c r="D273" s="374"/>
      <c r="E273" s="374" t="s">
        <v>193</v>
      </c>
      <c r="F273" s="204" t="s">
        <v>318</v>
      </c>
      <c r="G273" s="176" t="s">
        <v>24</v>
      </c>
      <c r="H273" s="61">
        <v>27</v>
      </c>
      <c r="I273" s="62">
        <v>24</v>
      </c>
      <c r="J273" s="62">
        <v>32</v>
      </c>
      <c r="K273" s="30">
        <v>51979.28</v>
      </c>
      <c r="L273" s="205">
        <v>27</v>
      </c>
      <c r="M273" s="26">
        <f t="shared" si="23"/>
        <v>48319.59</v>
      </c>
      <c r="N273" s="30">
        <v>41646.25</v>
      </c>
      <c r="O273" s="243">
        <v>6673.34</v>
      </c>
      <c r="P273" s="64">
        <v>22</v>
      </c>
      <c r="Q273" s="65">
        <v>66066.52</v>
      </c>
      <c r="R273" s="224">
        <v>20</v>
      </c>
      <c r="S273" s="50">
        <f t="shared" si="24"/>
        <v>63606.34</v>
      </c>
      <c r="T273" s="65">
        <v>52584.43</v>
      </c>
      <c r="U273" s="225">
        <v>11021.91</v>
      </c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346</v>
      </c>
      <c r="G274" s="229" t="s">
        <v>28</v>
      </c>
      <c r="H274" s="133">
        <v>1</v>
      </c>
      <c r="I274" s="37">
        <v>1</v>
      </c>
      <c r="J274" s="37">
        <v>1</v>
      </c>
      <c r="K274" s="68">
        <v>1728.9</v>
      </c>
      <c r="L274" s="285">
        <v>1</v>
      </c>
      <c r="M274" s="39">
        <f t="shared" si="23"/>
        <v>1728.9</v>
      </c>
      <c r="N274" s="39">
        <f>1728.9</f>
        <v>1728.9</v>
      </c>
      <c r="O274" s="41"/>
      <c r="P274" s="42"/>
      <c r="Q274" s="43"/>
      <c r="R274" s="44"/>
      <c r="S274" s="43">
        <f t="shared" si="24"/>
        <v>0</v>
      </c>
      <c r="T274" s="43"/>
      <c r="U274" s="4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194</v>
      </c>
      <c r="C275" s="377" t="s">
        <v>39</v>
      </c>
      <c r="D275" s="377" t="s">
        <v>319</v>
      </c>
      <c r="E275" s="374" t="s">
        <v>160</v>
      </c>
      <c r="F275" s="232" t="s">
        <v>320</v>
      </c>
      <c r="G275" s="23" t="s">
        <v>24</v>
      </c>
      <c r="H275" s="48">
        <v>7</v>
      </c>
      <c r="I275" s="203">
        <v>7</v>
      </c>
      <c r="J275" s="203">
        <v>7</v>
      </c>
      <c r="K275" s="65">
        <v>7268.75</v>
      </c>
      <c r="L275" s="316">
        <v>6</v>
      </c>
      <c r="M275" s="129">
        <f t="shared" si="23"/>
        <v>7268.75</v>
      </c>
      <c r="N275" s="65">
        <v>6526.74</v>
      </c>
      <c r="O275" s="225">
        <v>742.01</v>
      </c>
      <c r="P275" s="29">
        <v>3</v>
      </c>
      <c r="Q275" s="30">
        <v>6107.21</v>
      </c>
      <c r="R275" s="205">
        <v>3</v>
      </c>
      <c r="S275" s="26">
        <f t="shared" si="24"/>
        <v>6107.21</v>
      </c>
      <c r="T275" s="30">
        <v>6107.21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347</v>
      </c>
      <c r="G276" s="35" t="s">
        <v>28</v>
      </c>
      <c r="H276" s="117">
        <v>7</v>
      </c>
      <c r="I276" s="37">
        <v>3</v>
      </c>
      <c r="J276" s="37">
        <v>3</v>
      </c>
      <c r="K276" s="68">
        <v>11294.56</v>
      </c>
      <c r="L276" s="44"/>
      <c r="M276" s="43">
        <f t="shared" si="23"/>
        <v>0</v>
      </c>
      <c r="N276" s="39"/>
      <c r="O276" s="41"/>
      <c r="P276" s="37">
        <v>8</v>
      </c>
      <c r="Q276" s="37">
        <v>21038.49</v>
      </c>
      <c r="R276" s="285">
        <v>8</v>
      </c>
      <c r="S276" s="39">
        <f t="shared" si="24"/>
        <v>16625.88</v>
      </c>
      <c r="T276" s="68">
        <f>576.3+4045.34+3273.6+633.93+602.1+2709.45+4454+331.16</f>
        <v>16625.88</v>
      </c>
      <c r="U276" s="2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195</v>
      </c>
      <c r="C277" s="377" t="s">
        <v>39</v>
      </c>
      <c r="D277" s="377" t="s">
        <v>231</v>
      </c>
      <c r="E277" s="381" t="s">
        <v>27</v>
      </c>
      <c r="F277" s="204" t="s">
        <v>232</v>
      </c>
      <c r="G277" s="47" t="s">
        <v>24</v>
      </c>
      <c r="H277" s="61">
        <v>6</v>
      </c>
      <c r="I277" s="62">
        <v>1</v>
      </c>
      <c r="J277" s="62">
        <v>1</v>
      </c>
      <c r="K277" s="30">
        <v>2185.62</v>
      </c>
      <c r="L277" s="205">
        <v>1</v>
      </c>
      <c r="M277" s="26">
        <f t="shared" si="23"/>
        <v>2185.62</v>
      </c>
      <c r="N277" s="30">
        <v>2185.62</v>
      </c>
      <c r="O277" s="31"/>
      <c r="P277" s="64">
        <v>7</v>
      </c>
      <c r="Q277" s="65">
        <v>46859.35</v>
      </c>
      <c r="R277" s="224">
        <v>7</v>
      </c>
      <c r="S277" s="50">
        <f t="shared" si="24"/>
        <v>46859.35</v>
      </c>
      <c r="T277" s="65">
        <v>46859.35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1" t="s">
        <v>260</v>
      </c>
      <c r="G278" s="55" t="s">
        <v>28</v>
      </c>
      <c r="H278" s="178">
        <v>11</v>
      </c>
      <c r="I278" s="130">
        <v>6</v>
      </c>
      <c r="J278" s="130">
        <v>6</v>
      </c>
      <c r="K278" s="114">
        <v>21386.14</v>
      </c>
      <c r="L278" s="270">
        <v>3</v>
      </c>
      <c r="M278" s="43">
        <f t="shared" si="23"/>
        <v>8620.94</v>
      </c>
      <c r="N278" s="43">
        <f>1152.6+845.24+6623.1</f>
        <v>8620.94</v>
      </c>
      <c r="O278" s="222"/>
      <c r="P278" s="130">
        <v>9</v>
      </c>
      <c r="Q278" s="130">
        <v>29523.25</v>
      </c>
      <c r="R278" s="270">
        <v>12</v>
      </c>
      <c r="S278" s="43">
        <f t="shared" si="24"/>
        <v>39586.9</v>
      </c>
      <c r="T278" s="114">
        <f>4994.6+12678.6+576.3+6915.6+6915.6+576.3+2113.1+2809.8+2007</f>
        <v>39586.9</v>
      </c>
      <c r="U278" s="222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196</v>
      </c>
      <c r="C279" s="381" t="s">
        <v>22</v>
      </c>
      <c r="D279" s="374"/>
      <c r="E279" s="381" t="s">
        <v>27</v>
      </c>
      <c r="F279" s="22"/>
      <c r="G279" s="23" t="s">
        <v>24</v>
      </c>
      <c r="H279" s="119"/>
      <c r="I279" s="25"/>
      <c r="J279" s="25"/>
      <c r="K279" s="26"/>
      <c r="L279" s="27"/>
      <c r="M279" s="26">
        <f t="shared" si="23"/>
        <v>0</v>
      </c>
      <c r="N279" s="26"/>
      <c r="O279" s="28"/>
      <c r="P279" s="120"/>
      <c r="Q279" s="26"/>
      <c r="R279" s="27"/>
      <c r="S279" s="26">
        <f t="shared" si="24"/>
        <v>0</v>
      </c>
      <c r="T279" s="26"/>
      <c r="U279" s="28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348</v>
      </c>
      <c r="G280" s="35" t="s">
        <v>28</v>
      </c>
      <c r="H280" s="66">
        <v>12</v>
      </c>
      <c r="I280" s="37">
        <v>7</v>
      </c>
      <c r="J280" s="37">
        <v>7</v>
      </c>
      <c r="K280" s="68">
        <v>18300.5</v>
      </c>
      <c r="L280" s="285">
        <v>5</v>
      </c>
      <c r="M280" s="39">
        <f t="shared" si="23"/>
        <v>12042</v>
      </c>
      <c r="N280" s="39">
        <f>1806.3+3211.2+2007+1806.3+3211.2</f>
        <v>12042</v>
      </c>
      <c r="O280" s="41"/>
      <c r="P280" s="67">
        <v>5</v>
      </c>
      <c r="Q280" s="68">
        <v>13384.42</v>
      </c>
      <c r="R280" s="285">
        <v>4</v>
      </c>
      <c r="S280" s="39">
        <f t="shared" si="24"/>
        <v>11576</v>
      </c>
      <c r="T280" s="39">
        <f>2547.3+4226.2+2881.5+1921</f>
        <v>11576</v>
      </c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197</v>
      </c>
      <c r="C281" s="381" t="s">
        <v>39</v>
      </c>
      <c r="D281" s="381" t="s">
        <v>381</v>
      </c>
      <c r="E281" s="381" t="s">
        <v>27</v>
      </c>
      <c r="F281" s="204" t="s">
        <v>382</v>
      </c>
      <c r="G281" s="47" t="s">
        <v>24</v>
      </c>
      <c r="H281" s="151">
        <v>2</v>
      </c>
      <c r="I281" s="49"/>
      <c r="J281" s="49"/>
      <c r="K281" s="50"/>
      <c r="L281" s="51"/>
      <c r="M281" s="50">
        <f t="shared" si="23"/>
        <v>0</v>
      </c>
      <c r="N281" s="50"/>
      <c r="O281" s="31"/>
      <c r="P281" s="108">
        <v>2</v>
      </c>
      <c r="Q281" s="65">
        <v>7269.57</v>
      </c>
      <c r="R281" s="224">
        <v>1</v>
      </c>
      <c r="S281" s="50">
        <f t="shared" si="24"/>
        <v>748.24</v>
      </c>
      <c r="T281" s="65">
        <v>748.24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221" t="s">
        <v>349</v>
      </c>
      <c r="G282" s="55" t="s">
        <v>28</v>
      </c>
      <c r="H282" s="153">
        <v>7</v>
      </c>
      <c r="I282" s="130">
        <v>5</v>
      </c>
      <c r="J282" s="130">
        <v>5</v>
      </c>
      <c r="K282" s="114">
        <v>7977.5</v>
      </c>
      <c r="L282" s="270">
        <v>4</v>
      </c>
      <c r="M282" s="43">
        <f t="shared" si="23"/>
        <v>6389.4500000000007</v>
      </c>
      <c r="N282" s="43">
        <f>1056.55+1921+1404.9+2007</f>
        <v>6389.4500000000007</v>
      </c>
      <c r="O282" s="41"/>
      <c r="P282" s="103"/>
      <c r="Q282" s="43"/>
      <c r="R282" s="270">
        <v>2</v>
      </c>
      <c r="S282" s="43">
        <f t="shared" si="24"/>
        <v>3765.16</v>
      </c>
      <c r="T282" s="114">
        <f>1440.75+2324.41</f>
        <v>3765.16</v>
      </c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198</v>
      </c>
      <c r="C283" s="374" t="s">
        <v>39</v>
      </c>
      <c r="D283" s="374" t="s">
        <v>469</v>
      </c>
      <c r="E283" s="374" t="s">
        <v>112</v>
      </c>
      <c r="F283" s="204" t="s">
        <v>470</v>
      </c>
      <c r="G283" s="23" t="s">
        <v>24</v>
      </c>
      <c r="H283" s="48">
        <v>16</v>
      </c>
      <c r="I283" s="62">
        <v>11</v>
      </c>
      <c r="J283" s="62">
        <v>13</v>
      </c>
      <c r="K283" s="30">
        <v>15903.17</v>
      </c>
      <c r="L283" s="205">
        <v>12</v>
      </c>
      <c r="M283" s="26">
        <f t="shared" si="23"/>
        <v>15903.17</v>
      </c>
      <c r="N283" s="30">
        <v>14515.85</v>
      </c>
      <c r="O283" s="225">
        <v>1387.32</v>
      </c>
      <c r="P283" s="53">
        <v>17</v>
      </c>
      <c r="Q283" s="30">
        <v>59777.29</v>
      </c>
      <c r="R283" s="205">
        <v>15</v>
      </c>
      <c r="S283" s="26">
        <f t="shared" si="24"/>
        <v>59777.29</v>
      </c>
      <c r="T283" s="30">
        <v>53553.03</v>
      </c>
      <c r="U283" s="225">
        <v>6224.26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20" t="s">
        <v>350</v>
      </c>
      <c r="G284" s="35" t="s">
        <v>28</v>
      </c>
      <c r="H284" s="153">
        <v>4</v>
      </c>
      <c r="I284" s="37">
        <v>3</v>
      </c>
      <c r="J284" s="37">
        <v>3</v>
      </c>
      <c r="K284" s="68">
        <v>2557.3200000000002</v>
      </c>
      <c r="L284" s="285">
        <v>2</v>
      </c>
      <c r="M284" s="39">
        <f t="shared" si="23"/>
        <v>1926.7199999999998</v>
      </c>
      <c r="N284" s="360">
        <f>602.1+1324.62</f>
        <v>1926.7199999999998</v>
      </c>
      <c r="O284" s="41"/>
      <c r="P284" s="59"/>
      <c r="Q284" s="39"/>
      <c r="R284" s="40"/>
      <c r="S284" s="39">
        <f t="shared" si="24"/>
        <v>0</v>
      </c>
      <c r="T284" s="39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82"/>
      <c r="B285" s="381" t="s">
        <v>199</v>
      </c>
      <c r="C285" s="381" t="s">
        <v>22</v>
      </c>
      <c r="D285" s="381"/>
      <c r="E285" s="381" t="s">
        <v>131</v>
      </c>
      <c r="F285" s="46"/>
      <c r="G285" s="23" t="s">
        <v>24</v>
      </c>
      <c r="H285" s="98"/>
      <c r="I285" s="49"/>
      <c r="J285" s="49"/>
      <c r="K285" s="50"/>
      <c r="L285" s="51"/>
      <c r="M285" s="50">
        <f t="shared" si="23"/>
        <v>0</v>
      </c>
      <c r="N285" s="50"/>
      <c r="O285" s="31"/>
      <c r="P285" s="123"/>
      <c r="Q285" s="50"/>
      <c r="R285" s="51"/>
      <c r="S285" s="50">
        <f t="shared" si="24"/>
        <v>0</v>
      </c>
      <c r="T285" s="50"/>
      <c r="U285" s="3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9"/>
      <c r="B286" s="380"/>
      <c r="C286" s="380"/>
      <c r="D286" s="380"/>
      <c r="E286" s="380"/>
      <c r="F286" s="126"/>
      <c r="G286" s="55" t="s">
        <v>25</v>
      </c>
      <c r="H286" s="118"/>
      <c r="I286" s="57"/>
      <c r="J286" s="57"/>
      <c r="K286" s="43"/>
      <c r="L286" s="44"/>
      <c r="M286" s="43">
        <f t="shared" si="23"/>
        <v>0</v>
      </c>
      <c r="N286" s="43"/>
      <c r="O286" s="41"/>
      <c r="P286" s="103"/>
      <c r="Q286" s="43"/>
      <c r="R286" s="44"/>
      <c r="S286" s="43">
        <f t="shared" si="24"/>
        <v>0</v>
      </c>
      <c r="T286" s="43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2"/>
      <c r="B287" s="374" t="s">
        <v>200</v>
      </c>
      <c r="C287" s="374" t="s">
        <v>39</v>
      </c>
      <c r="D287" s="374" t="s">
        <v>456</v>
      </c>
      <c r="E287" s="374" t="s">
        <v>27</v>
      </c>
      <c r="F287" s="204" t="s">
        <v>457</v>
      </c>
      <c r="G287" s="23" t="s">
        <v>24</v>
      </c>
      <c r="H287" s="61">
        <v>8</v>
      </c>
      <c r="I287" s="62">
        <v>6</v>
      </c>
      <c r="J287" s="62">
        <v>7</v>
      </c>
      <c r="K287" s="30">
        <v>9746.11</v>
      </c>
      <c r="L287" s="205">
        <v>6</v>
      </c>
      <c r="M287" s="26">
        <f t="shared" si="23"/>
        <v>9017.57</v>
      </c>
      <c r="N287" s="30">
        <v>9017.57</v>
      </c>
      <c r="O287" s="31"/>
      <c r="P287" s="29">
        <v>7</v>
      </c>
      <c r="Q287" s="30">
        <v>28873.11</v>
      </c>
      <c r="R287" s="205">
        <v>7</v>
      </c>
      <c r="S287" s="26">
        <f t="shared" si="24"/>
        <v>28873.11</v>
      </c>
      <c r="T287" s="30">
        <v>28873.11</v>
      </c>
      <c r="U287" s="22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33" t="s">
        <v>466</v>
      </c>
      <c r="G288" s="227" t="s">
        <v>28</v>
      </c>
      <c r="H288" s="207">
        <v>5</v>
      </c>
      <c r="I288" s="208">
        <v>4</v>
      </c>
      <c r="J288" s="208">
        <v>4</v>
      </c>
      <c r="K288" s="209">
        <v>5170.8999999999996</v>
      </c>
      <c r="L288" s="290">
        <v>4</v>
      </c>
      <c r="M288" s="211">
        <f t="shared" si="23"/>
        <v>5170.9000000000005</v>
      </c>
      <c r="N288" s="211">
        <f>1056.55+2308.05+1204.2+602.1</f>
        <v>5170.9000000000005</v>
      </c>
      <c r="O288" s="212"/>
      <c r="P288" s="284"/>
      <c r="Q288" s="211"/>
      <c r="R288" s="290">
        <v>1</v>
      </c>
      <c r="S288" s="211">
        <f t="shared" si="24"/>
        <v>1921</v>
      </c>
      <c r="T288" s="209">
        <v>1921</v>
      </c>
      <c r="U288" s="212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2"/>
      <c r="B289" s="374" t="s">
        <v>430</v>
      </c>
      <c r="C289" s="374" t="s">
        <v>39</v>
      </c>
      <c r="D289" s="374" t="s">
        <v>439</v>
      </c>
      <c r="E289" s="374" t="s">
        <v>27</v>
      </c>
      <c r="F289" s="204" t="s">
        <v>440</v>
      </c>
      <c r="G289" s="213" t="s">
        <v>24</v>
      </c>
      <c r="H289" s="61">
        <v>5</v>
      </c>
      <c r="I289" s="62">
        <v>1</v>
      </c>
      <c r="J289" s="62">
        <v>1</v>
      </c>
      <c r="K289" s="30">
        <v>1378.91</v>
      </c>
      <c r="L289" s="27"/>
      <c r="M289" s="26">
        <f t="shared" si="23"/>
        <v>1378.91</v>
      </c>
      <c r="N289" s="26"/>
      <c r="O289" s="241">
        <v>1378.91</v>
      </c>
      <c r="P289" s="214"/>
      <c r="Q289" s="30"/>
      <c r="R289" s="205"/>
      <c r="S289" s="26">
        <f t="shared" si="24"/>
        <v>0</v>
      </c>
      <c r="T289" s="30"/>
      <c r="U289" s="28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0"/>
      <c r="G290" s="215" t="s">
        <v>28</v>
      </c>
      <c r="H290" s="117"/>
      <c r="I290" s="37"/>
      <c r="J290" s="37"/>
      <c r="K290" s="68"/>
      <c r="L290" s="40"/>
      <c r="M290" s="39">
        <f t="shared" si="23"/>
        <v>0</v>
      </c>
      <c r="N290" s="39"/>
      <c r="O290" s="234"/>
      <c r="P290" s="217"/>
      <c r="Q290" s="68"/>
      <c r="R290" s="285"/>
      <c r="S290" s="39">
        <f t="shared" si="24"/>
        <v>0</v>
      </c>
      <c r="T290" s="68"/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6"/>
      <c r="B291" s="377" t="s">
        <v>201</v>
      </c>
      <c r="C291" s="377" t="s">
        <v>39</v>
      </c>
      <c r="D291" s="377" t="s">
        <v>385</v>
      </c>
      <c r="E291" s="377" t="s">
        <v>386</v>
      </c>
      <c r="F291" s="232" t="s">
        <v>387</v>
      </c>
      <c r="G291" s="95" t="s">
        <v>24</v>
      </c>
      <c r="H291" s="265">
        <v>25</v>
      </c>
      <c r="I291" s="266">
        <v>23</v>
      </c>
      <c r="J291" s="266">
        <v>40</v>
      </c>
      <c r="K291" s="79">
        <v>63463.42</v>
      </c>
      <c r="L291" s="268">
        <v>31</v>
      </c>
      <c r="M291" s="81">
        <f t="shared" si="23"/>
        <v>54194.63</v>
      </c>
      <c r="N291" s="79">
        <v>46679.24</v>
      </c>
      <c r="O291" s="313">
        <v>7515.39</v>
      </c>
      <c r="P291" s="267">
        <v>2</v>
      </c>
      <c r="Q291" s="79">
        <v>4356.83</v>
      </c>
      <c r="R291" s="268">
        <v>2</v>
      </c>
      <c r="S291" s="81">
        <f t="shared" si="24"/>
        <v>4356.83</v>
      </c>
      <c r="T291" s="79">
        <v>4356.83</v>
      </c>
      <c r="U291" s="82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220" t="s">
        <v>498</v>
      </c>
      <c r="G292" s="35" t="s">
        <v>25</v>
      </c>
      <c r="H292" s="117">
        <v>2</v>
      </c>
      <c r="I292" s="37">
        <v>1</v>
      </c>
      <c r="J292" s="37">
        <v>1</v>
      </c>
      <c r="K292" s="68">
        <v>551.92999999999995</v>
      </c>
      <c r="L292" s="285">
        <v>1</v>
      </c>
      <c r="M292" s="68">
        <v>551.92999999999995</v>
      </c>
      <c r="N292" s="68">
        <v>551.92999999999995</v>
      </c>
      <c r="O292" s="58"/>
      <c r="P292" s="115">
        <v>2</v>
      </c>
      <c r="Q292" s="68">
        <v>4418.3</v>
      </c>
      <c r="R292" s="285">
        <v>2</v>
      </c>
      <c r="S292" s="68">
        <v>4418.3</v>
      </c>
      <c r="T292" s="68">
        <v>4418.3</v>
      </c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202</v>
      </c>
      <c r="C293" s="381" t="s">
        <v>39</v>
      </c>
      <c r="D293" s="377" t="s">
        <v>441</v>
      </c>
      <c r="E293" s="381" t="s">
        <v>27</v>
      </c>
      <c r="F293" s="204" t="s">
        <v>442</v>
      </c>
      <c r="G293" s="47" t="s">
        <v>24</v>
      </c>
      <c r="H293" s="48">
        <v>5</v>
      </c>
      <c r="I293" s="203">
        <v>3</v>
      </c>
      <c r="J293" s="203">
        <v>3</v>
      </c>
      <c r="K293" s="65">
        <v>4694.24</v>
      </c>
      <c r="L293" s="224">
        <v>2</v>
      </c>
      <c r="M293" s="50">
        <f t="shared" ref="M293:M298" si="25">N293+O293</f>
        <v>4694.24</v>
      </c>
      <c r="N293" s="65">
        <v>2382.04</v>
      </c>
      <c r="O293" s="225">
        <v>2312.1999999999998</v>
      </c>
      <c r="P293" s="108">
        <v>3</v>
      </c>
      <c r="Q293" s="65">
        <v>19253.689999999999</v>
      </c>
      <c r="R293" s="224">
        <v>2</v>
      </c>
      <c r="S293" s="50">
        <f t="shared" ref="S293:S297" si="26">T293+U293</f>
        <v>19253.690000000002</v>
      </c>
      <c r="T293" s="65">
        <v>4082.51</v>
      </c>
      <c r="U293" s="225">
        <v>15171.18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1" t="s">
        <v>262</v>
      </c>
      <c r="G294" s="55" t="s">
        <v>28</v>
      </c>
      <c r="H294" s="112">
        <v>7</v>
      </c>
      <c r="I294" s="130">
        <v>2</v>
      </c>
      <c r="J294" s="130">
        <v>2</v>
      </c>
      <c r="K294" s="114">
        <v>3581.17</v>
      </c>
      <c r="L294" s="316">
        <v>1</v>
      </c>
      <c r="M294" s="129">
        <f t="shared" si="25"/>
        <v>1479.17</v>
      </c>
      <c r="N294" s="43">
        <f>1479.17</f>
        <v>1479.17</v>
      </c>
      <c r="O294" s="45"/>
      <c r="P294" s="113">
        <v>4</v>
      </c>
      <c r="Q294" s="114">
        <v>17905.400000000001</v>
      </c>
      <c r="R294" s="316">
        <v>5</v>
      </c>
      <c r="S294" s="129">
        <f t="shared" si="26"/>
        <v>21555.3</v>
      </c>
      <c r="T294" s="114">
        <f>3649.9+1344.7+7107.7+4034.1+5418.9</f>
        <v>21555.3</v>
      </c>
      <c r="U294" s="45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372"/>
      <c r="B295" s="374" t="s">
        <v>203</v>
      </c>
      <c r="C295" s="377" t="s">
        <v>46</v>
      </c>
      <c r="D295" s="377" t="s">
        <v>459</v>
      </c>
      <c r="E295" s="374" t="s">
        <v>27</v>
      </c>
      <c r="F295" s="204" t="s">
        <v>475</v>
      </c>
      <c r="G295" s="23" t="s">
        <v>24</v>
      </c>
      <c r="H295" s="61">
        <v>3</v>
      </c>
      <c r="I295" s="62">
        <v>1</v>
      </c>
      <c r="J295" s="62">
        <v>2</v>
      </c>
      <c r="K295" s="30">
        <v>2954.31</v>
      </c>
      <c r="L295" s="205">
        <v>2</v>
      </c>
      <c r="M295" s="26">
        <f t="shared" si="25"/>
        <v>2954.31</v>
      </c>
      <c r="N295" s="30">
        <v>2954.31</v>
      </c>
      <c r="O295" s="28"/>
      <c r="P295" s="29">
        <v>6</v>
      </c>
      <c r="Q295" s="30">
        <v>3137.95</v>
      </c>
      <c r="R295" s="205">
        <v>1</v>
      </c>
      <c r="S295" s="26">
        <f t="shared" si="26"/>
        <v>3137.95</v>
      </c>
      <c r="T295" s="30">
        <v>3137.95</v>
      </c>
      <c r="U295" s="28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373"/>
      <c r="B296" s="375"/>
      <c r="C296" s="375"/>
      <c r="D296" s="375"/>
      <c r="E296" s="375"/>
      <c r="F296" s="34"/>
      <c r="G296" s="35" t="s">
        <v>28</v>
      </c>
      <c r="H296" s="117"/>
      <c r="I296" s="38"/>
      <c r="J296" s="38"/>
      <c r="K296" s="39"/>
      <c r="L296" s="40"/>
      <c r="M296" s="39">
        <f t="shared" si="25"/>
        <v>0</v>
      </c>
      <c r="N296" s="39"/>
      <c r="O296" s="41"/>
      <c r="P296" s="69"/>
      <c r="Q296" s="39"/>
      <c r="R296" s="40"/>
      <c r="S296" s="39">
        <f t="shared" si="26"/>
        <v>0</v>
      </c>
      <c r="T296" s="39"/>
      <c r="U296" s="41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382"/>
      <c r="B297" s="381" t="s">
        <v>204</v>
      </c>
      <c r="C297" s="377" t="s">
        <v>22</v>
      </c>
      <c r="D297" s="377"/>
      <c r="E297" s="381" t="s">
        <v>23</v>
      </c>
      <c r="F297" s="204" t="s">
        <v>431</v>
      </c>
      <c r="G297" s="47" t="s">
        <v>24</v>
      </c>
      <c r="H297" s="48">
        <v>13</v>
      </c>
      <c r="I297" s="203">
        <v>10</v>
      </c>
      <c r="J297" s="203">
        <v>15</v>
      </c>
      <c r="K297" s="65">
        <v>21726.22</v>
      </c>
      <c r="L297" s="224">
        <v>13</v>
      </c>
      <c r="M297" s="50">
        <f t="shared" si="25"/>
        <v>21726.219999999998</v>
      </c>
      <c r="N297" s="65">
        <v>17554.009999999998</v>
      </c>
      <c r="O297" s="225">
        <v>4172.21</v>
      </c>
      <c r="P297" s="108">
        <v>4</v>
      </c>
      <c r="Q297" s="65">
        <v>3363.11</v>
      </c>
      <c r="R297" s="224">
        <v>4</v>
      </c>
      <c r="S297" s="50">
        <f t="shared" si="26"/>
        <v>3363.11</v>
      </c>
      <c r="T297" s="65">
        <v>3363.11</v>
      </c>
      <c r="U297" s="225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373"/>
      <c r="B298" s="375"/>
      <c r="C298" s="375"/>
      <c r="D298" s="375"/>
      <c r="E298" s="375"/>
      <c r="F298" s="220" t="s">
        <v>499</v>
      </c>
      <c r="G298" s="35" t="s">
        <v>25</v>
      </c>
      <c r="H298" s="111"/>
      <c r="I298" s="38"/>
      <c r="J298" s="38"/>
      <c r="K298" s="39"/>
      <c r="L298" s="40"/>
      <c r="M298" s="39">
        <f t="shared" si="25"/>
        <v>0</v>
      </c>
      <c r="N298" s="39"/>
      <c r="O298" s="41"/>
      <c r="P298" s="115">
        <v>2</v>
      </c>
      <c r="Q298" s="68">
        <v>2305.1999999999998</v>
      </c>
      <c r="R298" s="285">
        <v>1</v>
      </c>
      <c r="S298" s="68">
        <v>2305.1999999999998</v>
      </c>
      <c r="T298" s="68">
        <v>2305.1999999999998</v>
      </c>
      <c r="U298" s="41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179"/>
      <c r="B299" s="180" t="s">
        <v>205</v>
      </c>
      <c r="C299" s="180"/>
      <c r="D299" s="180"/>
      <c r="E299" s="180"/>
      <c r="F299" s="180"/>
      <c r="G299" s="181"/>
      <c r="H299" s="182">
        <f t="shared" ref="H299:U299" si="27">SUM(H9:H298)</f>
        <v>2446</v>
      </c>
      <c r="I299" s="183">
        <f t="shared" si="27"/>
        <v>1672</v>
      </c>
      <c r="J299" s="183">
        <f t="shared" si="27"/>
        <v>2141</v>
      </c>
      <c r="K299" s="184">
        <f t="shared" si="27"/>
        <v>4213389.0900000017</v>
      </c>
      <c r="L299" s="185">
        <f t="shared" si="27"/>
        <v>1756</v>
      </c>
      <c r="M299" s="184">
        <f t="shared" si="27"/>
        <v>3911653.4899999998</v>
      </c>
      <c r="N299" s="184">
        <f t="shared" si="27"/>
        <v>3320625.6</v>
      </c>
      <c r="O299" s="186">
        <f t="shared" si="27"/>
        <v>592232.09</v>
      </c>
      <c r="P299" s="187">
        <f t="shared" si="27"/>
        <v>1531</v>
      </c>
      <c r="Q299" s="188">
        <f t="shared" si="27"/>
        <v>5661162.5300000049</v>
      </c>
      <c r="R299" s="185">
        <f t="shared" si="27"/>
        <v>1412</v>
      </c>
      <c r="S299" s="188">
        <f t="shared" si="27"/>
        <v>5483385.660000002</v>
      </c>
      <c r="T299" s="188">
        <f t="shared" si="27"/>
        <v>5261549.2300000004</v>
      </c>
      <c r="U299" s="189">
        <f t="shared" si="27"/>
        <v>221836.43000000002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I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 t="s">
        <v>206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27.75" customHeight="1">
      <c r="A303" s="4"/>
      <c r="B303" s="4"/>
      <c r="C303" s="4"/>
      <c r="D303" s="4"/>
      <c r="E303" s="4"/>
      <c r="F303" s="394"/>
      <c r="G303" s="395" t="s">
        <v>5</v>
      </c>
      <c r="H303" s="396"/>
      <c r="I303" s="396"/>
      <c r="J303" s="396"/>
      <c r="K303" s="396"/>
      <c r="L303" s="396"/>
      <c r="M303" s="396"/>
      <c r="N303" s="397"/>
      <c r="O303" s="395" t="s">
        <v>6</v>
      </c>
      <c r="P303" s="396"/>
      <c r="Q303" s="396"/>
      <c r="R303" s="396"/>
      <c r="S303" s="396"/>
      <c r="T303" s="397"/>
      <c r="U303" s="393" t="s">
        <v>207</v>
      </c>
      <c r="V303" s="393" t="s">
        <v>208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386"/>
      <c r="G304" s="190" t="s">
        <v>13</v>
      </c>
      <c r="H304" s="190" t="s">
        <v>14</v>
      </c>
      <c r="I304" s="190" t="s">
        <v>15</v>
      </c>
      <c r="J304" s="190" t="s">
        <v>16</v>
      </c>
      <c r="K304" s="191" t="s">
        <v>17</v>
      </c>
      <c r="L304" s="190" t="s">
        <v>18</v>
      </c>
      <c r="M304" s="190" t="s">
        <v>19</v>
      </c>
      <c r="N304" s="190" t="s">
        <v>20</v>
      </c>
      <c r="O304" s="190" t="s">
        <v>15</v>
      </c>
      <c r="P304" s="190" t="s">
        <v>16</v>
      </c>
      <c r="Q304" s="191" t="s">
        <v>17</v>
      </c>
      <c r="R304" s="190" t="s">
        <v>18</v>
      </c>
      <c r="S304" s="190" t="s">
        <v>19</v>
      </c>
      <c r="T304" s="190" t="s">
        <v>20</v>
      </c>
      <c r="U304" s="392"/>
      <c r="V304" s="392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192" t="s">
        <v>24</v>
      </c>
      <c r="G305" s="193">
        <f t="shared" ref="G305:I305" si="28">SUMIF($G$9:$G$298,$F$305,H9:H298)</f>
        <v>1788</v>
      </c>
      <c r="H305" s="193">
        <f t="shared" si="28"/>
        <v>1361</v>
      </c>
      <c r="I305" s="193">
        <f t="shared" si="28"/>
        <v>1829</v>
      </c>
      <c r="J305" s="194">
        <f t="shared" ref="J305:J307" si="29">SUMIF($G$9:$G$298,F305,$K$9:$K$298)</f>
        <v>3554895.8500000006</v>
      </c>
      <c r="K305" s="195">
        <f t="shared" ref="K305:K307" si="30">SUMIF($G$9:$G$298,F305,$L$9:$L$298)</f>
        <v>1528</v>
      </c>
      <c r="L305" s="194">
        <f t="shared" ref="L305:L307" si="31">SUMIF($G$9:$G$298,F305,$M$9:$M$298)</f>
        <v>3455467.2500000005</v>
      </c>
      <c r="M305" s="194">
        <f t="shared" ref="M305:O305" si="32">SUMIF($G$9:$G$298,$F$305,N9:N298)</f>
        <v>2863235.1600000006</v>
      </c>
      <c r="N305" s="194">
        <f t="shared" si="32"/>
        <v>592232.09</v>
      </c>
      <c r="O305" s="193">
        <f t="shared" si="32"/>
        <v>1208</v>
      </c>
      <c r="P305" s="194">
        <f t="shared" ref="P305:P307" si="33">SUMIF($G$9:$G$298,F305,$Q$9:$Q$298)</f>
        <v>4551808.83</v>
      </c>
      <c r="Q305" s="195">
        <f t="shared" ref="Q305:Q307" si="34">SUMIF($G$9:$G$298,F305,$R$9:$R$298)</f>
        <v>1105</v>
      </c>
      <c r="R305" s="194">
        <f t="shared" ref="R305:R307" si="35">SUMIF($G$9:$G$298,F305,$S$9:$S$298)</f>
        <v>4459306.87</v>
      </c>
      <c r="S305" s="194">
        <f t="shared" ref="S305:T305" si="36">SUMIF($G$9:$G$298,$F$305,T9:T298)</f>
        <v>4237470.4400000004</v>
      </c>
      <c r="T305" s="194">
        <f t="shared" si="36"/>
        <v>221836.43000000002</v>
      </c>
      <c r="U305" s="194">
        <f t="shared" ref="U305:U307" si="37">S305+M305</f>
        <v>7100705.6000000015</v>
      </c>
      <c r="V305" s="196">
        <f t="shared" ref="V305:V307" si="38">J305-M305+P305-S305</f>
        <v>1005999.0799999991</v>
      </c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192" t="s">
        <v>28</v>
      </c>
      <c r="G306" s="236">
        <f t="shared" ref="G306:I306" si="39">SUMIF($G$9:$G$298,$F$306,H9:H298)</f>
        <v>542</v>
      </c>
      <c r="H306" s="193">
        <f t="shared" si="39"/>
        <v>257</v>
      </c>
      <c r="I306" s="193">
        <f t="shared" si="39"/>
        <v>258</v>
      </c>
      <c r="J306" s="194">
        <f t="shared" si="29"/>
        <v>554916.54999999993</v>
      </c>
      <c r="K306" s="195">
        <f t="shared" si="30"/>
        <v>178</v>
      </c>
      <c r="L306" s="194">
        <f t="shared" si="31"/>
        <v>361452.85000000003</v>
      </c>
      <c r="M306" s="194">
        <f t="shared" ref="M306:O306" si="40">SUMIF($G$9:$G$298,$F$306,N9:N298)</f>
        <v>362657.05000000005</v>
      </c>
      <c r="N306" s="194">
        <f t="shared" si="40"/>
        <v>0</v>
      </c>
      <c r="O306" s="193">
        <f t="shared" si="40"/>
        <v>249</v>
      </c>
      <c r="P306" s="194">
        <f t="shared" si="33"/>
        <v>830671.92999999993</v>
      </c>
      <c r="Q306" s="195">
        <f t="shared" si="34"/>
        <v>236</v>
      </c>
      <c r="R306" s="194">
        <f t="shared" si="35"/>
        <v>746868.42000000039</v>
      </c>
      <c r="S306" s="194">
        <f t="shared" ref="S306:T306" si="41">SUMIF($G$9:$G$298,$F$306,T9:T298)</f>
        <v>746868.42000000039</v>
      </c>
      <c r="T306" s="194">
        <f t="shared" si="41"/>
        <v>0</v>
      </c>
      <c r="U306" s="194">
        <f t="shared" si="37"/>
        <v>1109525.4700000004</v>
      </c>
      <c r="V306" s="196">
        <f t="shared" si="38"/>
        <v>276063.00999999943</v>
      </c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192" t="s">
        <v>25</v>
      </c>
      <c r="G307" s="193">
        <f t="shared" ref="G307:I307" si="42">SUMIF($G$9:$G$298,$F$307,H9:H298)</f>
        <v>116</v>
      </c>
      <c r="H307" s="193">
        <f t="shared" si="42"/>
        <v>54</v>
      </c>
      <c r="I307" s="193">
        <f t="shared" si="42"/>
        <v>54</v>
      </c>
      <c r="J307" s="194">
        <f t="shared" si="29"/>
        <v>103576.68999999999</v>
      </c>
      <c r="K307" s="195">
        <f t="shared" si="30"/>
        <v>50</v>
      </c>
      <c r="L307" s="194">
        <f t="shared" si="31"/>
        <v>94733.389999999985</v>
      </c>
      <c r="M307" s="194">
        <f t="shared" ref="M307:O307" si="43">SUMIF($G$9:$G$298,$F$307,N9:N298)</f>
        <v>94733.389999999985</v>
      </c>
      <c r="N307" s="194">
        <f t="shared" si="43"/>
        <v>0</v>
      </c>
      <c r="O307" s="193">
        <f t="shared" si="43"/>
        <v>74</v>
      </c>
      <c r="P307" s="194">
        <f t="shared" si="33"/>
        <v>278681.77</v>
      </c>
      <c r="Q307" s="195">
        <f t="shared" si="34"/>
        <v>71</v>
      </c>
      <c r="R307" s="194">
        <f t="shared" si="35"/>
        <v>277210.37</v>
      </c>
      <c r="S307" s="194">
        <f t="shared" ref="S307:T307" si="44">SUMIF($G$9:$G$298,$F$307,T9:T298)</f>
        <v>277210.37</v>
      </c>
      <c r="T307" s="194">
        <f t="shared" si="44"/>
        <v>0</v>
      </c>
      <c r="U307" s="194">
        <f t="shared" si="37"/>
        <v>371943.76</v>
      </c>
      <c r="V307" s="196">
        <f t="shared" si="38"/>
        <v>10314.700000000012</v>
      </c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197">
        <f t="shared" ref="G308:V308" si="45">G307+G306+G305</f>
        <v>2446</v>
      </c>
      <c r="H308" s="197">
        <f t="shared" si="45"/>
        <v>1672</v>
      </c>
      <c r="I308" s="197">
        <f t="shared" si="45"/>
        <v>2141</v>
      </c>
      <c r="J308" s="198">
        <f t="shared" si="45"/>
        <v>4213389.0900000008</v>
      </c>
      <c r="K308" s="199">
        <f t="shared" si="45"/>
        <v>1756</v>
      </c>
      <c r="L308" s="198">
        <f t="shared" si="45"/>
        <v>3911653.49</v>
      </c>
      <c r="M308" s="198">
        <f t="shared" si="45"/>
        <v>3320625.6000000006</v>
      </c>
      <c r="N308" s="198">
        <f t="shared" si="45"/>
        <v>592232.09</v>
      </c>
      <c r="O308" s="197">
        <f t="shared" si="45"/>
        <v>1531</v>
      </c>
      <c r="P308" s="198">
        <f t="shared" si="45"/>
        <v>5661162.5300000003</v>
      </c>
      <c r="Q308" s="200">
        <f t="shared" si="45"/>
        <v>1412</v>
      </c>
      <c r="R308" s="198">
        <f t="shared" si="45"/>
        <v>5483385.6600000001</v>
      </c>
      <c r="S308" s="198">
        <f t="shared" si="45"/>
        <v>5261549.2300000004</v>
      </c>
      <c r="T308" s="198">
        <f t="shared" si="45"/>
        <v>221836.43000000002</v>
      </c>
      <c r="U308" s="198">
        <f t="shared" si="45"/>
        <v>8582174.8300000019</v>
      </c>
      <c r="V308" s="198">
        <f t="shared" si="45"/>
        <v>1292376.7899999986</v>
      </c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K309" s="201"/>
      <c r="L309" s="201"/>
      <c r="R309" s="2"/>
    </row>
    <row r="310" spans="1:32" ht="15.75" customHeight="1">
      <c r="K310" s="201"/>
      <c r="L310" s="201"/>
      <c r="R310" s="2"/>
    </row>
    <row r="311" spans="1:32" ht="15.75" customHeight="1">
      <c r="K311" s="201"/>
      <c r="L311" s="201"/>
      <c r="R311" s="2"/>
    </row>
    <row r="312" spans="1:32" ht="15.75" customHeight="1">
      <c r="K312" s="201"/>
      <c r="L312" s="201"/>
      <c r="R312" s="2"/>
    </row>
    <row r="313" spans="1:32" ht="15.75" customHeight="1">
      <c r="K313" s="201"/>
      <c r="L313" s="201"/>
      <c r="R313" s="2"/>
    </row>
    <row r="314" spans="1:32" ht="15.75" customHeight="1">
      <c r="K314" s="201"/>
      <c r="L314" s="201"/>
      <c r="R314" s="2"/>
    </row>
    <row r="315" spans="1:32" ht="15.75" customHeight="1">
      <c r="K315" s="201"/>
      <c r="L315" s="201"/>
      <c r="R315" s="2"/>
    </row>
    <row r="316" spans="1:32" ht="15.75" customHeight="1">
      <c r="K316" s="201"/>
      <c r="L316" s="201"/>
      <c r="R316" s="2"/>
    </row>
    <row r="317" spans="1:32" ht="15.75" customHeight="1">
      <c r="K317" s="201"/>
      <c r="L317" s="201"/>
      <c r="R317" s="2"/>
    </row>
    <row r="318" spans="1:32" ht="15.75" customHeight="1">
      <c r="K318" s="201"/>
      <c r="L318" s="201"/>
      <c r="R318" s="2"/>
    </row>
    <row r="319" spans="1:32" ht="15.75" customHeight="1">
      <c r="K319" s="201"/>
      <c r="L319" s="201"/>
      <c r="R319" s="2"/>
    </row>
    <row r="320" spans="1:32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K457" s="201"/>
      <c r="L457" s="201"/>
      <c r="R457" s="2"/>
    </row>
    <row r="458" spans="11:18" ht="15.75" customHeight="1">
      <c r="K458" s="201"/>
      <c r="L458" s="201"/>
      <c r="R458" s="2"/>
    </row>
    <row r="459" spans="11:18" ht="15.75" customHeight="1">
      <c r="K459" s="201"/>
      <c r="L459" s="201"/>
      <c r="R459" s="2"/>
    </row>
    <row r="460" spans="11:18" ht="15.75" customHeight="1">
      <c r="K460" s="201"/>
      <c r="L460" s="201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  <row r="934" spans="12:18" ht="15.75" customHeight="1">
      <c r="L934" s="2"/>
      <c r="R934" s="2"/>
    </row>
    <row r="935" spans="12:18" ht="15.75" customHeight="1">
      <c r="L935" s="2"/>
      <c r="R935" s="2"/>
    </row>
    <row r="936" spans="12:18" ht="15.75" customHeight="1">
      <c r="L936" s="2"/>
      <c r="R936" s="2"/>
    </row>
    <row r="937" spans="12:18" ht="15.75" customHeight="1">
      <c r="L937" s="2"/>
      <c r="R937" s="2"/>
    </row>
  </sheetData>
  <mergeCells count="720">
    <mergeCell ref="D192:D193"/>
    <mergeCell ref="E192:E193"/>
    <mergeCell ref="A194:A195"/>
    <mergeCell ref="B202:B203"/>
    <mergeCell ref="C202:C203"/>
    <mergeCell ref="A204:A205"/>
    <mergeCell ref="B204:B205"/>
    <mergeCell ref="C204:C205"/>
    <mergeCell ref="D204:D205"/>
    <mergeCell ref="E204:E205"/>
    <mergeCell ref="A188:A189"/>
    <mergeCell ref="B188:B189"/>
    <mergeCell ref="C188:C189"/>
    <mergeCell ref="B190:B191"/>
    <mergeCell ref="C190:C191"/>
    <mergeCell ref="A190:A191"/>
    <mergeCell ref="A192:A193"/>
    <mergeCell ref="B192:B193"/>
    <mergeCell ref="C192:C193"/>
    <mergeCell ref="A182:A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202:D203"/>
    <mergeCell ref="E202:E203"/>
    <mergeCell ref="A198:A199"/>
    <mergeCell ref="A200:A201"/>
    <mergeCell ref="B200:B201"/>
    <mergeCell ref="C200:C201"/>
    <mergeCell ref="D200:D201"/>
    <mergeCell ref="E200:E201"/>
    <mergeCell ref="A202:A203"/>
    <mergeCell ref="D198:D199"/>
    <mergeCell ref="E198:E199"/>
    <mergeCell ref="B194:B195"/>
    <mergeCell ref="C194:C195"/>
    <mergeCell ref="A196:A197"/>
    <mergeCell ref="B196:B197"/>
    <mergeCell ref="C196:C197"/>
    <mergeCell ref="B198:B199"/>
    <mergeCell ref="C198:C199"/>
    <mergeCell ref="A178:A179"/>
    <mergeCell ref="B178:B179"/>
    <mergeCell ref="C178:C179"/>
    <mergeCell ref="D178:D179"/>
    <mergeCell ref="E178:E179"/>
    <mergeCell ref="D194:D195"/>
    <mergeCell ref="E194:E195"/>
    <mergeCell ref="D196:D197"/>
    <mergeCell ref="E196:E197"/>
    <mergeCell ref="C182:C183"/>
    <mergeCell ref="D182:D183"/>
    <mergeCell ref="A180:A181"/>
    <mergeCell ref="B180:B181"/>
    <mergeCell ref="C180:C181"/>
    <mergeCell ref="D180:D181"/>
    <mergeCell ref="E180:E181"/>
    <mergeCell ref="B182:B183"/>
    <mergeCell ref="E182:E183"/>
    <mergeCell ref="D186:D187"/>
    <mergeCell ref="E186:E187"/>
    <mergeCell ref="D188:D189"/>
    <mergeCell ref="E188:E189"/>
    <mergeCell ref="D190:D191"/>
    <mergeCell ref="E190:E191"/>
    <mergeCell ref="A167:A169"/>
    <mergeCell ref="B167:B169"/>
    <mergeCell ref="C167:C169"/>
    <mergeCell ref="D167:D169"/>
    <mergeCell ref="E167:E169"/>
    <mergeCell ref="C172:C173"/>
    <mergeCell ref="D172:D173"/>
    <mergeCell ref="B176:B177"/>
    <mergeCell ref="C176:C177"/>
    <mergeCell ref="D165:D166"/>
    <mergeCell ref="E165:E166"/>
    <mergeCell ref="A160:A161"/>
    <mergeCell ref="A162:A164"/>
    <mergeCell ref="B162:B164"/>
    <mergeCell ref="C162:C164"/>
    <mergeCell ref="D162:D164"/>
    <mergeCell ref="E162:E164"/>
    <mergeCell ref="A165:A166"/>
    <mergeCell ref="B165:B166"/>
    <mergeCell ref="C165:C166"/>
    <mergeCell ref="C160:C161"/>
    <mergeCell ref="D160:D161"/>
    <mergeCell ref="A158:A159"/>
    <mergeCell ref="B158:B159"/>
    <mergeCell ref="C158:C159"/>
    <mergeCell ref="D158:D159"/>
    <mergeCell ref="E158:E159"/>
    <mergeCell ref="B160:B161"/>
    <mergeCell ref="E160:E161"/>
    <mergeCell ref="A170:A171"/>
    <mergeCell ref="B170:B171"/>
    <mergeCell ref="C170:C171"/>
    <mergeCell ref="D170:D171"/>
    <mergeCell ref="E170:E171"/>
    <mergeCell ref="B172:B173"/>
    <mergeCell ref="E172:E173"/>
    <mergeCell ref="D176:D177"/>
    <mergeCell ref="E176:E177"/>
    <mergeCell ref="A172:A173"/>
    <mergeCell ref="A174:A175"/>
    <mergeCell ref="B174:B175"/>
    <mergeCell ref="C174:C175"/>
    <mergeCell ref="D174:D175"/>
    <mergeCell ref="E174:E175"/>
    <mergeCell ref="A176:A177"/>
    <mergeCell ref="A275:A276"/>
    <mergeCell ref="B275:B276"/>
    <mergeCell ref="C275:C276"/>
    <mergeCell ref="D275:D276"/>
    <mergeCell ref="E275:E276"/>
    <mergeCell ref="A277:A278"/>
    <mergeCell ref="B285:B286"/>
    <mergeCell ref="C285:C286"/>
    <mergeCell ref="A287:A288"/>
    <mergeCell ref="B287:B288"/>
    <mergeCell ref="C287:C288"/>
    <mergeCell ref="D287:D288"/>
    <mergeCell ref="E287:E288"/>
    <mergeCell ref="D269:D270"/>
    <mergeCell ref="E269:E270"/>
    <mergeCell ref="D271:D272"/>
    <mergeCell ref="E271:E272"/>
    <mergeCell ref="D273:D274"/>
    <mergeCell ref="E273:E274"/>
    <mergeCell ref="A265:A266"/>
    <mergeCell ref="A267:A268"/>
    <mergeCell ref="B267:B268"/>
    <mergeCell ref="C267:C268"/>
    <mergeCell ref="D267:D268"/>
    <mergeCell ref="E267:E268"/>
    <mergeCell ref="A269:A270"/>
    <mergeCell ref="B269:B270"/>
    <mergeCell ref="C269:C270"/>
    <mergeCell ref="A271:A272"/>
    <mergeCell ref="B271:B272"/>
    <mergeCell ref="C271:C272"/>
    <mergeCell ref="B273:B274"/>
    <mergeCell ref="C273:C274"/>
    <mergeCell ref="A273:A274"/>
    <mergeCell ref="C265:C266"/>
    <mergeCell ref="D265:D266"/>
    <mergeCell ref="A263:A264"/>
    <mergeCell ref="B263:B264"/>
    <mergeCell ref="C263:C264"/>
    <mergeCell ref="D263:D264"/>
    <mergeCell ref="E263:E264"/>
    <mergeCell ref="B265:B266"/>
    <mergeCell ref="E265:E266"/>
    <mergeCell ref="D293:D294"/>
    <mergeCell ref="E293:E294"/>
    <mergeCell ref="A295:A296"/>
    <mergeCell ref="U303:U304"/>
    <mergeCell ref="V303:V304"/>
    <mergeCell ref="D295:D296"/>
    <mergeCell ref="E295:E296"/>
    <mergeCell ref="D297:D298"/>
    <mergeCell ref="E297:E298"/>
    <mergeCell ref="F303:F304"/>
    <mergeCell ref="G303:N303"/>
    <mergeCell ref="O303:T303"/>
    <mergeCell ref="B295:B296"/>
    <mergeCell ref="C295:C296"/>
    <mergeCell ref="A297:A298"/>
    <mergeCell ref="B297:B298"/>
    <mergeCell ref="C297:C298"/>
    <mergeCell ref="A291:A292"/>
    <mergeCell ref="A293:A294"/>
    <mergeCell ref="B293:B294"/>
    <mergeCell ref="C293:C294"/>
    <mergeCell ref="C291:C292"/>
    <mergeCell ref="D291:D292"/>
    <mergeCell ref="A289:A290"/>
    <mergeCell ref="B289:B290"/>
    <mergeCell ref="C289:C290"/>
    <mergeCell ref="D289:D290"/>
    <mergeCell ref="E289:E290"/>
    <mergeCell ref="B291:B292"/>
    <mergeCell ref="E291:E292"/>
    <mergeCell ref="D285:D286"/>
    <mergeCell ref="E285:E286"/>
    <mergeCell ref="A281:A282"/>
    <mergeCell ref="A283:A284"/>
    <mergeCell ref="B283:B284"/>
    <mergeCell ref="C283:C284"/>
    <mergeCell ref="D283:D284"/>
    <mergeCell ref="E283:E284"/>
    <mergeCell ref="A285:A286"/>
    <mergeCell ref="D277:D278"/>
    <mergeCell ref="E277:E278"/>
    <mergeCell ref="D279:D280"/>
    <mergeCell ref="E279:E280"/>
    <mergeCell ref="D281:D282"/>
    <mergeCell ref="E281:E282"/>
    <mergeCell ref="B277:B278"/>
    <mergeCell ref="C277:C278"/>
    <mergeCell ref="A279:A280"/>
    <mergeCell ref="B279:B280"/>
    <mergeCell ref="C279:C280"/>
    <mergeCell ref="B281:B282"/>
    <mergeCell ref="C281:C282"/>
    <mergeCell ref="A245:A246"/>
    <mergeCell ref="B245:B246"/>
    <mergeCell ref="C245:C246"/>
    <mergeCell ref="D245:D246"/>
    <mergeCell ref="E245:E246"/>
    <mergeCell ref="A247:A248"/>
    <mergeCell ref="B259:B260"/>
    <mergeCell ref="C259:C260"/>
    <mergeCell ref="A261:A262"/>
    <mergeCell ref="B261:B262"/>
    <mergeCell ref="C261:C262"/>
    <mergeCell ref="D261:D262"/>
    <mergeCell ref="E261:E262"/>
    <mergeCell ref="C255:C256"/>
    <mergeCell ref="D255:D256"/>
    <mergeCell ref="A253:A254"/>
    <mergeCell ref="B253:B254"/>
    <mergeCell ref="C253:C254"/>
    <mergeCell ref="D253:D254"/>
    <mergeCell ref="E253:E254"/>
    <mergeCell ref="B255:B256"/>
    <mergeCell ref="E255:E256"/>
    <mergeCell ref="D239:D240"/>
    <mergeCell ref="E239:E240"/>
    <mergeCell ref="D241:D242"/>
    <mergeCell ref="E241:E242"/>
    <mergeCell ref="D243:D244"/>
    <mergeCell ref="E243:E244"/>
    <mergeCell ref="A235:A236"/>
    <mergeCell ref="A237:A238"/>
    <mergeCell ref="B237:B238"/>
    <mergeCell ref="C237:C238"/>
    <mergeCell ref="D237:D238"/>
    <mergeCell ref="E237:E238"/>
    <mergeCell ref="A239:A240"/>
    <mergeCell ref="B239:B240"/>
    <mergeCell ref="C239:C240"/>
    <mergeCell ref="A241:A242"/>
    <mergeCell ref="B241:B242"/>
    <mergeCell ref="C241:C242"/>
    <mergeCell ref="B243:B244"/>
    <mergeCell ref="C243:C244"/>
    <mergeCell ref="A243:A244"/>
    <mergeCell ref="C235:C236"/>
    <mergeCell ref="D235:D236"/>
    <mergeCell ref="A233:A234"/>
    <mergeCell ref="B233:B234"/>
    <mergeCell ref="C233:C234"/>
    <mergeCell ref="D233:D234"/>
    <mergeCell ref="E233:E234"/>
    <mergeCell ref="B235:B236"/>
    <mergeCell ref="E235:E236"/>
    <mergeCell ref="D259:D260"/>
    <mergeCell ref="E259:E260"/>
    <mergeCell ref="A255:A256"/>
    <mergeCell ref="A257:A258"/>
    <mergeCell ref="B257:B258"/>
    <mergeCell ref="C257:C258"/>
    <mergeCell ref="D257:D258"/>
    <mergeCell ref="E257:E258"/>
    <mergeCell ref="A259:A260"/>
    <mergeCell ref="D247:D248"/>
    <mergeCell ref="E247:E248"/>
    <mergeCell ref="D249:D250"/>
    <mergeCell ref="E249:E250"/>
    <mergeCell ref="D251:D252"/>
    <mergeCell ref="E251:E252"/>
    <mergeCell ref="B247:B248"/>
    <mergeCell ref="C247:C248"/>
    <mergeCell ref="A249:A250"/>
    <mergeCell ref="B249:B250"/>
    <mergeCell ref="C249:C250"/>
    <mergeCell ref="B251:B252"/>
    <mergeCell ref="C251:C252"/>
    <mergeCell ref="A219:A220"/>
    <mergeCell ref="B219:B220"/>
    <mergeCell ref="C219:C220"/>
    <mergeCell ref="D219:D220"/>
    <mergeCell ref="E219:E220"/>
    <mergeCell ref="A221:A222"/>
    <mergeCell ref="B229:B230"/>
    <mergeCell ref="C229:C230"/>
    <mergeCell ref="A231:A232"/>
    <mergeCell ref="B231:B232"/>
    <mergeCell ref="C231:C232"/>
    <mergeCell ref="D231:D232"/>
    <mergeCell ref="E231:E232"/>
    <mergeCell ref="D221:D222"/>
    <mergeCell ref="E221:E222"/>
    <mergeCell ref="D223:D224"/>
    <mergeCell ref="E223:E224"/>
    <mergeCell ref="D225:D226"/>
    <mergeCell ref="E225:E226"/>
    <mergeCell ref="B221:B222"/>
    <mergeCell ref="C221:C222"/>
    <mergeCell ref="A223:A224"/>
    <mergeCell ref="B223:B224"/>
    <mergeCell ref="C223:C224"/>
    <mergeCell ref="D213:D214"/>
    <mergeCell ref="E213:E214"/>
    <mergeCell ref="D215:D216"/>
    <mergeCell ref="E215:E216"/>
    <mergeCell ref="D217:D218"/>
    <mergeCell ref="E217:E218"/>
    <mergeCell ref="A208:A209"/>
    <mergeCell ref="A210:A212"/>
    <mergeCell ref="B210:B212"/>
    <mergeCell ref="C210:C212"/>
    <mergeCell ref="D210:D212"/>
    <mergeCell ref="E210:E212"/>
    <mergeCell ref="A213:A214"/>
    <mergeCell ref="B213:B214"/>
    <mergeCell ref="C213:C214"/>
    <mergeCell ref="A215:A216"/>
    <mergeCell ref="B215:B216"/>
    <mergeCell ref="C215:C216"/>
    <mergeCell ref="B217:B218"/>
    <mergeCell ref="C217:C218"/>
    <mergeCell ref="A217:A218"/>
    <mergeCell ref="C208:C209"/>
    <mergeCell ref="D208:D209"/>
    <mergeCell ref="A206:A207"/>
    <mergeCell ref="B206:B207"/>
    <mergeCell ref="C206:C207"/>
    <mergeCell ref="D206:D207"/>
    <mergeCell ref="E206:E207"/>
    <mergeCell ref="B208:B209"/>
    <mergeCell ref="E208:E209"/>
    <mergeCell ref="D229:D230"/>
    <mergeCell ref="E229:E230"/>
    <mergeCell ref="A225:A226"/>
    <mergeCell ref="A227:A228"/>
    <mergeCell ref="B227:B228"/>
    <mergeCell ref="C227:C228"/>
    <mergeCell ref="D227:D228"/>
    <mergeCell ref="E227:E228"/>
    <mergeCell ref="A229:A230"/>
    <mergeCell ref="B225:B226"/>
    <mergeCell ref="C225:C226"/>
    <mergeCell ref="D143:D144"/>
    <mergeCell ref="E143:E144"/>
    <mergeCell ref="A145:A146"/>
    <mergeCell ref="B154:B155"/>
    <mergeCell ref="C154:C155"/>
    <mergeCell ref="A156:A157"/>
    <mergeCell ref="B156:B157"/>
    <mergeCell ref="C156:C157"/>
    <mergeCell ref="D156:D157"/>
    <mergeCell ref="E156:E157"/>
    <mergeCell ref="A139:A140"/>
    <mergeCell ref="B139:B140"/>
    <mergeCell ref="C139:C140"/>
    <mergeCell ref="B141:B142"/>
    <mergeCell ref="C141:C142"/>
    <mergeCell ref="A141:A142"/>
    <mergeCell ref="A143:A144"/>
    <mergeCell ref="B143:B144"/>
    <mergeCell ref="C143:C144"/>
    <mergeCell ref="A133:A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54:D155"/>
    <mergeCell ref="E154:E155"/>
    <mergeCell ref="A149:A150"/>
    <mergeCell ref="A151:A153"/>
    <mergeCell ref="B151:B153"/>
    <mergeCell ref="C151:C153"/>
    <mergeCell ref="D151:D153"/>
    <mergeCell ref="E151:E153"/>
    <mergeCell ref="A154:A155"/>
    <mergeCell ref="D147:D148"/>
    <mergeCell ref="E147:E148"/>
    <mergeCell ref="D149:D150"/>
    <mergeCell ref="E149:E150"/>
    <mergeCell ref="B145:B146"/>
    <mergeCell ref="C145:C146"/>
    <mergeCell ref="A147:A148"/>
    <mergeCell ref="B147:B148"/>
    <mergeCell ref="C147:C148"/>
    <mergeCell ref="B149:B150"/>
    <mergeCell ref="C149:C150"/>
    <mergeCell ref="A124:A126"/>
    <mergeCell ref="A127:A128"/>
    <mergeCell ref="B127:B128"/>
    <mergeCell ref="C127:C128"/>
    <mergeCell ref="A129:A130"/>
    <mergeCell ref="B129:B130"/>
    <mergeCell ref="C129:C130"/>
    <mergeCell ref="D145:D146"/>
    <mergeCell ref="E145:E146"/>
    <mergeCell ref="C133:C134"/>
    <mergeCell ref="D133:D134"/>
    <mergeCell ref="A131:A132"/>
    <mergeCell ref="B131:B132"/>
    <mergeCell ref="C131:C132"/>
    <mergeCell ref="D131:D132"/>
    <mergeCell ref="E131:E132"/>
    <mergeCell ref="B133:B134"/>
    <mergeCell ref="E133:E134"/>
    <mergeCell ref="D137:D138"/>
    <mergeCell ref="E137:E138"/>
    <mergeCell ref="D139:D140"/>
    <mergeCell ref="E139:E140"/>
    <mergeCell ref="D141:D142"/>
    <mergeCell ref="E141:E142"/>
    <mergeCell ref="B124:B126"/>
    <mergeCell ref="C124:C126"/>
    <mergeCell ref="D127:D128"/>
    <mergeCell ref="D129:D130"/>
    <mergeCell ref="D120:D121"/>
    <mergeCell ref="E120:E121"/>
    <mergeCell ref="D122:D123"/>
    <mergeCell ref="E122:E123"/>
    <mergeCell ref="D124:D126"/>
    <mergeCell ref="E124:E126"/>
    <mergeCell ref="E127:E128"/>
    <mergeCell ref="E129:E130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16:A117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937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4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255">
        <v>1</v>
      </c>
      <c r="B8" s="256">
        <v>2</v>
      </c>
      <c r="C8" s="256">
        <v>3</v>
      </c>
      <c r="D8" s="256">
        <v>4</v>
      </c>
      <c r="E8" s="256">
        <v>5</v>
      </c>
      <c r="F8" s="256">
        <v>6</v>
      </c>
      <c r="G8" s="257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04" t="s">
        <v>352</v>
      </c>
      <c r="G9" s="176" t="s">
        <v>24</v>
      </c>
      <c r="H9" s="248">
        <v>17</v>
      </c>
      <c r="I9" s="62">
        <v>10</v>
      </c>
      <c r="J9" s="62">
        <v>12</v>
      </c>
      <c r="K9" s="62">
        <v>20526.41</v>
      </c>
      <c r="L9" s="205">
        <v>10</v>
      </c>
      <c r="M9" s="26">
        <f t="shared" ref="M9:M23" si="0">N9+O9</f>
        <v>18030.28</v>
      </c>
      <c r="N9" s="30">
        <v>18030.28</v>
      </c>
      <c r="O9" s="241"/>
      <c r="P9" s="29">
        <v>15</v>
      </c>
      <c r="Q9" s="30">
        <v>37105.93</v>
      </c>
      <c r="R9" s="205">
        <v>14</v>
      </c>
      <c r="S9" s="26">
        <f t="shared" ref="S9:S33" si="1">T9+U9</f>
        <v>37105.93</v>
      </c>
      <c r="T9" s="30">
        <v>37105.93</v>
      </c>
      <c r="U9" s="225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229" t="s">
        <v>25</v>
      </c>
      <c r="H10" s="258">
        <v>9</v>
      </c>
      <c r="I10" s="37">
        <v>1</v>
      </c>
      <c r="J10" s="37">
        <v>1</v>
      </c>
      <c r="K10" s="68">
        <v>1152.5999999999999</v>
      </c>
      <c r="L10" s="285">
        <v>1</v>
      </c>
      <c r="M10" s="81">
        <f t="shared" si="0"/>
        <v>1152.5999999999999</v>
      </c>
      <c r="N10" s="68">
        <v>1152.5999999999999</v>
      </c>
      <c r="O10" s="234"/>
      <c r="P10" s="69"/>
      <c r="Q10" s="39"/>
      <c r="R10" s="40"/>
      <c r="S10" s="39">
        <f t="shared" si="1"/>
        <v>0</v>
      </c>
      <c r="T10" s="39"/>
      <c r="U10" s="41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76"/>
      <c r="B11" s="377" t="s">
        <v>458</v>
      </c>
      <c r="C11" s="377" t="s">
        <v>46</v>
      </c>
      <c r="D11" s="377" t="s">
        <v>459</v>
      </c>
      <c r="E11" s="377" t="s">
        <v>27</v>
      </c>
      <c r="F11" s="204" t="s">
        <v>460</v>
      </c>
      <c r="G11" s="291" t="s">
        <v>24</v>
      </c>
      <c r="H11" s="335"/>
      <c r="I11" s="266"/>
      <c r="J11" s="266"/>
      <c r="K11" s="79"/>
      <c r="L11" s="268"/>
      <c r="M11" s="26">
        <f t="shared" si="0"/>
        <v>0</v>
      </c>
      <c r="N11" s="79"/>
      <c r="O11" s="82"/>
      <c r="P11" s="78"/>
      <c r="Q11" s="79"/>
      <c r="R11" s="268"/>
      <c r="S11" s="26">
        <f t="shared" si="1"/>
        <v>0</v>
      </c>
      <c r="T11" s="79"/>
      <c r="U11" s="336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3"/>
      <c r="B12" s="375"/>
      <c r="C12" s="375"/>
      <c r="D12" s="375"/>
      <c r="E12" s="375"/>
      <c r="F12" s="220"/>
      <c r="G12" s="229" t="s">
        <v>28</v>
      </c>
      <c r="H12" s="337"/>
      <c r="I12" s="338"/>
      <c r="J12" s="338"/>
      <c r="K12" s="339"/>
      <c r="L12" s="340"/>
      <c r="M12" s="87">
        <f t="shared" si="0"/>
        <v>0</v>
      </c>
      <c r="N12" s="339"/>
      <c r="O12" s="89"/>
      <c r="P12" s="341"/>
      <c r="Q12" s="339"/>
      <c r="R12" s="340"/>
      <c r="S12" s="87">
        <f t="shared" si="1"/>
        <v>0</v>
      </c>
      <c r="T12" s="339"/>
      <c r="U12" s="342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6"/>
      <c r="B13" s="377" t="s">
        <v>26</v>
      </c>
      <c r="C13" s="377" t="s">
        <v>39</v>
      </c>
      <c r="D13" s="377" t="s">
        <v>461</v>
      </c>
      <c r="E13" s="377" t="s">
        <v>27</v>
      </c>
      <c r="F13" s="232" t="s">
        <v>462</v>
      </c>
      <c r="G13" s="95" t="s">
        <v>24</v>
      </c>
      <c r="H13" s="265">
        <v>15</v>
      </c>
      <c r="I13" s="266">
        <v>13</v>
      </c>
      <c r="J13" s="266">
        <v>23</v>
      </c>
      <c r="K13" s="79">
        <v>64829.35</v>
      </c>
      <c r="L13" s="268">
        <v>23</v>
      </c>
      <c r="M13" s="81">
        <f t="shared" si="0"/>
        <v>64829.35</v>
      </c>
      <c r="N13" s="79">
        <v>64829.35</v>
      </c>
      <c r="O13" s="97"/>
      <c r="P13" s="267">
        <v>16</v>
      </c>
      <c r="Q13" s="79">
        <v>119807.03</v>
      </c>
      <c r="R13" s="268">
        <v>16</v>
      </c>
      <c r="S13" s="81">
        <f t="shared" si="1"/>
        <v>119807.03</v>
      </c>
      <c r="T13" s="79">
        <v>119807.03</v>
      </c>
      <c r="U13" s="336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9"/>
      <c r="B14" s="380"/>
      <c r="C14" s="380"/>
      <c r="D14" s="380"/>
      <c r="E14" s="380"/>
      <c r="F14" s="233" t="s">
        <v>276</v>
      </c>
      <c r="G14" s="227" t="s">
        <v>28</v>
      </c>
      <c r="H14" s="56">
        <v>7</v>
      </c>
      <c r="I14" s="130">
        <v>1</v>
      </c>
      <c r="J14" s="130">
        <v>1</v>
      </c>
      <c r="K14" s="114">
        <v>1152.5999999999999</v>
      </c>
      <c r="L14" s="270">
        <v>1</v>
      </c>
      <c r="M14" s="43">
        <f t="shared" si="0"/>
        <v>576.29999999999995</v>
      </c>
      <c r="N14" s="43">
        <f>576.3</f>
        <v>576.29999999999995</v>
      </c>
      <c r="O14" s="58"/>
      <c r="P14" s="115">
        <v>2</v>
      </c>
      <c r="Q14" s="68">
        <v>16973.099999999999</v>
      </c>
      <c r="R14" s="285">
        <v>2</v>
      </c>
      <c r="S14" s="39">
        <f t="shared" si="1"/>
        <v>16973.099999999999</v>
      </c>
      <c r="T14" s="68">
        <v>16973.099999999999</v>
      </c>
      <c r="U14" s="41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ht="15.75" customHeight="1">
      <c r="A15" s="372"/>
      <c r="B15" s="374" t="s">
        <v>29</v>
      </c>
      <c r="C15" s="374" t="s">
        <v>22</v>
      </c>
      <c r="D15" s="378"/>
      <c r="E15" s="374" t="s">
        <v>27</v>
      </c>
      <c r="F15" s="204" t="s">
        <v>251</v>
      </c>
      <c r="G15" s="176" t="s">
        <v>24</v>
      </c>
      <c r="H15" s="61">
        <v>30</v>
      </c>
      <c r="I15" s="62">
        <v>29</v>
      </c>
      <c r="J15" s="62">
        <v>52</v>
      </c>
      <c r="K15" s="30">
        <v>129380.5</v>
      </c>
      <c r="L15" s="205">
        <v>52</v>
      </c>
      <c r="M15" s="26">
        <f t="shared" si="0"/>
        <v>129380.5</v>
      </c>
      <c r="N15" s="30">
        <v>129380.5</v>
      </c>
      <c r="O15" s="299"/>
      <c r="P15" s="64">
        <v>23</v>
      </c>
      <c r="Q15" s="65">
        <v>113361.08</v>
      </c>
      <c r="R15" s="224">
        <v>23</v>
      </c>
      <c r="S15" s="50">
        <f t="shared" si="1"/>
        <v>113361.08</v>
      </c>
      <c r="T15" s="65">
        <v>113361.08</v>
      </c>
      <c r="U15" s="22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3"/>
      <c r="B16" s="375"/>
      <c r="C16" s="375"/>
      <c r="D16" s="375"/>
      <c r="E16" s="375"/>
      <c r="F16" s="220" t="s">
        <v>212</v>
      </c>
      <c r="G16" s="229" t="s">
        <v>28</v>
      </c>
      <c r="H16" s="66">
        <v>7</v>
      </c>
      <c r="I16" s="37">
        <v>5</v>
      </c>
      <c r="J16" s="37">
        <v>5</v>
      </c>
      <c r="K16" s="68">
        <v>13852.2</v>
      </c>
      <c r="L16" s="285">
        <v>4</v>
      </c>
      <c r="M16" s="39">
        <f t="shared" si="0"/>
        <v>9438</v>
      </c>
      <c r="N16" s="68">
        <v>9438</v>
      </c>
      <c r="O16" s="41"/>
      <c r="P16" s="67">
        <v>6</v>
      </c>
      <c r="Q16" s="68">
        <v>25437.3</v>
      </c>
      <c r="R16" s="285">
        <v>6</v>
      </c>
      <c r="S16" s="39">
        <f t="shared" si="1"/>
        <v>25437.3</v>
      </c>
      <c r="T16" s="68">
        <f>23516.3+1921</f>
        <v>25437.3</v>
      </c>
      <c r="U16" s="222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31</v>
      </c>
      <c r="C17" s="374" t="s">
        <v>39</v>
      </c>
      <c r="D17" s="374" t="s">
        <v>32</v>
      </c>
      <c r="E17" s="374" t="s">
        <v>27</v>
      </c>
      <c r="F17" s="22"/>
      <c r="G17" s="176" t="s">
        <v>24</v>
      </c>
      <c r="H17" s="98"/>
      <c r="I17" s="49"/>
      <c r="J17" s="49"/>
      <c r="K17" s="50"/>
      <c r="L17" s="51"/>
      <c r="M17" s="50">
        <f t="shared" si="0"/>
        <v>0</v>
      </c>
      <c r="N17" s="50"/>
      <c r="O17" s="31"/>
      <c r="P17" s="99"/>
      <c r="Q17" s="26"/>
      <c r="R17" s="27"/>
      <c r="S17" s="26">
        <f t="shared" si="1"/>
        <v>0</v>
      </c>
      <c r="T17" s="26"/>
      <c r="U17" s="100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5.75" customHeight="1">
      <c r="A18" s="373"/>
      <c r="B18" s="375"/>
      <c r="C18" s="375"/>
      <c r="D18" s="375"/>
      <c r="E18" s="375"/>
      <c r="F18" s="220" t="s">
        <v>213</v>
      </c>
      <c r="G18" s="259" t="s">
        <v>28</v>
      </c>
      <c r="H18" s="260">
        <v>7</v>
      </c>
      <c r="I18" s="208">
        <v>2</v>
      </c>
      <c r="J18" s="208">
        <v>2</v>
      </c>
      <c r="K18" s="209">
        <v>1837.5</v>
      </c>
      <c r="L18" s="290">
        <v>3</v>
      </c>
      <c r="M18" s="211">
        <f t="shared" si="0"/>
        <v>4446.6000000000004</v>
      </c>
      <c r="N18" s="209">
        <v>4446.6000000000004</v>
      </c>
      <c r="O18" s="212"/>
      <c r="P18" s="262">
        <v>10</v>
      </c>
      <c r="Q18" s="209">
        <v>44714.91</v>
      </c>
      <c r="R18" s="290">
        <v>11</v>
      </c>
      <c r="S18" s="211">
        <f t="shared" si="1"/>
        <v>46557.37</v>
      </c>
      <c r="T18" s="209">
        <f>15405.17+31152.2</f>
        <v>46557.37</v>
      </c>
      <c r="U18" s="26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72"/>
      <c r="B19" s="374" t="s">
        <v>34</v>
      </c>
      <c r="C19" s="374" t="s">
        <v>22</v>
      </c>
      <c r="D19" s="374"/>
      <c r="E19" s="374" t="s">
        <v>27</v>
      </c>
      <c r="F19" s="204" t="s">
        <v>353</v>
      </c>
      <c r="G19" s="176" t="s">
        <v>24</v>
      </c>
      <c r="H19" s="61">
        <v>17</v>
      </c>
      <c r="I19" s="62">
        <v>9</v>
      </c>
      <c r="J19" s="62">
        <v>10</v>
      </c>
      <c r="K19" s="30">
        <v>19893.37</v>
      </c>
      <c r="L19" s="205">
        <v>10</v>
      </c>
      <c r="M19" s="26">
        <f t="shared" si="0"/>
        <v>19893.37</v>
      </c>
      <c r="N19" s="30">
        <v>19893.37</v>
      </c>
      <c r="O19" s="363"/>
      <c r="P19" s="53">
        <v>13</v>
      </c>
      <c r="Q19" s="30">
        <v>39597.26</v>
      </c>
      <c r="R19" s="205">
        <v>13</v>
      </c>
      <c r="S19" s="26">
        <f t="shared" si="1"/>
        <v>39597.26</v>
      </c>
      <c r="T19" s="30">
        <v>39597.26</v>
      </c>
      <c r="U19" s="241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229" t="s">
        <v>28</v>
      </c>
      <c r="H20" s="117">
        <v>9</v>
      </c>
      <c r="I20" s="37">
        <v>1</v>
      </c>
      <c r="J20" s="37">
        <v>1</v>
      </c>
      <c r="K20" s="68">
        <v>1404.9</v>
      </c>
      <c r="L20" s="285">
        <v>1</v>
      </c>
      <c r="M20" s="39">
        <f t="shared" si="0"/>
        <v>1404.9</v>
      </c>
      <c r="N20" s="39">
        <f>1404.9</f>
        <v>1404.9</v>
      </c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76"/>
      <c r="B21" s="377" t="s">
        <v>35</v>
      </c>
      <c r="C21" s="377" t="s">
        <v>39</v>
      </c>
      <c r="D21" s="377" t="s">
        <v>277</v>
      </c>
      <c r="E21" s="377" t="s">
        <v>37</v>
      </c>
      <c r="F21" s="232" t="s">
        <v>278</v>
      </c>
      <c r="G21" s="95" t="s">
        <v>24</v>
      </c>
      <c r="H21" s="265">
        <v>16</v>
      </c>
      <c r="I21" s="266">
        <v>15</v>
      </c>
      <c r="J21" s="266">
        <v>21</v>
      </c>
      <c r="K21" s="79">
        <v>36509.08</v>
      </c>
      <c r="L21" s="268">
        <v>21</v>
      </c>
      <c r="M21" s="81">
        <f t="shared" si="0"/>
        <v>36509.08</v>
      </c>
      <c r="N21" s="79">
        <v>36509.08</v>
      </c>
      <c r="O21" s="269"/>
      <c r="P21" s="267">
        <v>12</v>
      </c>
      <c r="Q21" s="79">
        <v>37820.82</v>
      </c>
      <c r="R21" s="268">
        <v>12</v>
      </c>
      <c r="S21" s="81">
        <f t="shared" si="1"/>
        <v>37820.82</v>
      </c>
      <c r="T21" s="79">
        <v>37820.82</v>
      </c>
      <c r="U21" s="269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2</v>
      </c>
      <c r="Q22" s="68">
        <v>4399.09</v>
      </c>
      <c r="R22" s="285">
        <v>2</v>
      </c>
      <c r="S22" s="39">
        <f t="shared" si="1"/>
        <v>3765.16</v>
      </c>
      <c r="T22" s="39">
        <f>2497.3+1267.86</f>
        <v>3765.16</v>
      </c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22</v>
      </c>
      <c r="D23" s="381"/>
      <c r="E23" s="381" t="s">
        <v>41</v>
      </c>
      <c r="F23" s="223" t="s">
        <v>468</v>
      </c>
      <c r="G23" s="23" t="s">
        <v>24</v>
      </c>
      <c r="H23" s="48">
        <v>25</v>
      </c>
      <c r="I23" s="203">
        <v>22</v>
      </c>
      <c r="J23" s="203">
        <v>34</v>
      </c>
      <c r="K23" s="65">
        <v>48591.64</v>
      </c>
      <c r="L23" s="224">
        <v>33</v>
      </c>
      <c r="M23" s="50">
        <f t="shared" si="0"/>
        <v>47551.15</v>
      </c>
      <c r="N23" s="65">
        <v>47551.15</v>
      </c>
      <c r="O23" s="225"/>
      <c r="P23" s="53">
        <v>18</v>
      </c>
      <c r="Q23" s="30">
        <v>40711.599999999999</v>
      </c>
      <c r="R23" s="205">
        <v>17</v>
      </c>
      <c r="S23" s="26">
        <f t="shared" si="1"/>
        <v>40711.599999999999</v>
      </c>
      <c r="T23" s="30">
        <v>40711.599999999999</v>
      </c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33" t="s">
        <v>485</v>
      </c>
      <c r="G24" s="227" t="s">
        <v>25</v>
      </c>
      <c r="H24" s="112">
        <v>3</v>
      </c>
      <c r="I24" s="130">
        <v>1</v>
      </c>
      <c r="J24" s="130">
        <v>1</v>
      </c>
      <c r="K24" s="114">
        <v>630.6</v>
      </c>
      <c r="L24" s="270">
        <v>1</v>
      </c>
      <c r="M24" s="114">
        <v>630.6</v>
      </c>
      <c r="N24" s="114">
        <v>630.6</v>
      </c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20</v>
      </c>
      <c r="I25" s="62">
        <v>17</v>
      </c>
      <c r="J25" s="62">
        <v>17</v>
      </c>
      <c r="K25" s="62">
        <v>14813.54</v>
      </c>
      <c r="L25" s="205">
        <v>17</v>
      </c>
      <c r="M25" s="26">
        <f t="shared" ref="M25:M33" si="2">N25+O25</f>
        <v>14813.54</v>
      </c>
      <c r="N25" s="30">
        <v>14813.54</v>
      </c>
      <c r="O25" s="225"/>
      <c r="P25" s="53">
        <v>10</v>
      </c>
      <c r="Q25" s="30">
        <v>18984.87</v>
      </c>
      <c r="R25" s="205">
        <v>8</v>
      </c>
      <c r="S25" s="26">
        <f t="shared" si="1"/>
        <v>18984.87</v>
      </c>
      <c r="T25" s="30">
        <v>18984.87</v>
      </c>
      <c r="U25" s="225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7</v>
      </c>
      <c r="I26" s="37">
        <v>1</v>
      </c>
      <c r="J26" s="37">
        <v>1</v>
      </c>
      <c r="K26" s="68">
        <v>1986.93</v>
      </c>
      <c r="L26" s="285">
        <v>1</v>
      </c>
      <c r="M26" s="39">
        <f t="shared" si="2"/>
        <v>1204.2</v>
      </c>
      <c r="N26" s="39">
        <f>1204.2</f>
        <v>1204.2</v>
      </c>
      <c r="O26" s="41"/>
      <c r="P26" s="115">
        <v>2</v>
      </c>
      <c r="Q26" s="68">
        <v>4418.3</v>
      </c>
      <c r="R26" s="285">
        <v>2</v>
      </c>
      <c r="S26" s="39">
        <f t="shared" si="1"/>
        <v>4418.3</v>
      </c>
      <c r="T26" s="39">
        <f>1921+2497.3</f>
        <v>4418.3</v>
      </c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2"/>
      <c r="B27" s="374" t="s">
        <v>44</v>
      </c>
      <c r="C27" s="374" t="s">
        <v>39</v>
      </c>
      <c r="D27" s="374" t="s">
        <v>258</v>
      </c>
      <c r="E27" s="374" t="s">
        <v>27</v>
      </c>
      <c r="F27" s="204" t="s">
        <v>259</v>
      </c>
      <c r="G27" s="176" t="s">
        <v>24</v>
      </c>
      <c r="H27" s="48">
        <v>18</v>
      </c>
      <c r="I27" s="203">
        <v>16</v>
      </c>
      <c r="J27" s="203">
        <v>24</v>
      </c>
      <c r="K27" s="65">
        <v>43109.440000000002</v>
      </c>
      <c r="L27" s="224">
        <v>23</v>
      </c>
      <c r="M27" s="50">
        <f t="shared" si="2"/>
        <v>40691.089999999997</v>
      </c>
      <c r="N27" s="65">
        <v>40691.089999999997</v>
      </c>
      <c r="O27" s="225"/>
      <c r="P27" s="53">
        <v>17</v>
      </c>
      <c r="Q27" s="30">
        <v>50255.54</v>
      </c>
      <c r="R27" s="205">
        <v>17</v>
      </c>
      <c r="S27" s="26">
        <f t="shared" si="1"/>
        <v>50255.54</v>
      </c>
      <c r="T27" s="30">
        <v>50255.54</v>
      </c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3"/>
      <c r="B28" s="375"/>
      <c r="C28" s="375"/>
      <c r="D28" s="375"/>
      <c r="E28" s="375"/>
      <c r="F28" s="220" t="s">
        <v>216</v>
      </c>
      <c r="G28" s="229" t="s">
        <v>28</v>
      </c>
      <c r="H28" s="133">
        <v>9</v>
      </c>
      <c r="I28" s="130">
        <v>3</v>
      </c>
      <c r="J28" s="130">
        <v>3</v>
      </c>
      <c r="K28" s="114">
        <v>3211.2</v>
      </c>
      <c r="L28" s="270">
        <v>3</v>
      </c>
      <c r="M28" s="43">
        <f t="shared" si="2"/>
        <v>3211.2</v>
      </c>
      <c r="N28" s="114">
        <v>3211.2</v>
      </c>
      <c r="O28" s="41"/>
      <c r="P28" s="115">
        <v>13</v>
      </c>
      <c r="Q28" s="68">
        <v>61289.1</v>
      </c>
      <c r="R28" s="285">
        <v>12</v>
      </c>
      <c r="S28" s="39">
        <f t="shared" si="1"/>
        <v>55771.5</v>
      </c>
      <c r="T28" s="68">
        <f>46867.7+8903.8</f>
        <v>55771.5</v>
      </c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232" t="s">
        <v>354</v>
      </c>
      <c r="G29" s="23" t="s">
        <v>24</v>
      </c>
      <c r="H29" s="48">
        <v>2</v>
      </c>
      <c r="I29" s="25"/>
      <c r="J29" s="25"/>
      <c r="K29" s="26"/>
      <c r="L29" s="27"/>
      <c r="M29" s="26">
        <f t="shared" si="2"/>
        <v>0</v>
      </c>
      <c r="N29" s="26"/>
      <c r="O29" s="31"/>
      <c r="P29" s="53">
        <v>5</v>
      </c>
      <c r="Q29" s="30">
        <v>16015.34</v>
      </c>
      <c r="R29" s="205">
        <v>5</v>
      </c>
      <c r="S29" s="26">
        <f t="shared" si="1"/>
        <v>16015.34</v>
      </c>
      <c r="T29" s="30">
        <v>16015.34</v>
      </c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0" t="s">
        <v>217</v>
      </c>
      <c r="G30" s="55" t="s">
        <v>28</v>
      </c>
      <c r="H30" s="56">
        <v>8</v>
      </c>
      <c r="I30" s="130">
        <v>5</v>
      </c>
      <c r="J30" s="130">
        <v>5</v>
      </c>
      <c r="K30" s="114">
        <v>10249.6</v>
      </c>
      <c r="L30" s="270">
        <v>5</v>
      </c>
      <c r="M30" s="43">
        <f t="shared" si="2"/>
        <v>10249.6</v>
      </c>
      <c r="N30" s="114">
        <v>10249.6</v>
      </c>
      <c r="O30" s="45"/>
      <c r="P30" s="113">
        <v>6</v>
      </c>
      <c r="Q30" s="114">
        <v>13960.2</v>
      </c>
      <c r="R30" s="270">
        <v>8</v>
      </c>
      <c r="S30" s="43">
        <f t="shared" si="1"/>
        <v>21676.18</v>
      </c>
      <c r="T30" s="114">
        <f>9573.88+12102.3</f>
        <v>21676.18</v>
      </c>
      <c r="U30" s="222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 t="s">
        <v>22</v>
      </c>
      <c r="D31" s="374"/>
      <c r="E31" s="374" t="s">
        <v>391</v>
      </c>
      <c r="F31" s="232" t="s">
        <v>403</v>
      </c>
      <c r="G31" s="23" t="s">
        <v>24</v>
      </c>
      <c r="H31" s="119"/>
      <c r="I31" s="25"/>
      <c r="J31" s="25"/>
      <c r="K31" s="26"/>
      <c r="L31" s="27"/>
      <c r="M31" s="26">
        <f t="shared" si="2"/>
        <v>0</v>
      </c>
      <c r="N31" s="26"/>
      <c r="O31" s="28"/>
      <c r="P31" s="29">
        <v>1</v>
      </c>
      <c r="Q31" s="30">
        <v>5744.16</v>
      </c>
      <c r="R31" s="205">
        <v>1</v>
      </c>
      <c r="S31" s="26">
        <f t="shared" si="1"/>
        <v>5744.16</v>
      </c>
      <c r="T31" s="30">
        <v>5744.16</v>
      </c>
      <c r="U31" s="241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2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17</v>
      </c>
      <c r="I33" s="203">
        <v>10</v>
      </c>
      <c r="J33" s="203">
        <v>13</v>
      </c>
      <c r="K33" s="65">
        <v>21953.040000000001</v>
      </c>
      <c r="L33" s="224">
        <v>13</v>
      </c>
      <c r="M33" s="50">
        <f t="shared" si="2"/>
        <v>21953.040000000001</v>
      </c>
      <c r="N33" s="65">
        <v>21953.040000000001</v>
      </c>
      <c r="O33" s="225"/>
      <c r="P33" s="108">
        <v>12</v>
      </c>
      <c r="Q33" s="65">
        <v>35396.99</v>
      </c>
      <c r="R33" s="224">
        <v>12</v>
      </c>
      <c r="S33" s="26">
        <f t="shared" si="1"/>
        <v>35396.99</v>
      </c>
      <c r="T33" s="65">
        <v>35396.99</v>
      </c>
      <c r="U33" s="22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221" t="s">
        <v>486</v>
      </c>
      <c r="G34" s="55" t="s">
        <v>25</v>
      </c>
      <c r="H34" s="121">
        <v>8</v>
      </c>
      <c r="I34" s="130">
        <v>8</v>
      </c>
      <c r="J34" s="130">
        <v>8</v>
      </c>
      <c r="K34" s="114">
        <v>18612.400000000001</v>
      </c>
      <c r="L34" s="270">
        <v>8</v>
      </c>
      <c r="M34" s="114">
        <v>18612.400000000001</v>
      </c>
      <c r="N34" s="114">
        <v>18612.400000000001</v>
      </c>
      <c r="O34" s="222"/>
      <c r="P34" s="113">
        <v>8</v>
      </c>
      <c r="Q34" s="114">
        <v>28496.92</v>
      </c>
      <c r="R34" s="270">
        <v>8</v>
      </c>
      <c r="S34" s="114">
        <v>28496.92</v>
      </c>
      <c r="T34" s="114">
        <v>28496.92</v>
      </c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 t="s">
        <v>39</v>
      </c>
      <c r="D35" s="374" t="s">
        <v>355</v>
      </c>
      <c r="E35" s="374" t="s">
        <v>65</v>
      </c>
      <c r="F35" s="204" t="s">
        <v>356</v>
      </c>
      <c r="G35" s="23" t="s">
        <v>24</v>
      </c>
      <c r="H35" s="24">
        <v>2</v>
      </c>
      <c r="I35" s="25"/>
      <c r="J35" s="25"/>
      <c r="K35" s="26"/>
      <c r="L35" s="27"/>
      <c r="M35" s="26">
        <f t="shared" ref="M35:M80" si="3">N35+O35</f>
        <v>0</v>
      </c>
      <c r="N35" s="26"/>
      <c r="O35" s="28"/>
      <c r="P35" s="29">
        <v>2</v>
      </c>
      <c r="Q35" s="30">
        <v>2689.4</v>
      </c>
      <c r="R35" s="205">
        <v>2</v>
      </c>
      <c r="S35" s="26">
        <f t="shared" ref="S35:S80" si="4">T35+U35</f>
        <v>2689.4</v>
      </c>
      <c r="T35" s="30">
        <v>2689.4</v>
      </c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3"/>
        <v>0</v>
      </c>
      <c r="N36" s="39"/>
      <c r="O36" s="41"/>
      <c r="P36" s="69"/>
      <c r="Q36" s="39"/>
      <c r="R36" s="40"/>
      <c r="S36" s="39">
        <f t="shared" si="4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11</v>
      </c>
      <c r="I37" s="203">
        <v>10</v>
      </c>
      <c r="J37" s="203">
        <v>10</v>
      </c>
      <c r="K37" s="65">
        <v>10039.700000000001</v>
      </c>
      <c r="L37" s="224">
        <v>10</v>
      </c>
      <c r="M37" s="50">
        <f t="shared" si="3"/>
        <v>10039.700000000001</v>
      </c>
      <c r="N37" s="65">
        <v>10039.700000000001</v>
      </c>
      <c r="O37" s="31"/>
      <c r="P37" s="64">
        <v>6</v>
      </c>
      <c r="Q37" s="65">
        <v>16862.68</v>
      </c>
      <c r="R37" s="268">
        <v>5</v>
      </c>
      <c r="S37" s="50">
        <f t="shared" si="4"/>
        <v>16862.68</v>
      </c>
      <c r="T37" s="65">
        <v>16862.68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227" t="s">
        <v>28</v>
      </c>
      <c r="H38" s="207">
        <v>6</v>
      </c>
      <c r="I38" s="208">
        <v>4</v>
      </c>
      <c r="J38" s="208">
        <v>4</v>
      </c>
      <c r="K38" s="209">
        <v>6273.9</v>
      </c>
      <c r="L38" s="290">
        <v>4</v>
      </c>
      <c r="M38" s="211">
        <f t="shared" si="3"/>
        <v>6273.9</v>
      </c>
      <c r="N38" s="209">
        <v>6273.9</v>
      </c>
      <c r="O38" s="212"/>
      <c r="P38" s="304">
        <v>2</v>
      </c>
      <c r="Q38" s="209">
        <v>9182.3799999999992</v>
      </c>
      <c r="R38" s="317">
        <v>3</v>
      </c>
      <c r="S38" s="211">
        <f t="shared" si="4"/>
        <v>9458.5299999999988</v>
      </c>
      <c r="T38" s="209">
        <f>276.15+1152.6+8029.78</f>
        <v>9458.5299999999988</v>
      </c>
      <c r="U38" s="212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72"/>
      <c r="B39" s="381" t="s">
        <v>405</v>
      </c>
      <c r="C39" s="374" t="s">
        <v>39</v>
      </c>
      <c r="D39" s="374" t="s">
        <v>433</v>
      </c>
      <c r="E39" s="381" t="s">
        <v>65</v>
      </c>
      <c r="F39" s="232" t="s">
        <v>434</v>
      </c>
      <c r="G39" s="213" t="s">
        <v>24</v>
      </c>
      <c r="H39" s="24">
        <v>3</v>
      </c>
      <c r="I39" s="62">
        <v>1</v>
      </c>
      <c r="J39" s="62">
        <v>3</v>
      </c>
      <c r="K39" s="30">
        <v>2815.81</v>
      </c>
      <c r="L39" s="205">
        <v>3</v>
      </c>
      <c r="M39" s="26">
        <f t="shared" si="3"/>
        <v>2815.81</v>
      </c>
      <c r="N39" s="30">
        <v>2815.81</v>
      </c>
      <c r="O39" s="241"/>
      <c r="P39" s="275"/>
      <c r="Q39" s="26"/>
      <c r="R39" s="27"/>
      <c r="S39" s="26">
        <f t="shared" si="4"/>
        <v>0</v>
      </c>
      <c r="T39" s="26"/>
      <c r="U39" s="2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215" t="s">
        <v>28</v>
      </c>
      <c r="H40" s="36"/>
      <c r="I40" s="38"/>
      <c r="J40" s="38"/>
      <c r="K40" s="39"/>
      <c r="L40" s="40"/>
      <c r="M40" s="39">
        <f t="shared" si="3"/>
        <v>0</v>
      </c>
      <c r="N40" s="39"/>
      <c r="O40" s="41"/>
      <c r="P40" s="276"/>
      <c r="Q40" s="39"/>
      <c r="R40" s="40"/>
      <c r="S40" s="39">
        <f t="shared" si="4"/>
        <v>0</v>
      </c>
      <c r="T40" s="39"/>
      <c r="U40" s="41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6.5" customHeight="1">
      <c r="A41" s="376"/>
      <c r="B41" s="377" t="s">
        <v>53</v>
      </c>
      <c r="C41" s="377" t="s">
        <v>46</v>
      </c>
      <c r="D41" s="377" t="s">
        <v>54</v>
      </c>
      <c r="E41" s="377" t="s">
        <v>55</v>
      </c>
      <c r="F41" s="72"/>
      <c r="G41" s="95" t="s">
        <v>24</v>
      </c>
      <c r="H41" s="218"/>
      <c r="I41" s="96"/>
      <c r="J41" s="96"/>
      <c r="K41" s="81"/>
      <c r="L41" s="80"/>
      <c r="M41" s="81">
        <f t="shared" si="3"/>
        <v>0</v>
      </c>
      <c r="N41" s="81"/>
      <c r="O41" s="219"/>
      <c r="P41" s="277"/>
      <c r="Q41" s="81"/>
      <c r="R41" s="80"/>
      <c r="S41" s="81">
        <f t="shared" si="4"/>
        <v>0</v>
      </c>
      <c r="T41" s="81"/>
      <c r="U41" s="219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6.5" customHeight="1">
      <c r="A42" s="373"/>
      <c r="B42" s="375"/>
      <c r="C42" s="375"/>
      <c r="D42" s="375"/>
      <c r="E42" s="375"/>
      <c r="F42" s="226"/>
      <c r="G42" s="227" t="s">
        <v>25</v>
      </c>
      <c r="H42" s="272"/>
      <c r="I42" s="261"/>
      <c r="J42" s="261"/>
      <c r="K42" s="211"/>
      <c r="L42" s="210"/>
      <c r="M42" s="211">
        <f t="shared" si="3"/>
        <v>0</v>
      </c>
      <c r="N42" s="211"/>
      <c r="O42" s="212"/>
      <c r="P42" s="273"/>
      <c r="Q42" s="211"/>
      <c r="R42" s="210"/>
      <c r="S42" s="211">
        <f t="shared" si="4"/>
        <v>0</v>
      </c>
      <c r="T42" s="211"/>
      <c r="U42" s="212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72"/>
      <c r="B43" s="374" t="s">
        <v>56</v>
      </c>
      <c r="C43" s="374" t="s">
        <v>39</v>
      </c>
      <c r="D43" s="374" t="s">
        <v>281</v>
      </c>
      <c r="E43" s="374" t="s">
        <v>58</v>
      </c>
      <c r="F43" s="204" t="s">
        <v>283</v>
      </c>
      <c r="G43" s="176" t="s">
        <v>24</v>
      </c>
      <c r="H43" s="319">
        <v>11</v>
      </c>
      <c r="I43" s="62">
        <v>7</v>
      </c>
      <c r="J43" s="62">
        <v>9</v>
      </c>
      <c r="K43" s="30">
        <v>25887.16</v>
      </c>
      <c r="L43" s="205">
        <v>9</v>
      </c>
      <c r="M43" s="26">
        <f t="shared" si="3"/>
        <v>25887.16</v>
      </c>
      <c r="N43" s="30">
        <v>25887.16</v>
      </c>
      <c r="O43" s="243"/>
      <c r="P43" s="53">
        <v>3</v>
      </c>
      <c r="Q43" s="30">
        <v>2055.75</v>
      </c>
      <c r="R43" s="205">
        <v>2</v>
      </c>
      <c r="S43" s="26">
        <f t="shared" si="4"/>
        <v>2055.75</v>
      </c>
      <c r="T43" s="30">
        <v>2055.75</v>
      </c>
      <c r="U43" s="243"/>
      <c r="V43" s="4"/>
      <c r="W43" s="124"/>
      <c r="X43" s="124"/>
      <c r="Y43" s="124"/>
      <c r="Z43" s="124"/>
      <c r="AA43" s="124"/>
      <c r="AB43" s="124"/>
      <c r="AC43" s="124"/>
      <c r="AD43" s="124"/>
      <c r="AE43" s="124"/>
      <c r="AF43" s="125"/>
    </row>
    <row r="44" spans="1:32" ht="15.75" customHeight="1">
      <c r="A44" s="373"/>
      <c r="B44" s="375"/>
      <c r="C44" s="375"/>
      <c r="D44" s="375"/>
      <c r="E44" s="375"/>
      <c r="F44" s="34"/>
      <c r="G44" s="229" t="s">
        <v>28</v>
      </c>
      <c r="H44" s="301"/>
      <c r="I44" s="38"/>
      <c r="J44" s="38"/>
      <c r="K44" s="39"/>
      <c r="L44" s="40"/>
      <c r="M44" s="39">
        <f t="shared" si="3"/>
        <v>0</v>
      </c>
      <c r="N44" s="39"/>
      <c r="O44" s="41"/>
      <c r="P44" s="59"/>
      <c r="Q44" s="39"/>
      <c r="R44" s="40"/>
      <c r="S44" s="39">
        <f t="shared" si="4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59</v>
      </c>
      <c r="C45" s="374" t="s">
        <v>22</v>
      </c>
      <c r="D45" s="374"/>
      <c r="E45" s="374" t="s">
        <v>27</v>
      </c>
      <c r="F45" s="204" t="s">
        <v>261</v>
      </c>
      <c r="G45" s="176" t="s">
        <v>24</v>
      </c>
      <c r="H45" s="265">
        <v>21</v>
      </c>
      <c r="I45" s="266">
        <v>19</v>
      </c>
      <c r="J45" s="266">
        <v>26</v>
      </c>
      <c r="K45" s="79">
        <v>48612.82</v>
      </c>
      <c r="L45" s="268">
        <v>26</v>
      </c>
      <c r="M45" s="81">
        <f t="shared" si="3"/>
        <v>48612.82</v>
      </c>
      <c r="N45" s="79">
        <v>48612.82</v>
      </c>
      <c r="O45" s="314"/>
      <c r="P45" s="53">
        <v>22</v>
      </c>
      <c r="Q45" s="30">
        <v>82933.13</v>
      </c>
      <c r="R45" s="205">
        <v>22</v>
      </c>
      <c r="S45" s="26">
        <f t="shared" si="4"/>
        <v>82933.13</v>
      </c>
      <c r="T45" s="30">
        <v>82933.13</v>
      </c>
      <c r="U45" s="241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3"/>
      <c r="B46" s="375"/>
      <c r="C46" s="375"/>
      <c r="D46" s="375"/>
      <c r="E46" s="375"/>
      <c r="F46" s="105"/>
      <c r="G46" s="229" t="s">
        <v>28</v>
      </c>
      <c r="H46" s="272"/>
      <c r="I46" s="261"/>
      <c r="J46" s="261"/>
      <c r="K46" s="211"/>
      <c r="L46" s="210"/>
      <c r="M46" s="211">
        <f t="shared" si="3"/>
        <v>0</v>
      </c>
      <c r="N46" s="211"/>
      <c r="O46" s="274"/>
      <c r="P46" s="273"/>
      <c r="Q46" s="211"/>
      <c r="R46" s="210"/>
      <c r="S46" s="211">
        <f t="shared" si="4"/>
        <v>0</v>
      </c>
      <c r="T46" s="211"/>
      <c r="U46" s="212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357</v>
      </c>
      <c r="C47" s="374" t="s">
        <v>39</v>
      </c>
      <c r="D47" s="374" t="s">
        <v>388</v>
      </c>
      <c r="E47" s="377" t="s">
        <v>27</v>
      </c>
      <c r="F47" s="204" t="s">
        <v>389</v>
      </c>
      <c r="G47" s="213" t="s">
        <v>24</v>
      </c>
      <c r="H47" s="61">
        <v>30</v>
      </c>
      <c r="I47" s="62">
        <v>17</v>
      </c>
      <c r="J47" s="62">
        <v>21</v>
      </c>
      <c r="K47" s="30">
        <v>45747.68</v>
      </c>
      <c r="L47" s="205">
        <v>18</v>
      </c>
      <c r="M47" s="26">
        <f t="shared" si="3"/>
        <v>37906.339999999997</v>
      </c>
      <c r="N47" s="30">
        <v>37906.339999999997</v>
      </c>
      <c r="O47" s="241"/>
      <c r="P47" s="214"/>
      <c r="Q47" s="30"/>
      <c r="R47" s="27"/>
      <c r="S47" s="26">
        <f t="shared" si="4"/>
        <v>0</v>
      </c>
      <c r="T47" s="26"/>
      <c r="U47" s="24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87"/>
      <c r="B48" s="386"/>
      <c r="C48" s="386"/>
      <c r="D48" s="386"/>
      <c r="E48" s="386"/>
      <c r="F48" s="235"/>
      <c r="G48" s="279" t="s">
        <v>28</v>
      </c>
      <c r="H48" s="302">
        <v>7</v>
      </c>
      <c r="I48" s="208">
        <v>2</v>
      </c>
      <c r="J48" s="208">
        <v>2</v>
      </c>
      <c r="K48" s="209">
        <v>6935.7</v>
      </c>
      <c r="L48" s="290">
        <v>2</v>
      </c>
      <c r="M48" s="211">
        <f t="shared" si="3"/>
        <v>6414.98</v>
      </c>
      <c r="N48" s="209">
        <v>6414.98</v>
      </c>
      <c r="O48" s="212"/>
      <c r="P48" s="280"/>
      <c r="Q48" s="209"/>
      <c r="R48" s="210"/>
      <c r="S48" s="211">
        <f t="shared" si="4"/>
        <v>0</v>
      </c>
      <c r="T48" s="211"/>
      <c r="U48" s="26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73"/>
      <c r="B49" s="375"/>
      <c r="C49" s="375"/>
      <c r="D49" s="375"/>
      <c r="E49" s="380"/>
      <c r="F49" s="220" t="s">
        <v>476</v>
      </c>
      <c r="G49" s="307" t="s">
        <v>25</v>
      </c>
      <c r="H49" s="352">
        <v>5</v>
      </c>
      <c r="I49" s="37"/>
      <c r="J49" s="37"/>
      <c r="K49" s="68"/>
      <c r="L49" s="285"/>
      <c r="M49" s="39">
        <f t="shared" si="3"/>
        <v>0</v>
      </c>
      <c r="N49" s="39"/>
      <c r="O49" s="41"/>
      <c r="P49" s="217"/>
      <c r="Q49" s="68"/>
      <c r="R49" s="40"/>
      <c r="S49" s="39">
        <f t="shared" si="4"/>
        <v>0</v>
      </c>
      <c r="T49" s="39"/>
      <c r="U49" s="23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2"/>
      <c r="B50" s="374" t="s">
        <v>390</v>
      </c>
      <c r="C50" s="374" t="s">
        <v>22</v>
      </c>
      <c r="D50" s="374"/>
      <c r="E50" s="374" t="s">
        <v>391</v>
      </c>
      <c r="F50" s="232" t="s">
        <v>392</v>
      </c>
      <c r="G50" s="73" t="s">
        <v>24</v>
      </c>
      <c r="H50" s="265">
        <v>11</v>
      </c>
      <c r="I50" s="266">
        <v>11</v>
      </c>
      <c r="J50" s="266">
        <v>15</v>
      </c>
      <c r="K50" s="79">
        <v>29460.55</v>
      </c>
      <c r="L50" s="268">
        <v>15</v>
      </c>
      <c r="M50" s="81">
        <f t="shared" si="3"/>
        <v>29460.55</v>
      </c>
      <c r="N50" s="79">
        <v>29460.55</v>
      </c>
      <c r="O50" s="336"/>
      <c r="P50" s="303"/>
      <c r="Q50" s="81"/>
      <c r="R50" s="80"/>
      <c r="S50" s="81">
        <f t="shared" si="4"/>
        <v>0</v>
      </c>
      <c r="T50" s="81"/>
      <c r="U50" s="82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3"/>
      <c r="B51" s="375"/>
      <c r="C51" s="375"/>
      <c r="D51" s="375"/>
      <c r="E51" s="375"/>
      <c r="F51" s="34"/>
      <c r="G51" s="215" t="s">
        <v>28</v>
      </c>
      <c r="H51" s="106"/>
      <c r="I51" s="38"/>
      <c r="J51" s="38"/>
      <c r="K51" s="39"/>
      <c r="L51" s="40"/>
      <c r="M51" s="39">
        <f t="shared" si="3"/>
        <v>0</v>
      </c>
      <c r="N51" s="39"/>
      <c r="O51" s="41"/>
      <c r="P51" s="276"/>
      <c r="Q51" s="39"/>
      <c r="R51" s="40"/>
      <c r="S51" s="39">
        <f t="shared" si="4"/>
        <v>0</v>
      </c>
      <c r="T51" s="39"/>
      <c r="U51" s="41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6"/>
      <c r="B52" s="377" t="s">
        <v>479</v>
      </c>
      <c r="C52" s="377"/>
      <c r="D52" s="377"/>
      <c r="E52" s="377"/>
      <c r="F52" s="76"/>
      <c r="G52" s="73" t="s">
        <v>24</v>
      </c>
      <c r="H52" s="74"/>
      <c r="I52" s="96"/>
      <c r="J52" s="96"/>
      <c r="K52" s="81"/>
      <c r="L52" s="80"/>
      <c r="M52" s="142">
        <f t="shared" si="3"/>
        <v>0</v>
      </c>
      <c r="N52" s="81"/>
      <c r="O52" s="82"/>
      <c r="P52" s="303"/>
      <c r="Q52" s="81"/>
      <c r="R52" s="80"/>
      <c r="S52" s="142">
        <f t="shared" si="4"/>
        <v>0</v>
      </c>
      <c r="T52" s="81"/>
      <c r="U52" s="82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3"/>
      <c r="B53" s="375"/>
      <c r="C53" s="375"/>
      <c r="D53" s="375"/>
      <c r="E53" s="375"/>
      <c r="F53" s="202"/>
      <c r="G53" s="215" t="s">
        <v>28</v>
      </c>
      <c r="H53" s="353">
        <v>3</v>
      </c>
      <c r="I53" s="338">
        <v>2</v>
      </c>
      <c r="J53" s="338">
        <v>2</v>
      </c>
      <c r="K53" s="339">
        <v>2634.9</v>
      </c>
      <c r="L53" s="340">
        <v>2</v>
      </c>
      <c r="M53" s="39">
        <f t="shared" si="3"/>
        <v>3010.5</v>
      </c>
      <c r="N53" s="339">
        <v>3010.5</v>
      </c>
      <c r="O53" s="89"/>
      <c r="P53" s="354"/>
      <c r="Q53" s="87"/>
      <c r="R53" s="88"/>
      <c r="S53" s="39">
        <f t="shared" si="4"/>
        <v>0</v>
      </c>
      <c r="T53" s="87"/>
      <c r="U53" s="89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6"/>
      <c r="B54" s="377" t="s">
        <v>358</v>
      </c>
      <c r="C54" s="377"/>
      <c r="D54" s="377"/>
      <c r="E54" s="377" t="s">
        <v>478</v>
      </c>
      <c r="F54" s="76"/>
      <c r="G54" s="73" t="s">
        <v>24</v>
      </c>
      <c r="H54" s="74"/>
      <c r="I54" s="96"/>
      <c r="J54" s="96"/>
      <c r="K54" s="81"/>
      <c r="L54" s="80"/>
      <c r="M54" s="81">
        <f t="shared" si="3"/>
        <v>0</v>
      </c>
      <c r="N54" s="81"/>
      <c r="O54" s="82"/>
      <c r="P54" s="303"/>
      <c r="Q54" s="81"/>
      <c r="R54" s="80"/>
      <c r="S54" s="81">
        <f t="shared" si="4"/>
        <v>0</v>
      </c>
      <c r="T54" s="81"/>
      <c r="U54" s="82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73"/>
      <c r="B55" s="375"/>
      <c r="C55" s="375"/>
      <c r="D55" s="375"/>
      <c r="E55" s="375"/>
      <c r="F55" s="34"/>
      <c r="G55" s="215" t="s">
        <v>28</v>
      </c>
      <c r="H55" s="117">
        <v>1</v>
      </c>
      <c r="I55" s="37">
        <v>1</v>
      </c>
      <c r="J55" s="37">
        <v>1</v>
      </c>
      <c r="K55" s="68">
        <v>576.29999999999995</v>
      </c>
      <c r="L55" s="40"/>
      <c r="M55" s="39">
        <f t="shared" si="3"/>
        <v>0</v>
      </c>
      <c r="N55" s="39"/>
      <c r="O55" s="41"/>
      <c r="P55" s="276"/>
      <c r="Q55" s="39"/>
      <c r="R55" s="40"/>
      <c r="S55" s="39">
        <f t="shared" si="4"/>
        <v>0</v>
      </c>
      <c r="T55" s="39"/>
      <c r="U55" s="41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2"/>
      <c r="B56" s="374" t="s">
        <v>60</v>
      </c>
      <c r="C56" s="374" t="s">
        <v>39</v>
      </c>
      <c r="D56" s="374" t="s">
        <v>61</v>
      </c>
      <c r="E56" s="383" t="s">
        <v>27</v>
      </c>
      <c r="F56" s="204" t="s">
        <v>463</v>
      </c>
      <c r="G56" s="176" t="s">
        <v>24</v>
      </c>
      <c r="H56" s="265">
        <v>8</v>
      </c>
      <c r="I56" s="266">
        <v>5</v>
      </c>
      <c r="J56" s="266">
        <v>6</v>
      </c>
      <c r="K56" s="79">
        <v>10046.86</v>
      </c>
      <c r="L56" s="268">
        <v>6</v>
      </c>
      <c r="M56" s="81">
        <f t="shared" si="3"/>
        <v>10046.86</v>
      </c>
      <c r="N56" s="79">
        <v>10046.86</v>
      </c>
      <c r="O56" s="314"/>
      <c r="P56" s="277"/>
      <c r="Q56" s="81"/>
      <c r="R56" s="80"/>
      <c r="S56" s="81">
        <f t="shared" si="4"/>
        <v>0</v>
      </c>
      <c r="T56" s="81"/>
      <c r="U56" s="82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73"/>
      <c r="B57" s="375"/>
      <c r="C57" s="375"/>
      <c r="D57" s="375"/>
      <c r="E57" s="401"/>
      <c r="F57" s="34"/>
      <c r="G57" s="229" t="s">
        <v>28</v>
      </c>
      <c r="H57" s="112">
        <v>10</v>
      </c>
      <c r="I57" s="130">
        <v>8</v>
      </c>
      <c r="J57" s="130">
        <v>8</v>
      </c>
      <c r="K57" s="114">
        <v>21658.48</v>
      </c>
      <c r="L57" s="270">
        <v>8</v>
      </c>
      <c r="M57" s="43">
        <f t="shared" si="3"/>
        <v>21658.48</v>
      </c>
      <c r="N57" s="114">
        <v>21658.48</v>
      </c>
      <c r="O57" s="58"/>
      <c r="P57" s="59"/>
      <c r="Q57" s="39"/>
      <c r="R57" s="40"/>
      <c r="S57" s="39">
        <f t="shared" si="4"/>
        <v>0</v>
      </c>
      <c r="T57" s="39"/>
      <c r="U57" s="4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2"/>
      <c r="B58" s="374" t="s">
        <v>62</v>
      </c>
      <c r="C58" s="374" t="s">
        <v>39</v>
      </c>
      <c r="D58" s="374" t="s">
        <v>63</v>
      </c>
      <c r="E58" s="374" t="s">
        <v>27</v>
      </c>
      <c r="F58" s="232" t="s">
        <v>359</v>
      </c>
      <c r="G58" s="23" t="s">
        <v>24</v>
      </c>
      <c r="H58" s="24">
        <v>8</v>
      </c>
      <c r="I58" s="62">
        <v>4</v>
      </c>
      <c r="J58" s="62">
        <v>5</v>
      </c>
      <c r="K58" s="30">
        <v>7056.89</v>
      </c>
      <c r="L58" s="205">
        <v>5</v>
      </c>
      <c r="M58" s="26">
        <f t="shared" si="3"/>
        <v>7056.89</v>
      </c>
      <c r="N58" s="30">
        <v>7056.89</v>
      </c>
      <c r="O58" s="225"/>
      <c r="P58" s="108">
        <v>8</v>
      </c>
      <c r="Q58" s="65">
        <v>18110.38</v>
      </c>
      <c r="R58" s="224">
        <v>8</v>
      </c>
      <c r="S58" s="50">
        <f t="shared" si="4"/>
        <v>18110.38</v>
      </c>
      <c r="T58" s="65">
        <v>18110.38</v>
      </c>
      <c r="U58" s="31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3"/>
      <c r="B59" s="375"/>
      <c r="C59" s="375"/>
      <c r="D59" s="375"/>
      <c r="E59" s="375"/>
      <c r="F59" s="34"/>
      <c r="G59" s="35" t="s">
        <v>28</v>
      </c>
      <c r="H59" s="66">
        <v>8</v>
      </c>
      <c r="I59" s="37">
        <v>4</v>
      </c>
      <c r="J59" s="37">
        <v>4</v>
      </c>
      <c r="K59" s="68">
        <v>13848.3</v>
      </c>
      <c r="L59" s="285">
        <v>4</v>
      </c>
      <c r="M59" s="39">
        <f t="shared" si="3"/>
        <v>13848.3</v>
      </c>
      <c r="N59" s="68">
        <v>13848.3</v>
      </c>
      <c r="O59" s="41"/>
      <c r="P59" s="115">
        <v>12</v>
      </c>
      <c r="Q59" s="68">
        <v>28567.23</v>
      </c>
      <c r="R59" s="285">
        <v>13</v>
      </c>
      <c r="S59" s="39">
        <f t="shared" si="4"/>
        <v>40045.129999999997</v>
      </c>
      <c r="T59" s="68">
        <f>23588.1+16457.03</f>
        <v>40045.129999999997</v>
      </c>
      <c r="U59" s="41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2"/>
      <c r="B60" s="374" t="s">
        <v>66</v>
      </c>
      <c r="C60" s="374" t="s">
        <v>22</v>
      </c>
      <c r="D60" s="374"/>
      <c r="E60" s="374" t="s">
        <v>67</v>
      </c>
      <c r="F60" s="223" t="s">
        <v>360</v>
      </c>
      <c r="G60" s="176" t="s">
        <v>24</v>
      </c>
      <c r="H60" s="278">
        <v>9</v>
      </c>
      <c r="I60" s="203">
        <v>9</v>
      </c>
      <c r="J60" s="203">
        <v>13</v>
      </c>
      <c r="K60" s="65">
        <v>28160.93</v>
      </c>
      <c r="L60" s="224">
        <v>13</v>
      </c>
      <c r="M60" s="50">
        <f t="shared" si="3"/>
        <v>28160.93</v>
      </c>
      <c r="N60" s="65">
        <v>28160.93</v>
      </c>
      <c r="O60" s="225"/>
      <c r="P60" s="53">
        <v>5</v>
      </c>
      <c r="Q60" s="30">
        <v>13725.08</v>
      </c>
      <c r="R60" s="205">
        <v>5</v>
      </c>
      <c r="S60" s="26">
        <f t="shared" si="4"/>
        <v>13725.08</v>
      </c>
      <c r="T60" s="30">
        <v>13725.08</v>
      </c>
      <c r="U60" s="243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3"/>
      <c r="B61" s="375"/>
      <c r="C61" s="375"/>
      <c r="D61" s="375"/>
      <c r="E61" s="375"/>
      <c r="F61" s="105"/>
      <c r="G61" s="229" t="s">
        <v>28</v>
      </c>
      <c r="H61" s="230"/>
      <c r="I61" s="57"/>
      <c r="J61" s="57"/>
      <c r="K61" s="43"/>
      <c r="L61" s="44"/>
      <c r="M61" s="43">
        <f t="shared" si="3"/>
        <v>0</v>
      </c>
      <c r="N61" s="43"/>
      <c r="O61" s="41"/>
      <c r="P61" s="59"/>
      <c r="Q61" s="39"/>
      <c r="R61" s="40"/>
      <c r="S61" s="39">
        <f t="shared" si="4"/>
        <v>0</v>
      </c>
      <c r="T61" s="39"/>
      <c r="U61" s="4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6"/>
      <c r="B62" s="377" t="s">
        <v>68</v>
      </c>
      <c r="C62" s="377" t="s">
        <v>39</v>
      </c>
      <c r="D62" s="377" t="s">
        <v>69</v>
      </c>
      <c r="E62" s="377" t="s">
        <v>65</v>
      </c>
      <c r="F62" s="223" t="s">
        <v>263</v>
      </c>
      <c r="G62" s="95" t="s">
        <v>24</v>
      </c>
      <c r="H62" s="61">
        <v>21</v>
      </c>
      <c r="I62" s="62">
        <v>19</v>
      </c>
      <c r="J62" s="62">
        <v>24</v>
      </c>
      <c r="K62" s="30">
        <v>41959.59</v>
      </c>
      <c r="L62" s="205">
        <v>23</v>
      </c>
      <c r="M62" s="26">
        <f t="shared" si="3"/>
        <v>41030.51</v>
      </c>
      <c r="N62" s="30">
        <v>41030.51</v>
      </c>
      <c r="O62" s="225"/>
      <c r="P62" s="53">
        <v>7</v>
      </c>
      <c r="Q62" s="30">
        <v>47772.9</v>
      </c>
      <c r="R62" s="205">
        <v>7</v>
      </c>
      <c r="S62" s="26">
        <f t="shared" si="4"/>
        <v>47772.9</v>
      </c>
      <c r="T62" s="30">
        <v>47772.9</v>
      </c>
      <c r="U62" s="225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3"/>
      <c r="B63" s="375"/>
      <c r="C63" s="375"/>
      <c r="D63" s="375"/>
      <c r="E63" s="375"/>
      <c r="F63" s="305" t="s">
        <v>222</v>
      </c>
      <c r="G63" s="35" t="s">
        <v>28</v>
      </c>
      <c r="H63" s="117">
        <v>9</v>
      </c>
      <c r="I63" s="37">
        <v>6</v>
      </c>
      <c r="J63" s="37">
        <v>6</v>
      </c>
      <c r="K63" s="68">
        <v>9085.2999999999993</v>
      </c>
      <c r="L63" s="285">
        <v>5</v>
      </c>
      <c r="M63" s="39">
        <f t="shared" si="3"/>
        <v>7765.84</v>
      </c>
      <c r="N63" s="68">
        <v>7765.84</v>
      </c>
      <c r="O63" s="41"/>
      <c r="P63" s="115">
        <v>1</v>
      </c>
      <c r="Q63" s="68">
        <v>576.29999999999995</v>
      </c>
      <c r="R63" s="285">
        <v>1</v>
      </c>
      <c r="S63" s="39">
        <f t="shared" si="4"/>
        <v>144.08000000000001</v>
      </c>
      <c r="T63" s="39">
        <f>144.08</f>
        <v>144.08000000000001</v>
      </c>
      <c r="U63" s="45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2"/>
      <c r="B64" s="374" t="s">
        <v>70</v>
      </c>
      <c r="C64" s="374" t="s">
        <v>39</v>
      </c>
      <c r="D64" s="374" t="s">
        <v>284</v>
      </c>
      <c r="E64" s="374" t="s">
        <v>55</v>
      </c>
      <c r="F64" s="204" t="s">
        <v>285</v>
      </c>
      <c r="G64" s="176" t="s">
        <v>24</v>
      </c>
      <c r="H64" s="48">
        <v>42</v>
      </c>
      <c r="I64" s="203">
        <v>38</v>
      </c>
      <c r="J64" s="203">
        <v>58</v>
      </c>
      <c r="K64" s="65">
        <v>116754.9</v>
      </c>
      <c r="L64" s="224">
        <v>53</v>
      </c>
      <c r="M64" s="50">
        <f t="shared" si="3"/>
        <v>107987.3</v>
      </c>
      <c r="N64" s="65">
        <v>107987.3</v>
      </c>
      <c r="O64" s="225"/>
      <c r="P64" s="53">
        <v>36</v>
      </c>
      <c r="Q64" s="30">
        <v>120544.03</v>
      </c>
      <c r="R64" s="205">
        <v>36</v>
      </c>
      <c r="S64" s="26">
        <f t="shared" si="4"/>
        <v>120544.03</v>
      </c>
      <c r="T64" s="30">
        <v>120544.03</v>
      </c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73"/>
      <c r="B65" s="375"/>
      <c r="C65" s="375"/>
      <c r="D65" s="375"/>
      <c r="E65" s="375"/>
      <c r="F65" s="105"/>
      <c r="G65" s="229" t="s">
        <v>25</v>
      </c>
      <c r="H65" s="272"/>
      <c r="I65" s="261"/>
      <c r="J65" s="261"/>
      <c r="K65" s="211"/>
      <c r="L65" s="210"/>
      <c r="M65" s="211">
        <f t="shared" si="3"/>
        <v>0</v>
      </c>
      <c r="N65" s="211"/>
      <c r="O65" s="212"/>
      <c r="P65" s="273"/>
      <c r="Q65" s="211"/>
      <c r="R65" s="210"/>
      <c r="S65" s="211">
        <f t="shared" si="4"/>
        <v>0</v>
      </c>
      <c r="T65" s="211"/>
      <c r="U65" s="212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2"/>
      <c r="B66" s="374" t="s">
        <v>361</v>
      </c>
      <c r="C66" s="374" t="s">
        <v>39</v>
      </c>
      <c r="D66" s="374" t="s">
        <v>393</v>
      </c>
      <c r="E66" s="377" t="s">
        <v>27</v>
      </c>
      <c r="F66" s="204" t="s">
        <v>394</v>
      </c>
      <c r="G66" s="213" t="s">
        <v>24</v>
      </c>
      <c r="H66" s="24">
        <v>19</v>
      </c>
      <c r="I66" s="62">
        <v>13</v>
      </c>
      <c r="J66" s="62">
        <v>14</v>
      </c>
      <c r="K66" s="30">
        <v>16489.689999999999</v>
      </c>
      <c r="L66" s="205">
        <v>13</v>
      </c>
      <c r="M66" s="26">
        <f t="shared" si="3"/>
        <v>15859.09</v>
      </c>
      <c r="N66" s="30">
        <v>15859.09</v>
      </c>
      <c r="O66" s="241"/>
      <c r="P66" s="214"/>
      <c r="Q66" s="30"/>
      <c r="R66" s="27"/>
      <c r="S66" s="26">
        <f t="shared" si="4"/>
        <v>0</v>
      </c>
      <c r="T66" s="26"/>
      <c r="U66" s="2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3"/>
      <c r="B67" s="375"/>
      <c r="C67" s="375"/>
      <c r="D67" s="375"/>
      <c r="E67" s="380"/>
      <c r="F67" s="247"/>
      <c r="G67" s="279" t="s">
        <v>28</v>
      </c>
      <c r="H67" s="207">
        <v>11</v>
      </c>
      <c r="I67" s="208">
        <v>2</v>
      </c>
      <c r="J67" s="208">
        <v>2</v>
      </c>
      <c r="K67" s="209">
        <v>6158.86</v>
      </c>
      <c r="L67" s="290">
        <v>1</v>
      </c>
      <c r="M67" s="211">
        <f t="shared" si="3"/>
        <v>693.66</v>
      </c>
      <c r="N67" s="209">
        <v>693.66</v>
      </c>
      <c r="O67" s="212"/>
      <c r="P67" s="280"/>
      <c r="Q67" s="209"/>
      <c r="R67" s="210"/>
      <c r="S67" s="211">
        <f t="shared" si="4"/>
        <v>0</v>
      </c>
      <c r="T67" s="211"/>
      <c r="U67" s="212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2"/>
      <c r="B68" s="374" t="s">
        <v>362</v>
      </c>
      <c r="C68" s="374" t="s">
        <v>39</v>
      </c>
      <c r="D68" s="374" t="s">
        <v>395</v>
      </c>
      <c r="E68" s="374" t="s">
        <v>27</v>
      </c>
      <c r="F68" s="204" t="s">
        <v>396</v>
      </c>
      <c r="G68" s="176" t="s">
        <v>24</v>
      </c>
      <c r="H68" s="248">
        <v>9</v>
      </c>
      <c r="I68" s="62">
        <v>7</v>
      </c>
      <c r="J68" s="62">
        <v>8</v>
      </c>
      <c r="K68" s="30">
        <v>18490.03</v>
      </c>
      <c r="L68" s="205">
        <v>8</v>
      </c>
      <c r="M68" s="26">
        <f t="shared" si="3"/>
        <v>18490.03</v>
      </c>
      <c r="N68" s="30">
        <v>18490.03</v>
      </c>
      <c r="O68" s="241"/>
      <c r="P68" s="214"/>
      <c r="Q68" s="30"/>
      <c r="R68" s="27"/>
      <c r="S68" s="26">
        <f t="shared" si="4"/>
        <v>0</v>
      </c>
      <c r="T68" s="26"/>
      <c r="U68" s="2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73"/>
      <c r="B69" s="375"/>
      <c r="C69" s="375"/>
      <c r="D69" s="375"/>
      <c r="E69" s="375"/>
      <c r="F69" s="34"/>
      <c r="G69" s="229" t="s">
        <v>28</v>
      </c>
      <c r="H69" s="258">
        <v>10</v>
      </c>
      <c r="I69" s="37">
        <v>3</v>
      </c>
      <c r="J69" s="37">
        <v>3</v>
      </c>
      <c r="K69" s="68">
        <v>5444.78</v>
      </c>
      <c r="L69" s="285">
        <v>3</v>
      </c>
      <c r="M69" s="39">
        <f t="shared" si="3"/>
        <v>6369.66</v>
      </c>
      <c r="N69" s="68">
        <v>6369.66</v>
      </c>
      <c r="O69" s="41"/>
      <c r="P69" s="217"/>
      <c r="Q69" s="68"/>
      <c r="R69" s="40"/>
      <c r="S69" s="39">
        <f t="shared" si="4"/>
        <v>0</v>
      </c>
      <c r="T69" s="39"/>
      <c r="U69" s="4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6"/>
      <c r="B70" s="377" t="s">
        <v>72</v>
      </c>
      <c r="C70" s="377" t="s">
        <v>39</v>
      </c>
      <c r="D70" s="377" t="s">
        <v>363</v>
      </c>
      <c r="E70" s="377" t="s">
        <v>27</v>
      </c>
      <c r="F70" s="232" t="s">
        <v>364</v>
      </c>
      <c r="G70" s="95" t="s">
        <v>24</v>
      </c>
      <c r="H70" s="281">
        <v>10</v>
      </c>
      <c r="I70" s="266">
        <v>6</v>
      </c>
      <c r="J70" s="266">
        <v>7</v>
      </c>
      <c r="K70" s="79">
        <v>21315.53</v>
      </c>
      <c r="L70" s="268">
        <v>6</v>
      </c>
      <c r="M70" s="81">
        <f t="shared" si="3"/>
        <v>18350.66</v>
      </c>
      <c r="N70" s="79">
        <v>18350.66</v>
      </c>
      <c r="O70" s="269"/>
      <c r="P70" s="267">
        <v>4</v>
      </c>
      <c r="Q70" s="79">
        <v>8585.01</v>
      </c>
      <c r="R70" s="268">
        <v>4</v>
      </c>
      <c r="S70" s="81">
        <f t="shared" si="4"/>
        <v>8585.01</v>
      </c>
      <c r="T70" s="79">
        <v>8585.01</v>
      </c>
      <c r="U70" s="269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9"/>
      <c r="B71" s="380"/>
      <c r="C71" s="380"/>
      <c r="D71" s="380"/>
      <c r="E71" s="380"/>
      <c r="F71" s="233" t="s">
        <v>223</v>
      </c>
      <c r="G71" s="227" t="s">
        <v>28</v>
      </c>
      <c r="H71" s="112">
        <v>9</v>
      </c>
      <c r="I71" s="130">
        <v>6</v>
      </c>
      <c r="J71" s="130">
        <v>6</v>
      </c>
      <c r="K71" s="114">
        <v>9712.0300000000007</v>
      </c>
      <c r="L71" s="316">
        <v>6</v>
      </c>
      <c r="M71" s="129">
        <f t="shared" si="3"/>
        <v>9712.0300000000007</v>
      </c>
      <c r="N71" s="114">
        <v>9712.0300000000007</v>
      </c>
      <c r="O71" s="45"/>
      <c r="P71" s="113">
        <v>5</v>
      </c>
      <c r="Q71" s="114">
        <v>40999.1</v>
      </c>
      <c r="R71" s="316">
        <v>5</v>
      </c>
      <c r="S71" s="129">
        <f t="shared" si="4"/>
        <v>40999.1</v>
      </c>
      <c r="T71" s="114">
        <v>40999.1</v>
      </c>
      <c r="U71" s="4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2"/>
      <c r="B72" s="374" t="s">
        <v>73</v>
      </c>
      <c r="C72" s="374" t="s">
        <v>22</v>
      </c>
      <c r="D72" s="374"/>
      <c r="E72" s="374" t="s">
        <v>27</v>
      </c>
      <c r="F72" s="204" t="s">
        <v>209</v>
      </c>
      <c r="G72" s="176" t="s">
        <v>24</v>
      </c>
      <c r="H72" s="61">
        <v>5</v>
      </c>
      <c r="I72" s="62">
        <v>4</v>
      </c>
      <c r="J72" s="62">
        <v>4</v>
      </c>
      <c r="K72" s="30">
        <v>5904.82</v>
      </c>
      <c r="L72" s="205">
        <v>4</v>
      </c>
      <c r="M72" s="26">
        <f t="shared" si="3"/>
        <v>5904.82</v>
      </c>
      <c r="N72" s="30">
        <v>5904.82</v>
      </c>
      <c r="O72" s="28"/>
      <c r="P72" s="29">
        <v>9</v>
      </c>
      <c r="Q72" s="30">
        <v>16995.990000000002</v>
      </c>
      <c r="R72" s="205">
        <v>9</v>
      </c>
      <c r="S72" s="26">
        <f t="shared" si="4"/>
        <v>16995.990000000002</v>
      </c>
      <c r="T72" s="30">
        <v>16995.990000000002</v>
      </c>
      <c r="U72" s="2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3"/>
      <c r="B73" s="375"/>
      <c r="C73" s="375"/>
      <c r="D73" s="375"/>
      <c r="E73" s="375"/>
      <c r="F73" s="105"/>
      <c r="G73" s="229" t="s">
        <v>28</v>
      </c>
      <c r="H73" s="106"/>
      <c r="I73" s="38"/>
      <c r="J73" s="38"/>
      <c r="K73" s="39"/>
      <c r="L73" s="40"/>
      <c r="M73" s="39">
        <f t="shared" si="3"/>
        <v>0</v>
      </c>
      <c r="N73" s="39"/>
      <c r="O73" s="41"/>
      <c r="P73" s="69"/>
      <c r="Q73" s="39"/>
      <c r="R73" s="40"/>
      <c r="S73" s="39">
        <f t="shared" si="4"/>
        <v>0</v>
      </c>
      <c r="T73" s="39"/>
      <c r="U73" s="4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2"/>
      <c r="B74" s="374" t="s">
        <v>74</v>
      </c>
      <c r="C74" s="374" t="s">
        <v>39</v>
      </c>
      <c r="D74" s="374" t="s">
        <v>264</v>
      </c>
      <c r="E74" s="374" t="s">
        <v>27</v>
      </c>
      <c r="F74" s="204" t="s">
        <v>265</v>
      </c>
      <c r="G74" s="176" t="s">
        <v>24</v>
      </c>
      <c r="H74" s="48">
        <v>13</v>
      </c>
      <c r="I74" s="203">
        <v>3</v>
      </c>
      <c r="J74" s="203">
        <v>3</v>
      </c>
      <c r="K74" s="65">
        <v>5482.32</v>
      </c>
      <c r="L74" s="224">
        <v>3</v>
      </c>
      <c r="M74" s="50">
        <f t="shared" si="3"/>
        <v>5482.32</v>
      </c>
      <c r="N74" s="65">
        <v>5482.32</v>
      </c>
      <c r="O74" s="31"/>
      <c r="P74" s="108">
        <v>20</v>
      </c>
      <c r="Q74" s="65">
        <v>89755.89</v>
      </c>
      <c r="R74" s="224">
        <v>19</v>
      </c>
      <c r="S74" s="50">
        <f t="shared" si="4"/>
        <v>88488.03</v>
      </c>
      <c r="T74" s="65">
        <v>88488.03</v>
      </c>
      <c r="U74" s="225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3"/>
      <c r="B75" s="375"/>
      <c r="C75" s="375"/>
      <c r="D75" s="375"/>
      <c r="E75" s="375"/>
      <c r="F75" s="220" t="s">
        <v>286</v>
      </c>
      <c r="G75" s="229" t="s">
        <v>28</v>
      </c>
      <c r="H75" s="56">
        <v>5</v>
      </c>
      <c r="I75" s="130">
        <v>3</v>
      </c>
      <c r="J75" s="130">
        <v>3</v>
      </c>
      <c r="K75" s="114">
        <v>7880.4</v>
      </c>
      <c r="L75" s="270">
        <v>3</v>
      </c>
      <c r="M75" s="43">
        <f t="shared" si="3"/>
        <v>7976.4</v>
      </c>
      <c r="N75" s="114">
        <v>7976.4</v>
      </c>
      <c r="O75" s="41"/>
      <c r="P75" s="113">
        <v>1</v>
      </c>
      <c r="Q75" s="114">
        <v>2881.5</v>
      </c>
      <c r="R75" s="270">
        <v>4</v>
      </c>
      <c r="S75" s="43">
        <f t="shared" si="4"/>
        <v>9509.1</v>
      </c>
      <c r="T75" s="114">
        <f>2881.5+2393.3+1841+2393.3</f>
        <v>9509.1</v>
      </c>
      <c r="U75" s="4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2"/>
      <c r="B76" s="374" t="s">
        <v>76</v>
      </c>
      <c r="C76" s="374" t="s">
        <v>39</v>
      </c>
      <c r="D76" s="374" t="s">
        <v>397</v>
      </c>
      <c r="E76" s="374" t="s">
        <v>77</v>
      </c>
      <c r="F76" s="232" t="s">
        <v>398</v>
      </c>
      <c r="G76" s="23" t="s">
        <v>24</v>
      </c>
      <c r="H76" s="61">
        <v>20</v>
      </c>
      <c r="I76" s="62">
        <v>15</v>
      </c>
      <c r="J76" s="62">
        <v>18</v>
      </c>
      <c r="K76" s="30">
        <v>39512.44</v>
      </c>
      <c r="L76" s="205">
        <v>18</v>
      </c>
      <c r="M76" s="26">
        <f t="shared" si="3"/>
        <v>39512.44</v>
      </c>
      <c r="N76" s="30">
        <v>39512.44</v>
      </c>
      <c r="O76" s="225"/>
      <c r="P76" s="29">
        <v>6</v>
      </c>
      <c r="Q76" s="30">
        <v>10539.19</v>
      </c>
      <c r="R76" s="205">
        <v>5</v>
      </c>
      <c r="S76" s="26">
        <f t="shared" si="4"/>
        <v>10539.19</v>
      </c>
      <c r="T76" s="30">
        <v>10539.19</v>
      </c>
      <c r="U76" s="225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73"/>
      <c r="B77" s="375"/>
      <c r="C77" s="375"/>
      <c r="D77" s="375"/>
      <c r="E77" s="375"/>
      <c r="F77" s="220" t="s">
        <v>287</v>
      </c>
      <c r="G77" s="35" t="s">
        <v>28</v>
      </c>
      <c r="H77" s="117">
        <v>7</v>
      </c>
      <c r="I77" s="37">
        <v>3</v>
      </c>
      <c r="J77" s="37">
        <v>3</v>
      </c>
      <c r="K77" s="68">
        <v>10490.7</v>
      </c>
      <c r="L77" s="285">
        <v>3</v>
      </c>
      <c r="M77" s="39">
        <f t="shared" si="3"/>
        <v>7842.02</v>
      </c>
      <c r="N77" s="68">
        <v>7842.02</v>
      </c>
      <c r="O77" s="41"/>
      <c r="P77" s="67">
        <v>1</v>
      </c>
      <c r="Q77" s="68">
        <v>9031.5</v>
      </c>
      <c r="R77" s="40"/>
      <c r="S77" s="39">
        <f t="shared" si="4"/>
        <v>0</v>
      </c>
      <c r="T77" s="39"/>
      <c r="U77" s="4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82"/>
      <c r="B78" s="381" t="s">
        <v>78</v>
      </c>
      <c r="C78" s="381" t="s">
        <v>22</v>
      </c>
      <c r="D78" s="381"/>
      <c r="E78" s="374" t="s">
        <v>77</v>
      </c>
      <c r="F78" s="204" t="s">
        <v>408</v>
      </c>
      <c r="G78" s="47" t="s">
        <v>24</v>
      </c>
      <c r="H78" s="48">
        <v>2</v>
      </c>
      <c r="I78" s="203">
        <v>2</v>
      </c>
      <c r="J78" s="203">
        <v>3</v>
      </c>
      <c r="K78" s="65">
        <v>633.92999999999995</v>
      </c>
      <c r="L78" s="224">
        <v>1</v>
      </c>
      <c r="M78" s="50">
        <f t="shared" si="3"/>
        <v>633.92999999999995</v>
      </c>
      <c r="N78" s="65">
        <v>633.92999999999995</v>
      </c>
      <c r="O78" s="225"/>
      <c r="P78" s="123"/>
      <c r="Q78" s="50"/>
      <c r="R78" s="51"/>
      <c r="S78" s="50">
        <f t="shared" si="4"/>
        <v>0</v>
      </c>
      <c r="T78" s="50"/>
      <c r="U78" s="3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3"/>
      <c r="B79" s="375"/>
      <c r="C79" s="375"/>
      <c r="D79" s="375"/>
      <c r="E79" s="375"/>
      <c r="F79" s="126"/>
      <c r="G79" s="55" t="s">
        <v>28</v>
      </c>
      <c r="H79" s="131"/>
      <c r="I79" s="57"/>
      <c r="J79" s="57"/>
      <c r="K79" s="43"/>
      <c r="L79" s="44"/>
      <c r="M79" s="43">
        <f t="shared" si="3"/>
        <v>0</v>
      </c>
      <c r="N79" s="43"/>
      <c r="O79" s="41"/>
      <c r="P79" s="103"/>
      <c r="Q79" s="43"/>
      <c r="R79" s="44"/>
      <c r="S79" s="43">
        <f t="shared" si="4"/>
        <v>0</v>
      </c>
      <c r="T79" s="43"/>
      <c r="U79" s="4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" customHeight="1">
      <c r="A80" s="372"/>
      <c r="B80" s="374" t="s">
        <v>79</v>
      </c>
      <c r="C80" s="374" t="s">
        <v>22</v>
      </c>
      <c r="D80" s="374"/>
      <c r="E80" s="374" t="s">
        <v>50</v>
      </c>
      <c r="F80" s="204" t="s">
        <v>444</v>
      </c>
      <c r="G80" s="23" t="s">
        <v>24</v>
      </c>
      <c r="H80" s="61">
        <v>15</v>
      </c>
      <c r="I80" s="62">
        <v>10</v>
      </c>
      <c r="J80" s="62">
        <v>16</v>
      </c>
      <c r="K80" s="30">
        <v>30852.05</v>
      </c>
      <c r="L80" s="205">
        <v>16</v>
      </c>
      <c r="M80" s="26">
        <f t="shared" si="3"/>
        <v>30852.05</v>
      </c>
      <c r="N80" s="30">
        <v>30852.05</v>
      </c>
      <c r="O80" s="225"/>
      <c r="P80" s="53">
        <v>4</v>
      </c>
      <c r="Q80" s="30">
        <v>8354.5499999999993</v>
      </c>
      <c r="R80" s="205">
        <v>4</v>
      </c>
      <c r="S80" s="26">
        <f t="shared" si="4"/>
        <v>8354.5499999999993</v>
      </c>
      <c r="T80" s="30">
        <v>8354.5499999999993</v>
      </c>
      <c r="U80" s="225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3"/>
      <c r="B81" s="375"/>
      <c r="C81" s="375"/>
      <c r="D81" s="375"/>
      <c r="E81" s="375"/>
      <c r="F81" s="220" t="s">
        <v>488</v>
      </c>
      <c r="G81" s="35" t="s">
        <v>25</v>
      </c>
      <c r="H81" s="117">
        <v>6</v>
      </c>
      <c r="I81" s="37">
        <v>2</v>
      </c>
      <c r="J81" s="37">
        <v>2</v>
      </c>
      <c r="K81" s="68">
        <v>1479.45</v>
      </c>
      <c r="L81" s="285">
        <v>2</v>
      </c>
      <c r="M81" s="68">
        <v>1479.45</v>
      </c>
      <c r="N81" s="68">
        <v>1479.45</v>
      </c>
      <c r="O81" s="41"/>
      <c r="P81" s="115">
        <v>2</v>
      </c>
      <c r="Q81" s="68">
        <v>8429.4</v>
      </c>
      <c r="R81" s="285">
        <v>2</v>
      </c>
      <c r="S81" s="68">
        <v>8429.4</v>
      </c>
      <c r="T81" s="68">
        <v>8429.4</v>
      </c>
      <c r="U81" s="4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82"/>
      <c r="B82" s="381" t="s">
        <v>80</v>
      </c>
      <c r="C82" s="381" t="s">
        <v>22</v>
      </c>
      <c r="D82" s="381"/>
      <c r="E82" s="381" t="s">
        <v>67</v>
      </c>
      <c r="F82" s="223" t="s">
        <v>399</v>
      </c>
      <c r="G82" s="47" t="s">
        <v>24</v>
      </c>
      <c r="H82" s="48">
        <v>15</v>
      </c>
      <c r="I82" s="203">
        <v>10</v>
      </c>
      <c r="J82" s="203">
        <v>15</v>
      </c>
      <c r="K82" s="158">
        <v>41592.300000000003</v>
      </c>
      <c r="L82" s="224">
        <v>15</v>
      </c>
      <c r="M82" s="50">
        <f t="shared" ref="M82:M98" si="5">N82+O82</f>
        <v>41592.300000000003</v>
      </c>
      <c r="N82" s="65">
        <v>41592.300000000003</v>
      </c>
      <c r="O82" s="225"/>
      <c r="P82" s="108">
        <v>14</v>
      </c>
      <c r="Q82" s="65">
        <v>56897.919999999998</v>
      </c>
      <c r="R82" s="224">
        <v>14</v>
      </c>
      <c r="S82" s="50">
        <f t="shared" ref="S82:S98" si="6">T82+U82</f>
        <v>56897.919999999998</v>
      </c>
      <c r="T82" s="65">
        <v>56897.919999999998</v>
      </c>
      <c r="U82" s="225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9"/>
      <c r="B83" s="380"/>
      <c r="C83" s="380"/>
      <c r="D83" s="380"/>
      <c r="E83" s="380"/>
      <c r="F83" s="226"/>
      <c r="G83" s="227" t="s">
        <v>28</v>
      </c>
      <c r="H83" s="118"/>
      <c r="I83" s="57"/>
      <c r="J83" s="57"/>
      <c r="L83" s="44"/>
      <c r="M83" s="43">
        <f t="shared" si="5"/>
        <v>0</v>
      </c>
      <c r="N83" s="43"/>
      <c r="O83" s="41"/>
      <c r="P83" s="103"/>
      <c r="Q83" s="43"/>
      <c r="R83" s="44"/>
      <c r="S83" s="43">
        <f t="shared" si="6"/>
        <v>0</v>
      </c>
      <c r="T83" s="43"/>
      <c r="U83" s="4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2"/>
      <c r="B84" s="374" t="s">
        <v>81</v>
      </c>
      <c r="C84" s="374" t="s">
        <v>39</v>
      </c>
      <c r="D84" s="374" t="s">
        <v>224</v>
      </c>
      <c r="E84" s="374" t="s">
        <v>65</v>
      </c>
      <c r="F84" s="204" t="s">
        <v>225</v>
      </c>
      <c r="G84" s="176" t="s">
        <v>24</v>
      </c>
      <c r="H84" s="248">
        <v>51</v>
      </c>
      <c r="I84" s="62">
        <v>51</v>
      </c>
      <c r="J84" s="62">
        <v>80</v>
      </c>
      <c r="K84" s="30">
        <v>161590.03</v>
      </c>
      <c r="L84" s="205">
        <v>79</v>
      </c>
      <c r="M84" s="26">
        <f t="shared" si="5"/>
        <v>159685.93</v>
      </c>
      <c r="N84" s="30">
        <v>159685.93</v>
      </c>
      <c r="O84" s="225"/>
      <c r="P84" s="29">
        <v>26</v>
      </c>
      <c r="Q84" s="30">
        <v>88379.58</v>
      </c>
      <c r="R84" s="205">
        <v>26</v>
      </c>
      <c r="S84" s="26">
        <f t="shared" si="6"/>
        <v>88379.58</v>
      </c>
      <c r="T84" s="30">
        <v>88379.58</v>
      </c>
      <c r="U84" s="225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3"/>
      <c r="B85" s="375"/>
      <c r="C85" s="375"/>
      <c r="D85" s="375"/>
      <c r="E85" s="375"/>
      <c r="F85" s="34"/>
      <c r="G85" s="282" t="s">
        <v>28</v>
      </c>
      <c r="H85" s="283"/>
      <c r="I85" s="261"/>
      <c r="J85" s="261"/>
      <c r="K85" s="211"/>
      <c r="L85" s="210"/>
      <c r="M85" s="211">
        <f t="shared" si="5"/>
        <v>0</v>
      </c>
      <c r="N85" s="211"/>
      <c r="O85" s="212"/>
      <c r="P85" s="284"/>
      <c r="Q85" s="211"/>
      <c r="R85" s="210"/>
      <c r="S85" s="211">
        <f t="shared" si="6"/>
        <v>0</v>
      </c>
      <c r="T85" s="211"/>
      <c r="U85" s="212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2"/>
      <c r="B86" s="374" t="s">
        <v>365</v>
      </c>
      <c r="C86" s="374" t="s">
        <v>39</v>
      </c>
      <c r="D86" s="378" t="s">
        <v>409</v>
      </c>
      <c r="E86" s="374" t="s">
        <v>65</v>
      </c>
      <c r="F86" s="232" t="s">
        <v>410</v>
      </c>
      <c r="G86" s="213" t="s">
        <v>24</v>
      </c>
      <c r="H86" s="24">
        <v>12</v>
      </c>
      <c r="I86" s="62">
        <v>8</v>
      </c>
      <c r="J86" s="62">
        <v>8</v>
      </c>
      <c r="K86" s="30">
        <v>15378.24</v>
      </c>
      <c r="L86" s="205">
        <v>8</v>
      </c>
      <c r="M86" s="26">
        <f t="shared" si="5"/>
        <v>15378.24</v>
      </c>
      <c r="N86" s="30">
        <v>15378.24</v>
      </c>
      <c r="O86" s="28"/>
      <c r="P86" s="214"/>
      <c r="Q86" s="30"/>
      <c r="R86" s="27"/>
      <c r="S86" s="26">
        <f t="shared" si="6"/>
        <v>0</v>
      </c>
      <c r="T86" s="26"/>
      <c r="U86" s="2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3"/>
      <c r="B87" s="375"/>
      <c r="C87" s="375"/>
      <c r="D87" s="375"/>
      <c r="E87" s="375"/>
      <c r="F87" s="247"/>
      <c r="G87" s="279" t="s">
        <v>28</v>
      </c>
      <c r="H87" s="207">
        <v>9</v>
      </c>
      <c r="I87" s="208">
        <v>2</v>
      </c>
      <c r="J87" s="208">
        <v>2</v>
      </c>
      <c r="K87" s="209">
        <v>8727.6</v>
      </c>
      <c r="L87" s="290">
        <v>2</v>
      </c>
      <c r="M87" s="211">
        <f t="shared" si="5"/>
        <v>8045.22</v>
      </c>
      <c r="N87" s="209">
        <v>8045.22</v>
      </c>
      <c r="O87" s="212"/>
      <c r="P87" s="280"/>
      <c r="Q87" s="209"/>
      <c r="R87" s="210"/>
      <c r="S87" s="211">
        <f t="shared" si="6"/>
        <v>0</v>
      </c>
      <c r="T87" s="211"/>
      <c r="U87" s="212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2"/>
      <c r="B88" s="374" t="s">
        <v>400</v>
      </c>
      <c r="C88" s="374" t="s">
        <v>22</v>
      </c>
      <c r="D88" s="378"/>
      <c r="E88" s="374" t="s">
        <v>401</v>
      </c>
      <c r="F88" s="204" t="s">
        <v>402</v>
      </c>
      <c r="G88" s="213" t="s">
        <v>24</v>
      </c>
      <c r="H88" s="24">
        <v>3</v>
      </c>
      <c r="I88" s="62"/>
      <c r="J88" s="62"/>
      <c r="K88" s="30"/>
      <c r="L88" s="27"/>
      <c r="M88" s="26">
        <f t="shared" si="5"/>
        <v>0</v>
      </c>
      <c r="N88" s="26"/>
      <c r="O88" s="28"/>
      <c r="P88" s="214"/>
      <c r="Q88" s="30"/>
      <c r="R88" s="27"/>
      <c r="S88" s="26">
        <f t="shared" si="6"/>
        <v>0</v>
      </c>
      <c r="T88" s="26"/>
      <c r="U88" s="2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3"/>
      <c r="B89" s="375"/>
      <c r="C89" s="375"/>
      <c r="D89" s="375"/>
      <c r="E89" s="375"/>
      <c r="F89" s="34"/>
      <c r="G89" s="215" t="s">
        <v>28</v>
      </c>
      <c r="H89" s="66"/>
      <c r="I89" s="37"/>
      <c r="J89" s="37"/>
      <c r="K89" s="68"/>
      <c r="L89" s="40"/>
      <c r="M89" s="39">
        <f t="shared" si="5"/>
        <v>0</v>
      </c>
      <c r="N89" s="39"/>
      <c r="O89" s="41"/>
      <c r="P89" s="217"/>
      <c r="Q89" s="68"/>
      <c r="R89" s="40"/>
      <c r="S89" s="39">
        <f t="shared" si="6"/>
        <v>0</v>
      </c>
      <c r="T89" s="39"/>
      <c r="U89" s="4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6"/>
      <c r="B90" s="377" t="s">
        <v>82</v>
      </c>
      <c r="C90" s="377" t="s">
        <v>22</v>
      </c>
      <c r="D90" s="400"/>
      <c r="E90" s="377" t="s">
        <v>83</v>
      </c>
      <c r="F90" s="223" t="s">
        <v>404</v>
      </c>
      <c r="G90" s="95" t="s">
        <v>24</v>
      </c>
      <c r="H90" s="281">
        <v>21</v>
      </c>
      <c r="I90" s="266">
        <v>15</v>
      </c>
      <c r="J90" s="266">
        <v>25</v>
      </c>
      <c r="K90" s="79">
        <v>42934.720000000001</v>
      </c>
      <c r="L90" s="268">
        <v>25</v>
      </c>
      <c r="M90" s="81">
        <f t="shared" si="5"/>
        <v>42934.720000000001</v>
      </c>
      <c r="N90" s="79">
        <v>42934.720000000001</v>
      </c>
      <c r="O90" s="269"/>
      <c r="P90" s="267">
        <v>13</v>
      </c>
      <c r="Q90" s="79">
        <v>30417.55</v>
      </c>
      <c r="R90" s="268">
        <v>12</v>
      </c>
      <c r="S90" s="81">
        <f t="shared" si="6"/>
        <v>30417.55</v>
      </c>
      <c r="T90" s="79">
        <v>30417.55</v>
      </c>
      <c r="U90" s="269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3"/>
      <c r="B91" s="375"/>
      <c r="C91" s="375"/>
      <c r="D91" s="375"/>
      <c r="E91" s="375"/>
      <c r="F91" s="221" t="s">
        <v>489</v>
      </c>
      <c r="G91" s="55" t="s">
        <v>25</v>
      </c>
      <c r="H91" s="121">
        <v>6</v>
      </c>
      <c r="I91" s="130">
        <v>1</v>
      </c>
      <c r="J91" s="130">
        <v>1</v>
      </c>
      <c r="K91" s="114">
        <v>1344.7</v>
      </c>
      <c r="L91" s="270">
        <v>1</v>
      </c>
      <c r="M91" s="43">
        <f t="shared" si="5"/>
        <v>1344.7</v>
      </c>
      <c r="N91" s="114">
        <v>1344.7</v>
      </c>
      <c r="O91" s="234"/>
      <c r="P91" s="103"/>
      <c r="Q91" s="43"/>
      <c r="R91" s="44"/>
      <c r="S91" s="43">
        <f t="shared" si="6"/>
        <v>0</v>
      </c>
      <c r="T91" s="43"/>
      <c r="U91" s="4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2"/>
      <c r="B92" s="374" t="s">
        <v>84</v>
      </c>
      <c r="C92" s="374"/>
      <c r="D92" s="378"/>
      <c r="E92" s="374"/>
      <c r="F92" s="60"/>
      <c r="G92" s="23" t="s">
        <v>24</v>
      </c>
      <c r="H92" s="119"/>
      <c r="I92" s="25"/>
      <c r="J92" s="25"/>
      <c r="K92" s="26"/>
      <c r="L92" s="27"/>
      <c r="M92" s="26">
        <f t="shared" si="5"/>
        <v>0</v>
      </c>
      <c r="N92" s="26"/>
      <c r="O92" s="31"/>
      <c r="P92" s="120"/>
      <c r="Q92" s="26"/>
      <c r="R92" s="27"/>
      <c r="S92" s="26">
        <f t="shared" si="6"/>
        <v>0</v>
      </c>
      <c r="T92" s="26"/>
      <c r="U92" s="31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3"/>
      <c r="B93" s="375"/>
      <c r="C93" s="375"/>
      <c r="D93" s="375"/>
      <c r="E93" s="375"/>
      <c r="F93" s="132"/>
      <c r="G93" s="35" t="s">
        <v>28</v>
      </c>
      <c r="H93" s="36"/>
      <c r="I93" s="38"/>
      <c r="J93" s="38"/>
      <c r="K93" s="39"/>
      <c r="L93" s="40"/>
      <c r="M93" s="39">
        <f t="shared" si="5"/>
        <v>0</v>
      </c>
      <c r="N93" s="39"/>
      <c r="O93" s="41"/>
      <c r="P93" s="69"/>
      <c r="Q93" s="39"/>
      <c r="R93" s="40"/>
      <c r="S93" s="39">
        <f t="shared" si="6"/>
        <v>0</v>
      </c>
      <c r="T93" s="39"/>
      <c r="U93" s="4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82"/>
      <c r="B94" s="381" t="s">
        <v>85</v>
      </c>
      <c r="C94" s="381" t="s">
        <v>22</v>
      </c>
      <c r="D94" s="385"/>
      <c r="E94" s="381" t="s">
        <v>27</v>
      </c>
      <c r="F94" s="127"/>
      <c r="G94" s="47" t="s">
        <v>24</v>
      </c>
      <c r="H94" s="98"/>
      <c r="I94" s="49"/>
      <c r="J94" s="49"/>
      <c r="K94" s="50"/>
      <c r="L94" s="51"/>
      <c r="M94" s="50">
        <f t="shared" si="5"/>
        <v>0</v>
      </c>
      <c r="N94" s="50"/>
      <c r="O94" s="31"/>
      <c r="P94" s="108">
        <v>1</v>
      </c>
      <c r="Q94" s="65">
        <v>405.02</v>
      </c>
      <c r="R94" s="51"/>
      <c r="S94" s="50">
        <f t="shared" si="6"/>
        <v>0</v>
      </c>
      <c r="T94" s="50"/>
      <c r="U94" s="3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79"/>
      <c r="B95" s="380"/>
      <c r="C95" s="380"/>
      <c r="D95" s="380"/>
      <c r="E95" s="380"/>
      <c r="F95" s="226"/>
      <c r="G95" s="227" t="s">
        <v>28</v>
      </c>
      <c r="H95" s="116"/>
      <c r="I95" s="57"/>
      <c r="J95" s="57"/>
      <c r="K95" s="43"/>
      <c r="L95" s="44"/>
      <c r="M95" s="43">
        <f t="shared" si="5"/>
        <v>0</v>
      </c>
      <c r="N95" s="43"/>
      <c r="O95" s="41"/>
      <c r="P95" s="103"/>
      <c r="Q95" s="43"/>
      <c r="R95" s="44"/>
      <c r="S95" s="43">
        <f t="shared" si="6"/>
        <v>0</v>
      </c>
      <c r="T95" s="43"/>
      <c r="U95" s="4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2"/>
      <c r="B96" s="374" t="s">
        <v>86</v>
      </c>
      <c r="C96" s="374" t="s">
        <v>39</v>
      </c>
      <c r="D96" s="374" t="s">
        <v>266</v>
      </c>
      <c r="E96" s="374" t="s">
        <v>23</v>
      </c>
      <c r="F96" s="204" t="s">
        <v>267</v>
      </c>
      <c r="G96" s="176" t="s">
        <v>24</v>
      </c>
      <c r="H96" s="151">
        <v>4</v>
      </c>
      <c r="I96" s="62">
        <v>1</v>
      </c>
      <c r="J96" s="62">
        <v>1</v>
      </c>
      <c r="K96" s="30">
        <v>1204.2</v>
      </c>
      <c r="L96" s="205">
        <v>1</v>
      </c>
      <c r="M96" s="26">
        <f t="shared" si="5"/>
        <v>1204.2</v>
      </c>
      <c r="N96" s="30">
        <v>1204.2</v>
      </c>
      <c r="O96" s="31"/>
      <c r="P96" s="53">
        <v>8</v>
      </c>
      <c r="Q96" s="30">
        <v>23413.73</v>
      </c>
      <c r="R96" s="205">
        <v>8</v>
      </c>
      <c r="S96" s="26">
        <f t="shared" si="6"/>
        <v>23413.73</v>
      </c>
      <c r="T96" s="30">
        <v>23413.73</v>
      </c>
      <c r="U96" s="225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73"/>
      <c r="B97" s="375"/>
      <c r="C97" s="375"/>
      <c r="D97" s="375"/>
      <c r="E97" s="375"/>
      <c r="F97" s="105"/>
      <c r="G97" s="229" t="s">
        <v>25</v>
      </c>
      <c r="H97" s="118"/>
      <c r="I97" s="57"/>
      <c r="J97" s="57"/>
      <c r="K97" s="43"/>
      <c r="L97" s="44"/>
      <c r="M97" s="43">
        <f t="shared" si="5"/>
        <v>0</v>
      </c>
      <c r="N97" s="43"/>
      <c r="O97" s="41"/>
      <c r="P97" s="103"/>
      <c r="Q97" s="43"/>
      <c r="R97" s="44"/>
      <c r="S97" s="43">
        <f t="shared" si="6"/>
        <v>0</v>
      </c>
      <c r="T97" s="43"/>
      <c r="U97" s="4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2"/>
      <c r="B98" s="374" t="s">
        <v>87</v>
      </c>
      <c r="C98" s="374" t="s">
        <v>39</v>
      </c>
      <c r="D98" s="374" t="s">
        <v>88</v>
      </c>
      <c r="E98" s="374" t="s">
        <v>89</v>
      </c>
      <c r="F98" s="232" t="s">
        <v>268</v>
      </c>
      <c r="G98" s="23" t="s">
        <v>24</v>
      </c>
      <c r="H98" s="61">
        <v>29</v>
      </c>
      <c r="I98" s="62">
        <v>22</v>
      </c>
      <c r="J98" s="62">
        <v>29</v>
      </c>
      <c r="K98" s="30">
        <v>49322.99</v>
      </c>
      <c r="L98" s="205">
        <v>29</v>
      </c>
      <c r="M98" s="26">
        <f t="shared" si="5"/>
        <v>49322.99</v>
      </c>
      <c r="N98" s="30">
        <v>49322.99</v>
      </c>
      <c r="O98" s="225"/>
      <c r="P98" s="53">
        <v>11</v>
      </c>
      <c r="Q98" s="30">
        <v>38951.43</v>
      </c>
      <c r="R98" s="205">
        <v>11</v>
      </c>
      <c r="S98" s="26">
        <f t="shared" si="6"/>
        <v>38951.43</v>
      </c>
      <c r="T98" s="30">
        <v>38951.43</v>
      </c>
      <c r="U98" s="225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3"/>
      <c r="B99" s="375"/>
      <c r="C99" s="375"/>
      <c r="D99" s="375"/>
      <c r="E99" s="375"/>
      <c r="F99" s="220" t="s">
        <v>290</v>
      </c>
      <c r="G99" s="35" t="s">
        <v>25</v>
      </c>
      <c r="H99" s="117">
        <v>12</v>
      </c>
      <c r="I99" s="37">
        <v>5</v>
      </c>
      <c r="J99" s="37">
        <v>5</v>
      </c>
      <c r="K99" s="68">
        <v>8538.9599999999991</v>
      </c>
      <c r="L99" s="285">
        <v>5</v>
      </c>
      <c r="M99" s="68">
        <v>8538.9599999999991</v>
      </c>
      <c r="N99" s="68">
        <v>8538.9599999999991</v>
      </c>
      <c r="O99" s="234"/>
      <c r="P99" s="115">
        <v>8</v>
      </c>
      <c r="Q99" s="68">
        <v>29812.5</v>
      </c>
      <c r="R99" s="285">
        <v>8</v>
      </c>
      <c r="S99" s="68">
        <v>29812.5</v>
      </c>
      <c r="T99" s="68">
        <v>29812.5</v>
      </c>
      <c r="U99" s="23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2"/>
      <c r="B100" s="374" t="s">
        <v>90</v>
      </c>
      <c r="C100" s="374" t="s">
        <v>39</v>
      </c>
      <c r="D100" s="374" t="s">
        <v>91</v>
      </c>
      <c r="E100" s="374" t="s">
        <v>27</v>
      </c>
      <c r="F100" s="204" t="s">
        <v>291</v>
      </c>
      <c r="G100" s="176" t="s">
        <v>24</v>
      </c>
      <c r="H100" s="48">
        <v>8</v>
      </c>
      <c r="I100" s="203">
        <v>3</v>
      </c>
      <c r="J100" s="203">
        <v>3</v>
      </c>
      <c r="K100" s="65">
        <v>5605.94</v>
      </c>
      <c r="L100" s="224">
        <v>3</v>
      </c>
      <c r="M100" s="50">
        <f>N100+O100</f>
        <v>5605.94</v>
      </c>
      <c r="N100" s="65">
        <v>5605.94</v>
      </c>
      <c r="O100" s="31"/>
      <c r="P100" s="108">
        <v>13</v>
      </c>
      <c r="Q100" s="65">
        <v>148055.10999999999</v>
      </c>
      <c r="R100" s="224">
        <v>13</v>
      </c>
      <c r="S100" s="50">
        <f t="shared" ref="S100:S108" si="7">T100+U100</f>
        <v>148055.10999999999</v>
      </c>
      <c r="T100" s="65">
        <v>148055.10999999999</v>
      </c>
      <c r="U100" s="225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73"/>
      <c r="B101" s="375"/>
      <c r="C101" s="375"/>
      <c r="D101" s="375"/>
      <c r="E101" s="375"/>
      <c r="F101" s="220" t="s">
        <v>229</v>
      </c>
      <c r="G101" s="229" t="s">
        <v>28</v>
      </c>
      <c r="H101" s="133">
        <v>7</v>
      </c>
      <c r="I101" s="130">
        <v>3</v>
      </c>
      <c r="J101" s="130">
        <v>3</v>
      </c>
      <c r="K101" s="114">
        <v>3151</v>
      </c>
      <c r="L101" s="270">
        <v>3</v>
      </c>
      <c r="M101" s="114">
        <v>1344.7</v>
      </c>
      <c r="N101" s="114">
        <v>5559.4</v>
      </c>
      <c r="O101" s="41"/>
      <c r="P101" s="113">
        <v>1</v>
      </c>
      <c r="Q101" s="114">
        <v>1404.9</v>
      </c>
      <c r="R101" s="270">
        <v>1</v>
      </c>
      <c r="S101" s="43">
        <f t="shared" si="7"/>
        <v>1404.9</v>
      </c>
      <c r="T101" s="43">
        <f>1404.9</f>
        <v>1404.9</v>
      </c>
      <c r="U101" s="4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2"/>
      <c r="B102" s="374" t="s">
        <v>92</v>
      </c>
      <c r="C102" s="374" t="s">
        <v>22</v>
      </c>
      <c r="D102" s="374"/>
      <c r="E102" s="374" t="s">
        <v>27</v>
      </c>
      <c r="F102" s="232" t="s">
        <v>269</v>
      </c>
      <c r="G102" s="23" t="s">
        <v>24</v>
      </c>
      <c r="H102" s="151">
        <v>8</v>
      </c>
      <c r="I102" s="62">
        <v>3</v>
      </c>
      <c r="J102" s="62">
        <v>5</v>
      </c>
      <c r="K102" s="30">
        <v>12802.23</v>
      </c>
      <c r="L102" s="205">
        <v>5</v>
      </c>
      <c r="M102" s="26">
        <f t="shared" ref="M102:M108" si="8">N102+O102</f>
        <v>12802.23</v>
      </c>
      <c r="N102" s="30">
        <v>12802.23</v>
      </c>
      <c r="O102" s="225"/>
      <c r="P102" s="53">
        <v>10</v>
      </c>
      <c r="Q102" s="30">
        <v>63373.52</v>
      </c>
      <c r="R102" s="205">
        <v>10</v>
      </c>
      <c r="S102" s="26">
        <f t="shared" si="7"/>
        <v>63373.52</v>
      </c>
      <c r="T102" s="30">
        <v>63373.52</v>
      </c>
      <c r="U102" s="225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9"/>
      <c r="B103" s="380"/>
      <c r="C103" s="380"/>
      <c r="D103" s="380"/>
      <c r="E103" s="380"/>
      <c r="F103" s="233" t="s">
        <v>230</v>
      </c>
      <c r="G103" s="227" t="s">
        <v>28</v>
      </c>
      <c r="H103" s="133">
        <v>3</v>
      </c>
      <c r="I103" s="130">
        <v>2</v>
      </c>
      <c r="J103" s="130">
        <v>2</v>
      </c>
      <c r="K103" s="114">
        <v>1756.5</v>
      </c>
      <c r="L103" s="270">
        <v>2</v>
      </c>
      <c r="M103" s="43">
        <f t="shared" si="8"/>
        <v>1780.5</v>
      </c>
      <c r="N103" s="43">
        <f>576.3+1204.2</f>
        <v>1780.5</v>
      </c>
      <c r="O103" s="41"/>
      <c r="P103" s="113">
        <v>1</v>
      </c>
      <c r="Q103" s="114">
        <v>10837.8</v>
      </c>
      <c r="R103" s="270">
        <v>2</v>
      </c>
      <c r="S103" s="43">
        <f t="shared" si="7"/>
        <v>13246.199999999999</v>
      </c>
      <c r="T103" s="43">
        <f>2408.4+10837.8</f>
        <v>13246.199999999999</v>
      </c>
      <c r="U103" s="4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2"/>
      <c r="B104" s="374" t="s">
        <v>93</v>
      </c>
      <c r="C104" s="374" t="s">
        <v>22</v>
      </c>
      <c r="D104" s="374"/>
      <c r="E104" s="374" t="s">
        <v>27</v>
      </c>
      <c r="F104" s="204" t="s">
        <v>412</v>
      </c>
      <c r="G104" s="176" t="s">
        <v>24</v>
      </c>
      <c r="H104" s="151">
        <v>4</v>
      </c>
      <c r="I104" s="62">
        <v>3</v>
      </c>
      <c r="J104" s="62">
        <v>5</v>
      </c>
      <c r="K104" s="30">
        <v>11625.54</v>
      </c>
      <c r="L104" s="205">
        <v>5</v>
      </c>
      <c r="M104" s="26">
        <f t="shared" si="8"/>
        <v>11625.54</v>
      </c>
      <c r="N104" s="30">
        <v>11625.54</v>
      </c>
      <c r="O104" s="225"/>
      <c r="P104" s="53">
        <v>3</v>
      </c>
      <c r="Q104" s="30">
        <v>15479.57</v>
      </c>
      <c r="R104" s="205">
        <v>3</v>
      </c>
      <c r="S104" s="26">
        <f t="shared" si="7"/>
        <v>15479.57</v>
      </c>
      <c r="T104" s="30">
        <v>15479.57</v>
      </c>
      <c r="U104" s="225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3"/>
      <c r="B105" s="375"/>
      <c r="C105" s="375"/>
      <c r="D105" s="375"/>
      <c r="E105" s="375"/>
      <c r="F105" s="105"/>
      <c r="G105" s="229" t="s">
        <v>28</v>
      </c>
      <c r="H105" s="116"/>
      <c r="I105" s="38"/>
      <c r="J105" s="38"/>
      <c r="K105" s="39"/>
      <c r="L105" s="40"/>
      <c r="M105" s="39">
        <f t="shared" si="8"/>
        <v>0</v>
      </c>
      <c r="N105" s="39"/>
      <c r="O105" s="41"/>
      <c r="P105" s="59"/>
      <c r="Q105" s="39"/>
      <c r="R105" s="40"/>
      <c r="S105" s="39">
        <f t="shared" si="7"/>
        <v>0</v>
      </c>
      <c r="T105" s="39"/>
      <c r="U105" s="4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72"/>
      <c r="B106" s="374" t="s">
        <v>85</v>
      </c>
      <c r="C106" s="374" t="s">
        <v>22</v>
      </c>
      <c r="D106" s="374"/>
      <c r="E106" s="374" t="s">
        <v>27</v>
      </c>
      <c r="F106" s="204" t="s">
        <v>501</v>
      </c>
      <c r="G106" s="176" t="s">
        <v>24</v>
      </c>
      <c r="H106" s="48"/>
      <c r="I106" s="266"/>
      <c r="J106" s="266"/>
      <c r="K106" s="79"/>
      <c r="L106" s="268"/>
      <c r="M106" s="361">
        <f t="shared" si="8"/>
        <v>0</v>
      </c>
      <c r="N106" s="79"/>
      <c r="O106" s="82"/>
      <c r="P106" s="267">
        <v>2</v>
      </c>
      <c r="Q106" s="79">
        <v>40923.599999999999</v>
      </c>
      <c r="R106" s="268">
        <v>1</v>
      </c>
      <c r="S106" s="361">
        <f t="shared" si="7"/>
        <v>37459.5</v>
      </c>
      <c r="T106" s="79">
        <v>37459.5</v>
      </c>
      <c r="U106" s="336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305"/>
      <c r="G107" s="229" t="s">
        <v>28</v>
      </c>
      <c r="H107" s="353"/>
      <c r="I107" s="231"/>
      <c r="J107" s="231"/>
      <c r="K107" s="91"/>
      <c r="L107" s="330"/>
      <c r="M107" s="43">
        <f t="shared" si="8"/>
        <v>0</v>
      </c>
      <c r="N107" s="91"/>
      <c r="O107" s="89"/>
      <c r="P107" s="329"/>
      <c r="Q107" s="91"/>
      <c r="R107" s="330"/>
      <c r="S107" s="43">
        <f t="shared" si="7"/>
        <v>0</v>
      </c>
      <c r="T107" s="91"/>
      <c r="U107" s="342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2"/>
      <c r="B108" s="374" t="s">
        <v>94</v>
      </c>
      <c r="C108" s="374" t="s">
        <v>39</v>
      </c>
      <c r="D108" s="374" t="s">
        <v>95</v>
      </c>
      <c r="E108" s="374" t="s">
        <v>96</v>
      </c>
      <c r="F108" s="204" t="s">
        <v>292</v>
      </c>
      <c r="G108" s="176" t="s">
        <v>24</v>
      </c>
      <c r="H108" s="265">
        <v>10</v>
      </c>
      <c r="I108" s="62">
        <v>7</v>
      </c>
      <c r="J108" s="62">
        <v>9</v>
      </c>
      <c r="K108" s="30">
        <v>27530.720000000001</v>
      </c>
      <c r="L108" s="205">
        <v>9</v>
      </c>
      <c r="M108" s="26">
        <f t="shared" si="8"/>
        <v>27530.720000000001</v>
      </c>
      <c r="N108" s="30">
        <v>27530.720000000001</v>
      </c>
      <c r="O108" s="269"/>
      <c r="P108" s="53">
        <v>28</v>
      </c>
      <c r="Q108" s="30">
        <v>97450.12</v>
      </c>
      <c r="R108" s="205">
        <v>28</v>
      </c>
      <c r="S108" s="26">
        <f t="shared" si="7"/>
        <v>97450.12</v>
      </c>
      <c r="T108" s="30">
        <v>97450.12</v>
      </c>
      <c r="U108" s="269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3"/>
      <c r="B109" s="375"/>
      <c r="C109" s="375"/>
      <c r="D109" s="375"/>
      <c r="E109" s="375"/>
      <c r="F109" s="220" t="s">
        <v>293</v>
      </c>
      <c r="G109" s="307" t="s">
        <v>25</v>
      </c>
      <c r="H109" s="112">
        <v>11</v>
      </c>
      <c r="I109" s="130">
        <v>8</v>
      </c>
      <c r="J109" s="130">
        <v>8</v>
      </c>
      <c r="K109" s="114">
        <v>10899.4</v>
      </c>
      <c r="L109" s="270">
        <v>8</v>
      </c>
      <c r="M109" s="114">
        <v>10899.4</v>
      </c>
      <c r="N109" s="114">
        <v>10899.4</v>
      </c>
      <c r="O109" s="234"/>
      <c r="P109" s="113">
        <v>13</v>
      </c>
      <c r="Q109" s="114">
        <v>27922.92</v>
      </c>
      <c r="R109" s="270">
        <v>12</v>
      </c>
      <c r="S109" s="114">
        <v>26451.52</v>
      </c>
      <c r="T109" s="114">
        <v>26451.52</v>
      </c>
      <c r="U109" s="23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97</v>
      </c>
      <c r="C110" s="374" t="s">
        <v>22</v>
      </c>
      <c r="D110" s="374"/>
      <c r="E110" s="374" t="s">
        <v>27</v>
      </c>
      <c r="F110" s="232" t="s">
        <v>406</v>
      </c>
      <c r="G110" s="176" t="s">
        <v>24</v>
      </c>
      <c r="H110" s="248">
        <v>10</v>
      </c>
      <c r="I110" s="62">
        <v>10</v>
      </c>
      <c r="J110" s="62">
        <v>10</v>
      </c>
      <c r="K110" s="30">
        <v>9417.3799999999992</v>
      </c>
      <c r="L110" s="205">
        <v>7</v>
      </c>
      <c r="M110" s="26">
        <f t="shared" ref="M110:M125" si="9">N110+O110</f>
        <v>6110.93</v>
      </c>
      <c r="N110" s="30">
        <v>6110.93</v>
      </c>
      <c r="O110" s="225"/>
      <c r="P110" s="53">
        <v>7</v>
      </c>
      <c r="Q110" s="30">
        <v>12035.94</v>
      </c>
      <c r="R110" s="205">
        <v>7</v>
      </c>
      <c r="S110" s="26">
        <f t="shared" ref="S110:S143" si="10">T110+U110</f>
        <v>12035.94</v>
      </c>
      <c r="T110" s="30">
        <v>12035.94</v>
      </c>
      <c r="U110" s="225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3"/>
      <c r="B111" s="375"/>
      <c r="C111" s="375"/>
      <c r="D111" s="375"/>
      <c r="E111" s="375"/>
      <c r="F111" s="220" t="s">
        <v>294</v>
      </c>
      <c r="G111" s="229" t="s">
        <v>28</v>
      </c>
      <c r="H111" s="251">
        <v>8</v>
      </c>
      <c r="I111" s="208">
        <v>5</v>
      </c>
      <c r="J111" s="208">
        <v>5</v>
      </c>
      <c r="K111" s="209">
        <v>8267.2999999999993</v>
      </c>
      <c r="L111" s="290">
        <v>5</v>
      </c>
      <c r="M111" s="211">
        <f t="shared" si="9"/>
        <v>8267.2999999999993</v>
      </c>
      <c r="N111" s="209">
        <v>8267.2999999999993</v>
      </c>
      <c r="O111" s="212"/>
      <c r="P111" s="103"/>
      <c r="Q111" s="43"/>
      <c r="R111" s="270">
        <v>1</v>
      </c>
      <c r="S111" s="43">
        <f t="shared" si="10"/>
        <v>2209.15</v>
      </c>
      <c r="T111" s="114">
        <v>2209.15</v>
      </c>
      <c r="U111" s="23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6"/>
      <c r="B112" s="377" t="s">
        <v>98</v>
      </c>
      <c r="C112" s="377" t="s">
        <v>39</v>
      </c>
      <c r="D112" s="377" t="s">
        <v>270</v>
      </c>
      <c r="E112" s="377" t="s">
        <v>99</v>
      </c>
      <c r="F112" s="232" t="s">
        <v>271</v>
      </c>
      <c r="G112" s="73" t="s">
        <v>24</v>
      </c>
      <c r="H112" s="24">
        <v>21</v>
      </c>
      <c r="I112" s="62">
        <v>15</v>
      </c>
      <c r="J112" s="62">
        <v>22</v>
      </c>
      <c r="K112" s="30">
        <v>61147.86</v>
      </c>
      <c r="L112" s="205">
        <v>21</v>
      </c>
      <c r="M112" s="26">
        <f t="shared" si="9"/>
        <v>60454.2</v>
      </c>
      <c r="N112" s="30">
        <v>60454.2</v>
      </c>
      <c r="O112" s="241"/>
      <c r="P112" s="214">
        <v>14</v>
      </c>
      <c r="Q112" s="30">
        <v>75827.070000000007</v>
      </c>
      <c r="R112" s="205">
        <v>14</v>
      </c>
      <c r="S112" s="26">
        <f t="shared" si="10"/>
        <v>75827.070000000007</v>
      </c>
      <c r="T112" s="30">
        <v>75827.070000000007</v>
      </c>
      <c r="U112" s="225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295</v>
      </c>
      <c r="G113" s="215" t="s">
        <v>28</v>
      </c>
      <c r="H113" s="66">
        <v>11</v>
      </c>
      <c r="I113" s="286">
        <v>7</v>
      </c>
      <c r="J113" s="286">
        <v>7</v>
      </c>
      <c r="K113" s="287">
        <v>21767.4</v>
      </c>
      <c r="L113" s="315">
        <v>7</v>
      </c>
      <c r="M113" s="39">
        <f t="shared" si="9"/>
        <v>21767.4</v>
      </c>
      <c r="N113" s="39">
        <f>1921+3073.6+1921+3010.5+1404.9+2408.4+8028</f>
        <v>21767.4</v>
      </c>
      <c r="O113" s="41"/>
      <c r="P113" s="217">
        <v>5</v>
      </c>
      <c r="Q113" s="37">
        <v>32552.65</v>
      </c>
      <c r="R113" s="285">
        <v>5</v>
      </c>
      <c r="S113" s="39">
        <f t="shared" si="10"/>
        <v>21093.25</v>
      </c>
      <c r="T113" s="68">
        <f>2305.2+18788.05</f>
        <v>21093.25</v>
      </c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82"/>
      <c r="B114" s="381" t="s">
        <v>100</v>
      </c>
      <c r="C114" s="374" t="s">
        <v>39</v>
      </c>
      <c r="D114" s="381" t="s">
        <v>296</v>
      </c>
      <c r="E114" s="381" t="s">
        <v>27</v>
      </c>
      <c r="F114" s="223" t="s">
        <v>297</v>
      </c>
      <c r="G114" s="47" t="s">
        <v>24</v>
      </c>
      <c r="H114" s="218"/>
      <c r="I114" s="96"/>
      <c r="J114" s="96"/>
      <c r="K114" s="81"/>
      <c r="L114" s="80"/>
      <c r="M114" s="81">
        <f t="shared" si="9"/>
        <v>0</v>
      </c>
      <c r="N114" s="81"/>
      <c r="O114" s="219"/>
      <c r="P114" s="108">
        <v>4</v>
      </c>
      <c r="Q114" s="65">
        <v>17684.7</v>
      </c>
      <c r="R114" s="224">
        <v>4</v>
      </c>
      <c r="S114" s="50">
        <f t="shared" si="10"/>
        <v>17684.7</v>
      </c>
      <c r="T114" s="65">
        <v>17684.7</v>
      </c>
      <c r="U114" s="225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220" t="s">
        <v>298</v>
      </c>
      <c r="G115" s="35" t="s">
        <v>28</v>
      </c>
      <c r="H115" s="133">
        <v>5</v>
      </c>
      <c r="I115" s="37">
        <v>1</v>
      </c>
      <c r="J115" s="37">
        <v>1</v>
      </c>
      <c r="K115" s="68">
        <v>864.45</v>
      </c>
      <c r="L115" s="285">
        <v>1</v>
      </c>
      <c r="M115" s="39">
        <f t="shared" si="9"/>
        <v>864.45</v>
      </c>
      <c r="N115" s="39">
        <f>864.45</f>
        <v>864.45</v>
      </c>
      <c r="O115" s="41"/>
      <c r="P115" s="115">
        <v>1</v>
      </c>
      <c r="Q115" s="68">
        <v>1152.5999999999999</v>
      </c>
      <c r="R115" s="40"/>
      <c r="S115" s="39">
        <f t="shared" si="10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102</v>
      </c>
      <c r="C116" s="381" t="s">
        <v>22</v>
      </c>
      <c r="D116" s="381"/>
      <c r="E116" s="381" t="s">
        <v>67</v>
      </c>
      <c r="F116" s="223" t="s">
        <v>272</v>
      </c>
      <c r="G116" s="23" t="s">
        <v>24</v>
      </c>
      <c r="H116" s="48">
        <v>15</v>
      </c>
      <c r="I116" s="203">
        <v>13</v>
      </c>
      <c r="J116" s="203">
        <v>14</v>
      </c>
      <c r="K116" s="65">
        <v>26478.959999999999</v>
      </c>
      <c r="L116" s="224">
        <v>14</v>
      </c>
      <c r="M116" s="50">
        <f t="shared" si="9"/>
        <v>26478.959999999999</v>
      </c>
      <c r="N116" s="65">
        <v>26478.959999999999</v>
      </c>
      <c r="O116" s="225"/>
      <c r="P116" s="108">
        <v>12</v>
      </c>
      <c r="Q116" s="65">
        <v>49261.74</v>
      </c>
      <c r="R116" s="224">
        <v>12</v>
      </c>
      <c r="S116" s="50">
        <f t="shared" si="10"/>
        <v>49261.74</v>
      </c>
      <c r="T116" s="65">
        <v>49261.74</v>
      </c>
      <c r="U116" s="225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9"/>
      <c r="B117" s="380"/>
      <c r="C117" s="380"/>
      <c r="D117" s="380"/>
      <c r="E117" s="380"/>
      <c r="F117" s="220" t="s">
        <v>299</v>
      </c>
      <c r="G117" s="55" t="s">
        <v>28</v>
      </c>
      <c r="H117" s="153">
        <v>10</v>
      </c>
      <c r="I117" s="130">
        <v>6</v>
      </c>
      <c r="J117" s="130">
        <v>6</v>
      </c>
      <c r="K117" s="114">
        <v>13482.3</v>
      </c>
      <c r="L117" s="316">
        <v>7</v>
      </c>
      <c r="M117" s="50">
        <f t="shared" si="9"/>
        <v>14176.6</v>
      </c>
      <c r="N117" s="114">
        <v>14176.6</v>
      </c>
      <c r="O117" s="41"/>
      <c r="P117" s="113">
        <v>3</v>
      </c>
      <c r="Q117" s="114">
        <v>14347.1</v>
      </c>
      <c r="R117" s="270">
        <v>4</v>
      </c>
      <c r="S117" s="43">
        <f t="shared" si="10"/>
        <v>19149.900000000001</v>
      </c>
      <c r="T117" s="114">
        <f>4358.2+3649.9+4802.5+6339.3</f>
        <v>19149.900000000001</v>
      </c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72"/>
      <c r="B118" s="374" t="s">
        <v>103</v>
      </c>
      <c r="C118" s="374" t="s">
        <v>22</v>
      </c>
      <c r="D118" s="374"/>
      <c r="E118" s="374" t="s">
        <v>67</v>
      </c>
      <c r="F118" s="232" t="s">
        <v>407</v>
      </c>
      <c r="G118" s="23" t="s">
        <v>24</v>
      </c>
      <c r="H118" s="48">
        <v>8</v>
      </c>
      <c r="I118" s="62">
        <v>5</v>
      </c>
      <c r="J118" s="62">
        <v>6</v>
      </c>
      <c r="K118" s="30">
        <v>9672.5400000000009</v>
      </c>
      <c r="L118" s="205">
        <v>6</v>
      </c>
      <c r="M118" s="26">
        <f t="shared" si="9"/>
        <v>9672.5400000000009</v>
      </c>
      <c r="N118" s="30">
        <v>9672.5400000000009</v>
      </c>
      <c r="O118" s="225"/>
      <c r="P118" s="53">
        <v>6</v>
      </c>
      <c r="Q118" s="30">
        <v>12782.06</v>
      </c>
      <c r="R118" s="205">
        <v>6</v>
      </c>
      <c r="S118" s="26">
        <f t="shared" si="10"/>
        <v>12782.06</v>
      </c>
      <c r="T118" s="30">
        <v>12782.06</v>
      </c>
      <c r="U118" s="225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3"/>
      <c r="B119" s="375"/>
      <c r="C119" s="375"/>
      <c r="D119" s="375"/>
      <c r="E119" s="375"/>
      <c r="F119" s="220" t="s">
        <v>300</v>
      </c>
      <c r="G119" s="35" t="s">
        <v>28</v>
      </c>
      <c r="H119" s="133">
        <v>7</v>
      </c>
      <c r="I119" s="37">
        <v>7</v>
      </c>
      <c r="J119" s="37">
        <v>8</v>
      </c>
      <c r="K119" s="68">
        <v>18950.099999999999</v>
      </c>
      <c r="L119" s="285">
        <v>7</v>
      </c>
      <c r="M119" s="39">
        <f t="shared" si="9"/>
        <v>18316</v>
      </c>
      <c r="N119" s="68">
        <v>18316</v>
      </c>
      <c r="O119" s="41"/>
      <c r="P119" s="115">
        <v>3</v>
      </c>
      <c r="Q119" s="68">
        <v>4092.9</v>
      </c>
      <c r="R119" s="285">
        <v>5</v>
      </c>
      <c r="S119" s="39">
        <f t="shared" si="10"/>
        <v>9438.7000000000007</v>
      </c>
      <c r="T119" s="39">
        <f>7325.6+2113.1</f>
        <v>9438.7000000000007</v>
      </c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104</v>
      </c>
      <c r="C120" s="374" t="s">
        <v>39</v>
      </c>
      <c r="D120" s="374" t="s">
        <v>301</v>
      </c>
      <c r="E120" s="374" t="s">
        <v>27</v>
      </c>
      <c r="F120" s="204" t="s">
        <v>302</v>
      </c>
      <c r="G120" s="176" t="s">
        <v>24</v>
      </c>
      <c r="H120" s="48">
        <v>28</v>
      </c>
      <c r="I120" s="203">
        <v>22</v>
      </c>
      <c r="J120" s="203">
        <v>29</v>
      </c>
      <c r="K120" s="65">
        <v>80041.98</v>
      </c>
      <c r="L120" s="224">
        <v>29</v>
      </c>
      <c r="M120" s="50">
        <f t="shared" si="9"/>
        <v>80041.98</v>
      </c>
      <c r="N120" s="65">
        <v>80041.98</v>
      </c>
      <c r="O120" s="225"/>
      <c r="P120" s="108">
        <v>25</v>
      </c>
      <c r="Q120" s="65">
        <v>109305.7</v>
      </c>
      <c r="R120" s="224">
        <v>25</v>
      </c>
      <c r="S120" s="50">
        <f t="shared" si="10"/>
        <v>109305.7</v>
      </c>
      <c r="T120" s="65">
        <v>109305.7</v>
      </c>
      <c r="U120" s="225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34"/>
      <c r="G121" s="229" t="s">
        <v>28</v>
      </c>
      <c r="H121" s="116"/>
      <c r="I121" s="57"/>
      <c r="J121" s="57"/>
      <c r="K121" s="43"/>
      <c r="L121" s="270">
        <v>1</v>
      </c>
      <c r="M121" s="43">
        <f t="shared" si="9"/>
        <v>1545.39</v>
      </c>
      <c r="N121" s="114">
        <v>1545.39</v>
      </c>
      <c r="O121" s="41"/>
      <c r="P121" s="113">
        <v>1</v>
      </c>
      <c r="Q121" s="114">
        <v>1545.39</v>
      </c>
      <c r="R121" s="44"/>
      <c r="S121" s="43">
        <f t="shared" si="10"/>
        <v>0</v>
      </c>
      <c r="T121" s="43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106</v>
      </c>
      <c r="C122" s="377" t="s">
        <v>39</v>
      </c>
      <c r="D122" s="374" t="s">
        <v>107</v>
      </c>
      <c r="E122" s="374" t="s">
        <v>27</v>
      </c>
      <c r="F122" s="232" t="s">
        <v>366</v>
      </c>
      <c r="G122" s="23" t="s">
        <v>24</v>
      </c>
      <c r="H122" s="48">
        <v>10</v>
      </c>
      <c r="I122" s="62">
        <v>9</v>
      </c>
      <c r="J122" s="62">
        <v>9</v>
      </c>
      <c r="K122" s="30">
        <v>7593.07</v>
      </c>
      <c r="L122" s="205">
        <v>9</v>
      </c>
      <c r="M122" s="26">
        <f t="shared" si="9"/>
        <v>7593.07</v>
      </c>
      <c r="N122" s="30">
        <v>7593.07</v>
      </c>
      <c r="O122" s="31"/>
      <c r="P122" s="53">
        <v>13</v>
      </c>
      <c r="Q122" s="30">
        <v>84835.68</v>
      </c>
      <c r="R122" s="205">
        <v>13</v>
      </c>
      <c r="S122" s="26">
        <f t="shared" si="10"/>
        <v>84835.68</v>
      </c>
      <c r="T122" s="30">
        <v>84835.68</v>
      </c>
      <c r="U122" s="225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9"/>
      <c r="B123" s="380"/>
      <c r="C123" s="380"/>
      <c r="D123" s="380"/>
      <c r="E123" s="380"/>
      <c r="F123" s="233" t="s">
        <v>233</v>
      </c>
      <c r="G123" s="227" t="s">
        <v>28</v>
      </c>
      <c r="H123" s="153">
        <v>6</v>
      </c>
      <c r="I123" s="130">
        <v>5</v>
      </c>
      <c r="J123" s="130">
        <v>5</v>
      </c>
      <c r="K123" s="114">
        <v>1535.36</v>
      </c>
      <c r="L123" s="270">
        <v>5</v>
      </c>
      <c r="M123" s="43">
        <f t="shared" si="9"/>
        <v>2111.66</v>
      </c>
      <c r="N123" s="114">
        <v>2111.66</v>
      </c>
      <c r="O123" s="41"/>
      <c r="P123" s="113">
        <v>9</v>
      </c>
      <c r="Q123" s="114">
        <v>11777.8</v>
      </c>
      <c r="R123" s="270">
        <v>3</v>
      </c>
      <c r="S123" s="43">
        <f t="shared" si="10"/>
        <v>4687.8</v>
      </c>
      <c r="T123" s="130">
        <v>4687.8</v>
      </c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108</v>
      </c>
      <c r="C124" s="374" t="s">
        <v>46</v>
      </c>
      <c r="D124" s="374" t="s">
        <v>109</v>
      </c>
      <c r="E124" s="374" t="s">
        <v>27</v>
      </c>
      <c r="F124" s="204" t="s">
        <v>273</v>
      </c>
      <c r="G124" s="176" t="s">
        <v>24</v>
      </c>
      <c r="H124" s="151">
        <v>19</v>
      </c>
      <c r="I124" s="62">
        <v>16</v>
      </c>
      <c r="J124" s="62">
        <v>17</v>
      </c>
      <c r="K124" s="30">
        <v>18761.5</v>
      </c>
      <c r="L124" s="205">
        <v>17</v>
      </c>
      <c r="M124" s="26">
        <f t="shared" si="9"/>
        <v>18761.5</v>
      </c>
      <c r="N124" s="30">
        <v>18761.5</v>
      </c>
      <c r="O124" s="225"/>
      <c r="P124" s="53">
        <v>10</v>
      </c>
      <c r="Q124" s="30">
        <v>47934.79</v>
      </c>
      <c r="R124" s="205">
        <v>9</v>
      </c>
      <c r="S124" s="26">
        <f t="shared" si="10"/>
        <v>34430.15</v>
      </c>
      <c r="T124" s="30">
        <v>34430.15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87"/>
      <c r="B125" s="386"/>
      <c r="C125" s="386"/>
      <c r="D125" s="386"/>
      <c r="E125" s="386"/>
      <c r="F125" s="235" t="s">
        <v>234</v>
      </c>
      <c r="G125" s="252" t="s">
        <v>28</v>
      </c>
      <c r="H125" s="48">
        <v>8</v>
      </c>
      <c r="I125" s="246">
        <v>4</v>
      </c>
      <c r="J125" s="246">
        <v>4</v>
      </c>
      <c r="K125" s="158">
        <v>3561</v>
      </c>
      <c r="L125" s="317">
        <v>3</v>
      </c>
      <c r="M125" s="142">
        <f t="shared" si="9"/>
        <v>3185.4</v>
      </c>
      <c r="N125" s="158">
        <v>3185.4</v>
      </c>
      <c r="O125" s="45"/>
      <c r="P125" s="157">
        <v>8</v>
      </c>
      <c r="Q125" s="158">
        <v>15445.86</v>
      </c>
      <c r="R125" s="317">
        <v>5</v>
      </c>
      <c r="S125" s="142">
        <f t="shared" si="10"/>
        <v>13044.61</v>
      </c>
      <c r="T125" s="142">
        <f>288.15+576.3+5648.76+3649.9+2881.5</f>
        <v>13044.61</v>
      </c>
      <c r="U125" s="45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3"/>
      <c r="B126" s="375"/>
      <c r="C126" s="375"/>
      <c r="D126" s="375"/>
      <c r="E126" s="375"/>
      <c r="F126" s="359" t="s">
        <v>490</v>
      </c>
      <c r="G126" s="253" t="s">
        <v>25</v>
      </c>
      <c r="H126" s="306">
        <v>1</v>
      </c>
      <c r="I126" s="37">
        <v>1</v>
      </c>
      <c r="J126" s="37">
        <v>1</v>
      </c>
      <c r="K126" s="68">
        <v>2881.5</v>
      </c>
      <c r="L126" s="285">
        <v>1</v>
      </c>
      <c r="M126" s="68">
        <v>2881.5</v>
      </c>
      <c r="N126" s="68">
        <v>2881.5</v>
      </c>
      <c r="O126" s="41"/>
      <c r="P126" s="59"/>
      <c r="Q126" s="39"/>
      <c r="R126" s="40"/>
      <c r="S126" s="39">
        <f t="shared" si="10"/>
        <v>0</v>
      </c>
      <c r="T126" s="39"/>
      <c r="U126" s="41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76"/>
      <c r="B127" s="377" t="s">
        <v>110</v>
      </c>
      <c r="C127" s="377" t="s">
        <v>22</v>
      </c>
      <c r="D127" s="377"/>
      <c r="E127" s="377" t="s">
        <v>67</v>
      </c>
      <c r="F127" s="232" t="s">
        <v>274</v>
      </c>
      <c r="G127" s="23" t="s">
        <v>24</v>
      </c>
      <c r="H127" s="48">
        <v>5</v>
      </c>
      <c r="I127" s="203">
        <v>5</v>
      </c>
      <c r="J127" s="203">
        <v>7</v>
      </c>
      <c r="K127" s="65">
        <v>9193.66</v>
      </c>
      <c r="L127" s="224">
        <v>6</v>
      </c>
      <c r="M127" s="50">
        <f t="shared" ref="M127:M143" si="11">N127+O127</f>
        <v>7512.06</v>
      </c>
      <c r="N127" s="65">
        <v>7512.06</v>
      </c>
      <c r="O127" s="31"/>
      <c r="P127" s="108">
        <v>9</v>
      </c>
      <c r="Q127" s="65">
        <v>40341.25</v>
      </c>
      <c r="R127" s="224">
        <v>9</v>
      </c>
      <c r="S127" s="50">
        <f t="shared" si="10"/>
        <v>40341.25</v>
      </c>
      <c r="T127" s="65">
        <v>40341.25</v>
      </c>
      <c r="U127" s="22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34"/>
      <c r="G128" s="55" t="s">
        <v>28</v>
      </c>
      <c r="H128" s="116"/>
      <c r="I128" s="57"/>
      <c r="J128" s="57"/>
      <c r="K128" s="43"/>
      <c r="L128" s="44"/>
      <c r="M128" s="43">
        <f t="shared" si="11"/>
        <v>0</v>
      </c>
      <c r="N128" s="43"/>
      <c r="O128" s="41"/>
      <c r="P128" s="103"/>
      <c r="Q128" s="43"/>
      <c r="R128" s="44"/>
      <c r="S128" s="43">
        <f t="shared" si="10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111</v>
      </c>
      <c r="C129" s="374" t="s">
        <v>39</v>
      </c>
      <c r="D129" s="374" t="s">
        <v>435</v>
      </c>
      <c r="E129" s="374" t="s">
        <v>112</v>
      </c>
      <c r="F129" s="232" t="s">
        <v>436</v>
      </c>
      <c r="G129" s="23" t="s">
        <v>24</v>
      </c>
      <c r="H129" s="48">
        <v>15</v>
      </c>
      <c r="I129" s="62">
        <v>12</v>
      </c>
      <c r="J129" s="62">
        <v>17</v>
      </c>
      <c r="K129" s="30">
        <v>41780.9</v>
      </c>
      <c r="L129" s="205">
        <v>17</v>
      </c>
      <c r="M129" s="26">
        <f t="shared" si="11"/>
        <v>41780.9</v>
      </c>
      <c r="N129" s="30">
        <v>41780.9</v>
      </c>
      <c r="O129" s="31"/>
      <c r="P129" s="53">
        <v>5</v>
      </c>
      <c r="Q129" s="30">
        <v>19946.89</v>
      </c>
      <c r="R129" s="205">
        <v>5</v>
      </c>
      <c r="S129" s="26">
        <f t="shared" si="10"/>
        <v>19946.89</v>
      </c>
      <c r="T129" s="30">
        <v>19946.89</v>
      </c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9"/>
      <c r="B130" s="380"/>
      <c r="C130" s="380"/>
      <c r="D130" s="380"/>
      <c r="E130" s="380"/>
      <c r="F130" s="233" t="s">
        <v>235</v>
      </c>
      <c r="G130" s="227" t="s">
        <v>28</v>
      </c>
      <c r="H130" s="133">
        <v>1</v>
      </c>
      <c r="I130" s="57"/>
      <c r="J130" s="57"/>
      <c r="K130" s="43"/>
      <c r="L130" s="44"/>
      <c r="M130" s="43">
        <f t="shared" si="11"/>
        <v>0</v>
      </c>
      <c r="N130" s="43"/>
      <c r="O130" s="41"/>
      <c r="P130" s="103"/>
      <c r="Q130" s="43"/>
      <c r="R130" s="44"/>
      <c r="S130" s="43">
        <f t="shared" si="10"/>
        <v>0</v>
      </c>
      <c r="T130" s="43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72"/>
      <c r="B131" s="374" t="s">
        <v>113</v>
      </c>
      <c r="C131" s="374" t="s">
        <v>39</v>
      </c>
      <c r="D131" s="374" t="s">
        <v>114</v>
      </c>
      <c r="E131" s="374" t="s">
        <v>27</v>
      </c>
      <c r="F131" s="204" t="s">
        <v>305</v>
      </c>
      <c r="G131" s="176" t="s">
        <v>24</v>
      </c>
      <c r="H131" s="48">
        <v>21</v>
      </c>
      <c r="I131" s="62">
        <v>21</v>
      </c>
      <c r="J131" s="62">
        <v>30</v>
      </c>
      <c r="K131" s="30">
        <v>73736</v>
      </c>
      <c r="L131" s="205">
        <v>30</v>
      </c>
      <c r="M131" s="26">
        <f t="shared" si="11"/>
        <v>73736</v>
      </c>
      <c r="N131" s="30">
        <v>73736</v>
      </c>
      <c r="O131" s="225"/>
      <c r="P131" s="53">
        <v>11</v>
      </c>
      <c r="Q131" s="30">
        <v>31033.06</v>
      </c>
      <c r="R131" s="205">
        <v>11</v>
      </c>
      <c r="S131" s="26">
        <f t="shared" si="10"/>
        <v>31033.06</v>
      </c>
      <c r="T131" s="30">
        <v>31033.06</v>
      </c>
      <c r="U131" s="225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0" t="s">
        <v>306</v>
      </c>
      <c r="G132" s="229" t="s">
        <v>28</v>
      </c>
      <c r="H132" s="56">
        <v>6</v>
      </c>
      <c r="I132" s="130">
        <v>3</v>
      </c>
      <c r="J132" s="130">
        <v>3</v>
      </c>
      <c r="K132" s="114">
        <v>4816.8</v>
      </c>
      <c r="L132" s="270">
        <v>3</v>
      </c>
      <c r="M132" s="43">
        <f t="shared" si="11"/>
        <v>4905.7000000000007</v>
      </c>
      <c r="N132" s="43">
        <f>1152.6+1344.7+2408.4</f>
        <v>4905.7000000000007</v>
      </c>
      <c r="O132" s="45"/>
      <c r="P132" s="113">
        <v>2</v>
      </c>
      <c r="Q132" s="114">
        <v>5186.7</v>
      </c>
      <c r="R132" s="270">
        <v>2</v>
      </c>
      <c r="S132" s="43">
        <f t="shared" si="10"/>
        <v>5186.7</v>
      </c>
      <c r="T132" s="43">
        <f>5186.7</f>
        <v>5186.7</v>
      </c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72"/>
      <c r="B133" s="374" t="s">
        <v>115</v>
      </c>
      <c r="C133" s="374" t="s">
        <v>22</v>
      </c>
      <c r="D133" s="374"/>
      <c r="E133" s="374" t="s">
        <v>27</v>
      </c>
      <c r="F133" s="22"/>
      <c r="G133" s="23" t="s">
        <v>24</v>
      </c>
      <c r="H133" s="104"/>
      <c r="I133" s="25"/>
      <c r="J133" s="25"/>
      <c r="K133" s="26"/>
      <c r="L133" s="148"/>
      <c r="M133" s="149">
        <f t="shared" si="11"/>
        <v>0</v>
      </c>
      <c r="N133" s="26"/>
      <c r="O133" s="100"/>
      <c r="P133" s="120"/>
      <c r="Q133" s="26"/>
      <c r="R133" s="27"/>
      <c r="S133" s="26">
        <f t="shared" si="10"/>
        <v>0</v>
      </c>
      <c r="T133" s="26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3"/>
      <c r="B134" s="375"/>
      <c r="C134" s="375"/>
      <c r="D134" s="375"/>
      <c r="E134" s="375"/>
      <c r="F134" s="34"/>
      <c r="G134" s="35" t="s">
        <v>28</v>
      </c>
      <c r="H134" s="106"/>
      <c r="I134" s="38"/>
      <c r="J134" s="38"/>
      <c r="K134" s="39"/>
      <c r="L134" s="40"/>
      <c r="M134" s="39">
        <f t="shared" si="11"/>
        <v>0</v>
      </c>
      <c r="N134" s="39"/>
      <c r="O134" s="41"/>
      <c r="P134" s="69"/>
      <c r="Q134" s="39"/>
      <c r="R134" s="40"/>
      <c r="S134" s="39">
        <f t="shared" si="10"/>
        <v>0</v>
      </c>
      <c r="T134" s="39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82"/>
      <c r="B135" s="381" t="s">
        <v>116</v>
      </c>
      <c r="C135" s="381" t="s">
        <v>22</v>
      </c>
      <c r="D135" s="381"/>
      <c r="E135" s="381" t="s">
        <v>27</v>
      </c>
      <c r="F135" s="223" t="s">
        <v>307</v>
      </c>
      <c r="G135" s="47" t="s">
        <v>24</v>
      </c>
      <c r="H135" s="61">
        <v>10</v>
      </c>
      <c r="I135" s="62">
        <v>9</v>
      </c>
      <c r="J135" s="62">
        <v>13</v>
      </c>
      <c r="K135" s="30">
        <v>31214.01</v>
      </c>
      <c r="L135" s="205">
        <v>13</v>
      </c>
      <c r="M135" s="26">
        <f t="shared" si="11"/>
        <v>31214.01</v>
      </c>
      <c r="N135" s="30">
        <v>31214.01</v>
      </c>
      <c r="O135" s="243"/>
      <c r="P135" s="64">
        <v>6</v>
      </c>
      <c r="Q135" s="65">
        <v>13120.33</v>
      </c>
      <c r="R135" s="224">
        <v>6</v>
      </c>
      <c r="S135" s="50">
        <f t="shared" si="10"/>
        <v>13120.33</v>
      </c>
      <c r="T135" s="65">
        <v>13120.33</v>
      </c>
      <c r="U135" s="225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35" t="s">
        <v>28</v>
      </c>
      <c r="H136" s="133">
        <v>8</v>
      </c>
      <c r="I136" s="38"/>
      <c r="J136" s="38"/>
      <c r="K136" s="39"/>
      <c r="L136" s="40"/>
      <c r="M136" s="39">
        <f t="shared" si="11"/>
        <v>0</v>
      </c>
      <c r="N136" s="39"/>
      <c r="O136" s="41"/>
      <c r="P136" s="67">
        <v>1</v>
      </c>
      <c r="Q136" s="68">
        <v>2305.1999999999998</v>
      </c>
      <c r="R136" s="285">
        <v>1</v>
      </c>
      <c r="S136" s="39">
        <f t="shared" si="10"/>
        <v>2305.1999999999998</v>
      </c>
      <c r="T136" s="39">
        <f>2305.2</f>
        <v>2305.1999999999998</v>
      </c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82"/>
      <c r="B137" s="381" t="s">
        <v>117</v>
      </c>
      <c r="C137" s="381" t="s">
        <v>22</v>
      </c>
      <c r="D137" s="381"/>
      <c r="E137" s="381" t="s">
        <v>67</v>
      </c>
      <c r="F137" s="223" t="s">
        <v>308</v>
      </c>
      <c r="G137" s="23" t="s">
        <v>24</v>
      </c>
      <c r="H137" s="48">
        <v>26</v>
      </c>
      <c r="I137" s="203">
        <v>21</v>
      </c>
      <c r="J137" s="203">
        <v>33</v>
      </c>
      <c r="K137" s="65">
        <v>83736.800000000003</v>
      </c>
      <c r="L137" s="224">
        <v>28</v>
      </c>
      <c r="M137" s="50">
        <f t="shared" si="11"/>
        <v>74086.789999999994</v>
      </c>
      <c r="N137" s="65">
        <v>74086.789999999994</v>
      </c>
      <c r="O137" s="225"/>
      <c r="P137" s="108">
        <v>34</v>
      </c>
      <c r="Q137" s="65">
        <v>126059.69</v>
      </c>
      <c r="R137" s="224">
        <v>32</v>
      </c>
      <c r="S137" s="50">
        <f t="shared" si="10"/>
        <v>119894.49</v>
      </c>
      <c r="T137" s="65">
        <v>119894.49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79"/>
      <c r="B138" s="380"/>
      <c r="C138" s="380"/>
      <c r="D138" s="380"/>
      <c r="E138" s="380"/>
      <c r="F138" s="226"/>
      <c r="G138" s="227" t="s">
        <v>28</v>
      </c>
      <c r="H138" s="116"/>
      <c r="I138" s="57"/>
      <c r="J138" s="57"/>
      <c r="K138" s="43"/>
      <c r="L138" s="44"/>
      <c r="M138" s="43">
        <f t="shared" si="11"/>
        <v>0</v>
      </c>
      <c r="N138" s="43"/>
      <c r="O138" s="41"/>
      <c r="P138" s="103"/>
      <c r="Q138" s="43"/>
      <c r="R138" s="44"/>
      <c r="S138" s="43">
        <f t="shared" si="10"/>
        <v>0</v>
      </c>
      <c r="T138" s="43"/>
      <c r="U138" s="41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2"/>
      <c r="B139" s="374" t="s">
        <v>118</v>
      </c>
      <c r="C139" s="374" t="s">
        <v>39</v>
      </c>
      <c r="D139" s="374" t="s">
        <v>309</v>
      </c>
      <c r="E139" s="374" t="s">
        <v>27</v>
      </c>
      <c r="F139" s="204" t="s">
        <v>310</v>
      </c>
      <c r="G139" s="176" t="s">
        <v>24</v>
      </c>
      <c r="H139" s="151">
        <v>20</v>
      </c>
      <c r="I139" s="62">
        <v>11</v>
      </c>
      <c r="J139" s="62">
        <v>15</v>
      </c>
      <c r="K139" s="30">
        <v>56689.56</v>
      </c>
      <c r="L139" s="205">
        <v>14</v>
      </c>
      <c r="M139" s="26">
        <f t="shared" si="11"/>
        <v>56689.56</v>
      </c>
      <c r="N139" s="30">
        <v>56689.56</v>
      </c>
      <c r="O139" s="225"/>
      <c r="P139" s="53">
        <v>13</v>
      </c>
      <c r="Q139" s="30">
        <v>52477.24</v>
      </c>
      <c r="R139" s="205">
        <v>13</v>
      </c>
      <c r="S139" s="26">
        <f t="shared" si="10"/>
        <v>52477.24</v>
      </c>
      <c r="T139" s="30">
        <v>52477.24</v>
      </c>
      <c r="U139" s="225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3"/>
      <c r="B140" s="375"/>
      <c r="C140" s="375"/>
      <c r="D140" s="375"/>
      <c r="E140" s="375"/>
      <c r="F140" s="152"/>
      <c r="G140" s="229" t="s">
        <v>28</v>
      </c>
      <c r="H140" s="116"/>
      <c r="I140" s="38"/>
      <c r="J140" s="38"/>
      <c r="K140" s="39"/>
      <c r="L140" s="40"/>
      <c r="M140" s="39">
        <f t="shared" si="11"/>
        <v>0</v>
      </c>
      <c r="N140" s="39"/>
      <c r="O140" s="41"/>
      <c r="P140" s="59"/>
      <c r="Q140" s="39"/>
      <c r="R140" s="40"/>
      <c r="S140" s="39">
        <f t="shared" si="10"/>
        <v>0</v>
      </c>
      <c r="T140" s="39"/>
      <c r="U140" s="4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2"/>
      <c r="B141" s="374" t="s">
        <v>502</v>
      </c>
      <c r="C141" s="374"/>
      <c r="D141" s="374"/>
      <c r="E141" s="374"/>
      <c r="F141" s="232"/>
      <c r="G141" s="176" t="s">
        <v>24</v>
      </c>
      <c r="H141" s="151"/>
      <c r="I141" s="266"/>
      <c r="J141" s="266"/>
      <c r="K141" s="79"/>
      <c r="L141" s="268"/>
      <c r="M141" s="142">
        <f t="shared" si="11"/>
        <v>0</v>
      </c>
      <c r="N141" s="79"/>
      <c r="O141" s="82"/>
      <c r="P141" s="267"/>
      <c r="Q141" s="79"/>
      <c r="R141" s="268"/>
      <c r="S141" s="142">
        <f t="shared" si="10"/>
        <v>0</v>
      </c>
      <c r="T141" s="79"/>
      <c r="U141" s="336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3"/>
      <c r="B142" s="386"/>
      <c r="C142" s="386"/>
      <c r="D142" s="386"/>
      <c r="E142" s="386"/>
      <c r="F142" s="356"/>
      <c r="G142" s="229" t="s">
        <v>28</v>
      </c>
      <c r="H142" s="362">
        <v>2</v>
      </c>
      <c r="I142" s="231">
        <v>2</v>
      </c>
      <c r="J142" s="231">
        <v>2</v>
      </c>
      <c r="K142" s="91">
        <v>2522.4</v>
      </c>
      <c r="L142" s="330"/>
      <c r="M142" s="87">
        <f t="shared" si="11"/>
        <v>0</v>
      </c>
      <c r="N142" s="91"/>
      <c r="O142" s="89"/>
      <c r="P142" s="329"/>
      <c r="Q142" s="91"/>
      <c r="R142" s="330"/>
      <c r="S142" s="39">
        <f t="shared" si="10"/>
        <v>0</v>
      </c>
      <c r="T142" s="91"/>
      <c r="U142" s="342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72"/>
      <c r="B143" s="374" t="s">
        <v>119</v>
      </c>
      <c r="C143" s="374" t="s">
        <v>39</v>
      </c>
      <c r="D143" s="374" t="s">
        <v>311</v>
      </c>
      <c r="E143" s="374" t="s">
        <v>121</v>
      </c>
      <c r="F143" s="232" t="s">
        <v>312</v>
      </c>
      <c r="G143" s="23" t="s">
        <v>24</v>
      </c>
      <c r="H143" s="281">
        <v>57</v>
      </c>
      <c r="I143" s="62">
        <v>42</v>
      </c>
      <c r="J143" s="62">
        <v>54</v>
      </c>
      <c r="K143" s="30">
        <v>101499.01</v>
      </c>
      <c r="L143" s="205">
        <v>54</v>
      </c>
      <c r="M143" s="26">
        <f t="shared" si="11"/>
        <v>101499.01</v>
      </c>
      <c r="N143" s="30">
        <v>101499.01</v>
      </c>
      <c r="O143" s="269"/>
      <c r="P143" s="53">
        <v>27</v>
      </c>
      <c r="Q143" s="30">
        <v>47822.16</v>
      </c>
      <c r="R143" s="205">
        <v>27</v>
      </c>
      <c r="S143" s="26">
        <f t="shared" si="10"/>
        <v>47822.16</v>
      </c>
      <c r="T143" s="30">
        <v>47822.16</v>
      </c>
      <c r="U143" s="269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80"/>
      <c r="C144" s="380"/>
      <c r="D144" s="380"/>
      <c r="E144" s="380"/>
      <c r="F144" s="325" t="s">
        <v>491</v>
      </c>
      <c r="G144" s="227" t="s">
        <v>25</v>
      </c>
      <c r="H144" s="260">
        <v>14</v>
      </c>
      <c r="I144" s="208">
        <v>4</v>
      </c>
      <c r="J144" s="208">
        <v>4</v>
      </c>
      <c r="K144" s="209">
        <v>5140.3100000000004</v>
      </c>
      <c r="L144" s="290">
        <v>4</v>
      </c>
      <c r="M144" s="209">
        <v>5140.3100000000004</v>
      </c>
      <c r="N144" s="209">
        <v>5140.3100000000004</v>
      </c>
      <c r="O144" s="263"/>
      <c r="P144" s="262">
        <v>4</v>
      </c>
      <c r="Q144" s="209">
        <v>16712.7</v>
      </c>
      <c r="R144" s="290">
        <v>4</v>
      </c>
      <c r="S144" s="209">
        <v>16712.7</v>
      </c>
      <c r="T144" s="209">
        <v>16712.7</v>
      </c>
      <c r="U144" s="212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464</v>
      </c>
      <c r="C145" s="374" t="s">
        <v>22</v>
      </c>
      <c r="D145" s="374"/>
      <c r="E145" s="374" t="s">
        <v>391</v>
      </c>
      <c r="F145" s="204" t="s">
        <v>465</v>
      </c>
      <c r="G145" s="176" t="s">
        <v>24</v>
      </c>
      <c r="H145" s="61">
        <v>1</v>
      </c>
      <c r="I145" s="62"/>
      <c r="J145" s="62"/>
      <c r="K145" s="30"/>
      <c r="L145" s="27"/>
      <c r="M145" s="26">
        <f t="shared" ref="M145:M160" si="12">N145+O145</f>
        <v>0</v>
      </c>
      <c r="N145" s="26"/>
      <c r="O145" s="28"/>
      <c r="P145" s="214"/>
      <c r="Q145" s="30"/>
      <c r="R145" s="205"/>
      <c r="S145" s="26">
        <f t="shared" ref="S145:S151" si="13">T145+U145</f>
        <v>0</v>
      </c>
      <c r="T145" s="30"/>
      <c r="U145" s="24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86"/>
      <c r="C146" s="375"/>
      <c r="D146" s="386"/>
      <c r="E146" s="386"/>
      <c r="F146" s="152"/>
      <c r="G146" s="229" t="s">
        <v>28</v>
      </c>
      <c r="H146" s="344"/>
      <c r="I146" s="231"/>
      <c r="J146" s="231"/>
      <c r="K146" s="91"/>
      <c r="L146" s="92"/>
      <c r="M146" s="81">
        <f t="shared" si="12"/>
        <v>0</v>
      </c>
      <c r="N146" s="93"/>
      <c r="O146" s="94"/>
      <c r="P146" s="90"/>
      <c r="Q146" s="91"/>
      <c r="R146" s="330"/>
      <c r="S146" s="81">
        <f t="shared" si="13"/>
        <v>0</v>
      </c>
      <c r="T146" s="91"/>
      <c r="U146" s="33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367</v>
      </c>
      <c r="C147" s="374"/>
      <c r="D147" s="374"/>
      <c r="E147" s="374"/>
      <c r="F147" s="204"/>
      <c r="G147" s="213" t="s">
        <v>24</v>
      </c>
      <c r="H147" s="61"/>
      <c r="I147" s="62"/>
      <c r="J147" s="62"/>
      <c r="K147" s="30"/>
      <c r="L147" s="27"/>
      <c r="M147" s="26">
        <f t="shared" si="12"/>
        <v>0</v>
      </c>
      <c r="N147" s="26"/>
      <c r="O147" s="28"/>
      <c r="P147" s="214"/>
      <c r="Q147" s="30"/>
      <c r="R147" s="205"/>
      <c r="S147" s="26">
        <f t="shared" si="13"/>
        <v>0</v>
      </c>
      <c r="T147" s="30"/>
      <c r="U147" s="24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/>
      <c r="G148" s="215" t="s">
        <v>28</v>
      </c>
      <c r="H148" s="117">
        <v>6</v>
      </c>
      <c r="I148" s="37"/>
      <c r="J148" s="37"/>
      <c r="K148" s="68"/>
      <c r="L148" s="40"/>
      <c r="M148" s="39">
        <f t="shared" si="12"/>
        <v>0</v>
      </c>
      <c r="N148" s="39"/>
      <c r="O148" s="41"/>
      <c r="P148" s="217"/>
      <c r="Q148" s="68"/>
      <c r="R148" s="285"/>
      <c r="S148" s="39">
        <f t="shared" si="13"/>
        <v>0</v>
      </c>
      <c r="T148" s="68"/>
      <c r="U148" s="23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6"/>
      <c r="B149" s="377" t="s">
        <v>122</v>
      </c>
      <c r="C149" s="377" t="s">
        <v>39</v>
      </c>
      <c r="D149" s="377" t="s">
        <v>123</v>
      </c>
      <c r="E149" s="377" t="s">
        <v>55</v>
      </c>
      <c r="F149" s="232" t="s">
        <v>236</v>
      </c>
      <c r="G149" s="291" t="s">
        <v>24</v>
      </c>
      <c r="H149" s="265">
        <v>34</v>
      </c>
      <c r="I149" s="266">
        <v>30</v>
      </c>
      <c r="J149" s="266">
        <v>45</v>
      </c>
      <c r="K149" s="79">
        <v>97534.75</v>
      </c>
      <c r="L149" s="268">
        <v>36</v>
      </c>
      <c r="M149" s="81">
        <f t="shared" si="12"/>
        <v>77248.66</v>
      </c>
      <c r="N149" s="79">
        <v>77248.66</v>
      </c>
      <c r="O149" s="269"/>
      <c r="P149" s="267">
        <v>24</v>
      </c>
      <c r="Q149" s="79">
        <v>94901.45</v>
      </c>
      <c r="R149" s="268">
        <v>21</v>
      </c>
      <c r="S149" s="81">
        <f t="shared" si="13"/>
        <v>89981.45</v>
      </c>
      <c r="T149" s="79">
        <v>89981.45</v>
      </c>
      <c r="U149" s="269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34"/>
      <c r="G150" s="229" t="s">
        <v>25</v>
      </c>
      <c r="H150" s="116"/>
      <c r="I150" s="38"/>
      <c r="J150" s="38"/>
      <c r="K150" s="39"/>
      <c r="L150" s="40"/>
      <c r="M150" s="39">
        <f t="shared" si="12"/>
        <v>0</v>
      </c>
      <c r="N150" s="39"/>
      <c r="O150" s="41"/>
      <c r="P150" s="59"/>
      <c r="Q150" s="39"/>
      <c r="R150" s="40"/>
      <c r="S150" s="39">
        <f t="shared" si="13"/>
        <v>0</v>
      </c>
      <c r="T150" s="39"/>
      <c r="U150" s="41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6"/>
      <c r="B151" s="377" t="s">
        <v>124</v>
      </c>
      <c r="C151" s="377" t="s">
        <v>39</v>
      </c>
      <c r="D151" s="377" t="s">
        <v>314</v>
      </c>
      <c r="E151" s="377" t="s">
        <v>27</v>
      </c>
      <c r="F151" s="232" t="s">
        <v>237</v>
      </c>
      <c r="G151" s="23" t="s">
        <v>24</v>
      </c>
      <c r="H151" s="48">
        <v>24</v>
      </c>
      <c r="I151" s="203">
        <v>16</v>
      </c>
      <c r="J151" s="203">
        <v>20</v>
      </c>
      <c r="K151" s="65">
        <v>56035.46</v>
      </c>
      <c r="L151" s="224">
        <v>17</v>
      </c>
      <c r="M151" s="50">
        <f t="shared" si="12"/>
        <v>47249.1</v>
      </c>
      <c r="N151" s="65">
        <v>47249.1</v>
      </c>
      <c r="O151" s="225"/>
      <c r="P151" s="108">
        <v>62</v>
      </c>
      <c r="Q151" s="65">
        <v>377247.47</v>
      </c>
      <c r="R151" s="224">
        <v>57</v>
      </c>
      <c r="S151" s="50">
        <f t="shared" si="13"/>
        <v>337965.75</v>
      </c>
      <c r="T151" s="65">
        <v>337965.75</v>
      </c>
      <c r="U151" s="225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87"/>
      <c r="B152" s="386"/>
      <c r="C152" s="386"/>
      <c r="D152" s="386"/>
      <c r="E152" s="386"/>
      <c r="F152" s="237" t="s">
        <v>500</v>
      </c>
      <c r="G152" s="154" t="s">
        <v>25</v>
      </c>
      <c r="H152" s="98"/>
      <c r="I152" s="155"/>
      <c r="J152" s="155"/>
      <c r="K152" s="239" t="s">
        <v>43</v>
      </c>
      <c r="L152" s="128"/>
      <c r="M152" s="129">
        <f t="shared" si="12"/>
        <v>0</v>
      </c>
      <c r="N152" s="129"/>
      <c r="O152" s="45"/>
      <c r="P152" s="238">
        <v>1</v>
      </c>
      <c r="Q152" s="239">
        <v>2408.4</v>
      </c>
      <c r="R152" s="316">
        <v>1</v>
      </c>
      <c r="S152" s="239">
        <v>2408.4</v>
      </c>
      <c r="T152" s="239">
        <v>2408.4</v>
      </c>
      <c r="U152" s="45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79"/>
      <c r="B153" s="380"/>
      <c r="C153" s="380"/>
      <c r="D153" s="380"/>
      <c r="E153" s="380"/>
      <c r="F153" s="34"/>
      <c r="G153" s="55" t="s">
        <v>28</v>
      </c>
      <c r="H153" s="111"/>
      <c r="I153" s="57"/>
      <c r="J153" s="57"/>
      <c r="K153" s="43"/>
      <c r="L153" s="44"/>
      <c r="M153" s="43">
        <f t="shared" si="12"/>
        <v>0</v>
      </c>
      <c r="N153" s="43"/>
      <c r="O153" s="41"/>
      <c r="P153" s="113">
        <v>5</v>
      </c>
      <c r="Q153" s="114">
        <v>16659</v>
      </c>
      <c r="R153" s="270">
        <v>6</v>
      </c>
      <c r="S153" s="43">
        <f t="shared" ref="S153:S160" si="14">T153+U153</f>
        <v>12030.6</v>
      </c>
      <c r="T153" s="114">
        <v>12030.6</v>
      </c>
      <c r="U153" s="4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2"/>
      <c r="B154" s="374" t="s">
        <v>126</v>
      </c>
      <c r="C154" s="374" t="s">
        <v>22</v>
      </c>
      <c r="D154" s="378"/>
      <c r="E154" s="374" t="s">
        <v>65</v>
      </c>
      <c r="F154" s="232" t="s">
        <v>443</v>
      </c>
      <c r="G154" s="23" t="s">
        <v>24</v>
      </c>
      <c r="H154" s="151">
        <v>8</v>
      </c>
      <c r="I154" s="62">
        <v>4</v>
      </c>
      <c r="J154" s="62">
        <v>4</v>
      </c>
      <c r="K154" s="30">
        <v>2843.78</v>
      </c>
      <c r="L154" s="205">
        <v>3</v>
      </c>
      <c r="M154" s="26">
        <f t="shared" si="12"/>
        <v>1582.58</v>
      </c>
      <c r="N154" s="30">
        <v>1582.58</v>
      </c>
      <c r="O154" s="225"/>
      <c r="P154" s="53">
        <v>16</v>
      </c>
      <c r="Q154" s="30">
        <v>15501.68</v>
      </c>
      <c r="R154" s="205">
        <v>4</v>
      </c>
      <c r="S154" s="26">
        <f t="shared" si="14"/>
        <v>10414.84</v>
      </c>
      <c r="T154" s="30">
        <v>10414.84</v>
      </c>
      <c r="U154" s="22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3"/>
      <c r="B155" s="375"/>
      <c r="C155" s="375"/>
      <c r="D155" s="375"/>
      <c r="E155" s="375"/>
      <c r="F155" s="254" t="s">
        <v>316</v>
      </c>
      <c r="G155" s="35" t="s">
        <v>28</v>
      </c>
      <c r="H155" s="153">
        <v>8</v>
      </c>
      <c r="I155" s="37">
        <v>5</v>
      </c>
      <c r="J155" s="37">
        <v>5</v>
      </c>
      <c r="K155" s="68">
        <v>8567.0400000000009</v>
      </c>
      <c r="L155" s="285">
        <v>5</v>
      </c>
      <c r="M155" s="39">
        <f t="shared" si="12"/>
        <v>8567.0400000000009</v>
      </c>
      <c r="N155" s="68">
        <v>8567.0400000000009</v>
      </c>
      <c r="O155" s="41"/>
      <c r="P155" s="115">
        <v>8</v>
      </c>
      <c r="Q155" s="68">
        <v>13484.6</v>
      </c>
      <c r="R155" s="285">
        <v>5</v>
      </c>
      <c r="S155" s="39">
        <f t="shared" si="14"/>
        <v>14164.15</v>
      </c>
      <c r="T155" s="39">
        <f>11762.9+2401.25</f>
        <v>14164.15</v>
      </c>
      <c r="U155" s="41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82"/>
      <c r="B156" s="381" t="s">
        <v>127</v>
      </c>
      <c r="C156" s="381" t="s">
        <v>22</v>
      </c>
      <c r="D156" s="381"/>
      <c r="E156" s="381" t="s">
        <v>67</v>
      </c>
      <c r="F156" s="223" t="s">
        <v>368</v>
      </c>
      <c r="G156" s="47" t="s">
        <v>24</v>
      </c>
      <c r="H156" s="48">
        <v>14</v>
      </c>
      <c r="I156" s="203">
        <v>13</v>
      </c>
      <c r="J156" s="203">
        <v>20</v>
      </c>
      <c r="K156" s="65">
        <v>39745.360000000001</v>
      </c>
      <c r="L156" s="224">
        <v>20</v>
      </c>
      <c r="M156" s="50">
        <f t="shared" si="12"/>
        <v>39745.360000000001</v>
      </c>
      <c r="N156" s="65">
        <v>39745.360000000001</v>
      </c>
      <c r="O156" s="225"/>
      <c r="P156" s="108">
        <v>8</v>
      </c>
      <c r="Q156" s="65">
        <v>29582.03</v>
      </c>
      <c r="R156" s="224">
        <v>8</v>
      </c>
      <c r="S156" s="50">
        <f t="shared" si="14"/>
        <v>29582.03</v>
      </c>
      <c r="T156" s="65">
        <v>29582.03</v>
      </c>
      <c r="U156" s="225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73"/>
      <c r="B157" s="375"/>
      <c r="C157" s="375"/>
      <c r="D157" s="375"/>
      <c r="E157" s="375"/>
      <c r="F157" s="233" t="s">
        <v>317</v>
      </c>
      <c r="G157" s="227" t="s">
        <v>28</v>
      </c>
      <c r="H157" s="153">
        <v>9</v>
      </c>
      <c r="I157" s="37">
        <v>5</v>
      </c>
      <c r="J157" s="37">
        <v>5</v>
      </c>
      <c r="K157" s="68">
        <v>5776.7</v>
      </c>
      <c r="L157" s="285">
        <v>5</v>
      </c>
      <c r="M157" s="39">
        <f t="shared" si="12"/>
        <v>5822.7</v>
      </c>
      <c r="N157" s="39">
        <f>1578.8+1152.6+1152.6+1336.6+602.1</f>
        <v>5822.7</v>
      </c>
      <c r="O157" s="41"/>
      <c r="P157" s="115">
        <v>3</v>
      </c>
      <c r="Q157" s="68">
        <v>17095</v>
      </c>
      <c r="R157" s="285">
        <v>3</v>
      </c>
      <c r="S157" s="39">
        <f t="shared" si="14"/>
        <v>17095</v>
      </c>
      <c r="T157" s="39">
        <f>4034.1+11053.9+2007</f>
        <v>17095</v>
      </c>
      <c r="U157" s="4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2"/>
      <c r="B158" s="374" t="s">
        <v>128</v>
      </c>
      <c r="C158" s="374" t="s">
        <v>39</v>
      </c>
      <c r="D158" s="374" t="s">
        <v>129</v>
      </c>
      <c r="E158" s="374" t="s">
        <v>121</v>
      </c>
      <c r="F158" s="60"/>
      <c r="G158" s="176" t="s">
        <v>24</v>
      </c>
      <c r="H158" s="107"/>
      <c r="I158" s="49"/>
      <c r="J158" s="127"/>
      <c r="K158" s="50"/>
      <c r="L158" s="51"/>
      <c r="M158" s="50">
        <f t="shared" si="12"/>
        <v>0</v>
      </c>
      <c r="N158" s="50"/>
      <c r="O158" s="31"/>
      <c r="P158" s="108"/>
      <c r="Q158" s="65"/>
      <c r="R158" s="51"/>
      <c r="S158" s="50">
        <f t="shared" si="14"/>
        <v>0</v>
      </c>
      <c r="T158" s="50"/>
      <c r="U158" s="3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3"/>
      <c r="B159" s="375"/>
      <c r="C159" s="375"/>
      <c r="D159" s="375"/>
      <c r="E159" s="375"/>
      <c r="F159" s="220" t="s">
        <v>492</v>
      </c>
      <c r="G159" s="229" t="s">
        <v>25</v>
      </c>
      <c r="H159" s="153">
        <v>1</v>
      </c>
      <c r="I159" s="57"/>
      <c r="J159" s="57"/>
      <c r="K159" s="43"/>
      <c r="L159" s="44"/>
      <c r="M159" s="43">
        <f t="shared" si="12"/>
        <v>0</v>
      </c>
      <c r="N159" s="43"/>
      <c r="O159" s="41"/>
      <c r="P159" s="103"/>
      <c r="Q159" s="43"/>
      <c r="R159" s="44"/>
      <c r="S159" s="43">
        <f t="shared" si="14"/>
        <v>0</v>
      </c>
      <c r="T159" s="43"/>
      <c r="U159" s="4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2"/>
      <c r="B160" s="374" t="s">
        <v>130</v>
      </c>
      <c r="C160" s="374" t="s">
        <v>22</v>
      </c>
      <c r="D160" s="374"/>
      <c r="E160" s="374" t="s">
        <v>131</v>
      </c>
      <c r="F160" s="232" t="s">
        <v>411</v>
      </c>
      <c r="G160" s="176" t="s">
        <v>24</v>
      </c>
      <c r="H160" s="48">
        <v>12</v>
      </c>
      <c r="I160" s="62">
        <v>7</v>
      </c>
      <c r="J160" s="62">
        <v>9</v>
      </c>
      <c r="K160" s="30">
        <v>18592.759999999998</v>
      </c>
      <c r="L160" s="205">
        <v>9</v>
      </c>
      <c r="M160" s="26">
        <f t="shared" si="12"/>
        <v>18592.759999999998</v>
      </c>
      <c r="N160" s="30">
        <v>18592.759999999998</v>
      </c>
      <c r="O160" s="225"/>
      <c r="P160" s="53">
        <v>4</v>
      </c>
      <c r="Q160" s="30">
        <v>22885.21</v>
      </c>
      <c r="R160" s="205">
        <v>4</v>
      </c>
      <c r="S160" s="26">
        <f t="shared" si="14"/>
        <v>22885.21</v>
      </c>
      <c r="T160" s="30">
        <v>22885.21</v>
      </c>
      <c r="U160" s="225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3"/>
      <c r="B161" s="375"/>
      <c r="C161" s="375"/>
      <c r="D161" s="375"/>
      <c r="E161" s="375"/>
      <c r="F161" s="220" t="s">
        <v>493</v>
      </c>
      <c r="G161" s="229" t="s">
        <v>25</v>
      </c>
      <c r="H161" s="112">
        <v>10</v>
      </c>
      <c r="I161" s="130">
        <v>5</v>
      </c>
      <c r="J161" s="130">
        <v>5</v>
      </c>
      <c r="K161" s="114">
        <v>9606.3799999999992</v>
      </c>
      <c r="L161" s="270">
        <v>5</v>
      </c>
      <c r="M161" s="114">
        <v>9606.3799999999992</v>
      </c>
      <c r="N161" s="114">
        <v>9606.3799999999992</v>
      </c>
      <c r="O161" s="234"/>
      <c r="P161" s="113">
        <v>4</v>
      </c>
      <c r="Q161" s="114">
        <v>8744</v>
      </c>
      <c r="R161" s="270">
        <v>4</v>
      </c>
      <c r="S161" s="114">
        <v>8744</v>
      </c>
      <c r="T161" s="114">
        <v>8744</v>
      </c>
      <c r="U161" s="41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2"/>
      <c r="B162" s="374" t="s">
        <v>132</v>
      </c>
      <c r="C162" s="374" t="s">
        <v>39</v>
      </c>
      <c r="D162" s="374" t="s">
        <v>238</v>
      </c>
      <c r="E162" s="377" t="s">
        <v>136</v>
      </c>
      <c r="F162" s="232" t="s">
        <v>239</v>
      </c>
      <c r="G162" s="23" t="s">
        <v>24</v>
      </c>
      <c r="H162" s="61">
        <v>19</v>
      </c>
      <c r="I162" s="62">
        <v>14</v>
      </c>
      <c r="J162" s="62">
        <v>18</v>
      </c>
      <c r="K162" s="30">
        <v>40036.720000000001</v>
      </c>
      <c r="L162" s="205">
        <v>18</v>
      </c>
      <c r="M162" s="26">
        <f t="shared" ref="M162:M194" si="15">N162+O162</f>
        <v>40036.720000000001</v>
      </c>
      <c r="N162" s="30">
        <v>40036.720000000001</v>
      </c>
      <c r="O162" s="225"/>
      <c r="P162" s="53">
        <v>17</v>
      </c>
      <c r="Q162" s="30">
        <v>66861.3</v>
      </c>
      <c r="R162" s="205">
        <v>17</v>
      </c>
      <c r="S162" s="26">
        <f t="shared" ref="S162:S168" si="16">T162+U162</f>
        <v>66861.3</v>
      </c>
      <c r="T162" s="30">
        <v>66861.3</v>
      </c>
      <c r="U162" s="22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87"/>
      <c r="B163" s="386"/>
      <c r="C163" s="386"/>
      <c r="D163" s="386"/>
      <c r="E163" s="386"/>
      <c r="F163" s="237" t="s">
        <v>240</v>
      </c>
      <c r="G163" s="154" t="s">
        <v>28</v>
      </c>
      <c r="H163" s="112">
        <v>20</v>
      </c>
      <c r="I163" s="271">
        <v>14</v>
      </c>
      <c r="J163" s="271">
        <v>14</v>
      </c>
      <c r="K163" s="239">
        <v>25573.4</v>
      </c>
      <c r="L163" s="316">
        <v>14</v>
      </c>
      <c r="M163" s="129">
        <f t="shared" si="15"/>
        <v>25573.4</v>
      </c>
      <c r="N163" s="239">
        <v>25573.4</v>
      </c>
      <c r="O163" s="45"/>
      <c r="P163" s="238">
        <v>9</v>
      </c>
      <c r="Q163" s="239">
        <v>31223.56</v>
      </c>
      <c r="R163" s="316">
        <v>10</v>
      </c>
      <c r="S163" s="129">
        <f t="shared" si="16"/>
        <v>32433.79</v>
      </c>
      <c r="T163" s="239">
        <f>288.15+6934.81+3073.6+1344.7+1344.7+10837.8+8610.03</f>
        <v>32433.79</v>
      </c>
      <c r="U163" s="45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75"/>
      <c r="C164" s="375"/>
      <c r="D164" s="375"/>
      <c r="E164" s="375"/>
      <c r="F164" s="105"/>
      <c r="G164" s="55" t="s">
        <v>25</v>
      </c>
      <c r="H164" s="131"/>
      <c r="I164" s="57"/>
      <c r="J164" s="57"/>
      <c r="K164" s="43"/>
      <c r="L164" s="44"/>
      <c r="M164" s="43">
        <f t="shared" si="15"/>
        <v>0</v>
      </c>
      <c r="N164" s="43"/>
      <c r="O164" s="41"/>
      <c r="P164" s="103"/>
      <c r="Q164" s="43"/>
      <c r="R164" s="44"/>
      <c r="S164" s="43">
        <f t="shared" si="16"/>
        <v>0</v>
      </c>
      <c r="T164" s="43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72"/>
      <c r="B165" s="374" t="s">
        <v>133</v>
      </c>
      <c r="C165" s="374" t="s">
        <v>39</v>
      </c>
      <c r="D165" s="374" t="s">
        <v>448</v>
      </c>
      <c r="E165" s="381" t="s">
        <v>23</v>
      </c>
      <c r="F165" s="232" t="s">
        <v>449</v>
      </c>
      <c r="G165" s="23" t="s">
        <v>24</v>
      </c>
      <c r="H165" s="61">
        <v>13</v>
      </c>
      <c r="I165" s="62">
        <v>9</v>
      </c>
      <c r="J165" s="62">
        <v>11</v>
      </c>
      <c r="K165" s="30">
        <v>38516.25</v>
      </c>
      <c r="L165" s="205">
        <v>11</v>
      </c>
      <c r="M165" s="26">
        <f t="shared" si="15"/>
        <v>38516.25</v>
      </c>
      <c r="N165" s="30">
        <v>38516.25</v>
      </c>
      <c r="O165" s="225"/>
      <c r="P165" s="53">
        <v>15</v>
      </c>
      <c r="Q165" s="30">
        <v>6119.32</v>
      </c>
      <c r="R165" s="205">
        <v>4</v>
      </c>
      <c r="S165" s="26">
        <f t="shared" si="16"/>
        <v>6119.32</v>
      </c>
      <c r="T165" s="30">
        <v>6119.32</v>
      </c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3"/>
      <c r="B166" s="375"/>
      <c r="C166" s="375"/>
      <c r="D166" s="375"/>
      <c r="E166" s="375"/>
      <c r="F166" s="34"/>
      <c r="G166" s="35" t="s">
        <v>25</v>
      </c>
      <c r="H166" s="106"/>
      <c r="I166" s="38"/>
      <c r="J166" s="38"/>
      <c r="K166" s="39"/>
      <c r="L166" s="40"/>
      <c r="M166" s="39">
        <f t="shared" si="15"/>
        <v>0</v>
      </c>
      <c r="N166" s="39"/>
      <c r="O166" s="41"/>
      <c r="P166" s="59"/>
      <c r="Q166" s="39"/>
      <c r="R166" s="40"/>
      <c r="S166" s="39">
        <f t="shared" si="16"/>
        <v>0</v>
      </c>
      <c r="T166" s="39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134</v>
      </c>
      <c r="C167" s="374" t="s">
        <v>39</v>
      </c>
      <c r="D167" s="374" t="s">
        <v>280</v>
      </c>
      <c r="E167" s="374" t="s">
        <v>136</v>
      </c>
      <c r="F167" s="204" t="s">
        <v>282</v>
      </c>
      <c r="G167" s="176" t="s">
        <v>24</v>
      </c>
      <c r="H167" s="48">
        <v>16</v>
      </c>
      <c r="I167" s="203">
        <v>13</v>
      </c>
      <c r="J167" s="203">
        <v>14</v>
      </c>
      <c r="K167" s="65">
        <v>29159.56</v>
      </c>
      <c r="L167" s="224">
        <v>14</v>
      </c>
      <c r="M167" s="50">
        <f t="shared" si="15"/>
        <v>29159.56</v>
      </c>
      <c r="N167" s="65">
        <v>29159.56</v>
      </c>
      <c r="O167" s="225"/>
      <c r="P167" s="108">
        <v>8</v>
      </c>
      <c r="Q167" s="65">
        <v>55419.75</v>
      </c>
      <c r="R167" s="224">
        <v>8</v>
      </c>
      <c r="S167" s="50">
        <f t="shared" si="16"/>
        <v>55419.75</v>
      </c>
      <c r="T167" s="65">
        <v>55419.75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87"/>
      <c r="B168" s="386"/>
      <c r="C168" s="386"/>
      <c r="D168" s="386"/>
      <c r="E168" s="386"/>
      <c r="F168" s="235" t="s">
        <v>321</v>
      </c>
      <c r="G168" s="252" t="s">
        <v>28</v>
      </c>
      <c r="H168" s="151">
        <v>18</v>
      </c>
      <c r="I168" s="246">
        <v>5</v>
      </c>
      <c r="J168" s="246">
        <v>5</v>
      </c>
      <c r="K168" s="158">
        <v>10648.6</v>
      </c>
      <c r="L168" s="317">
        <v>5</v>
      </c>
      <c r="M168" s="142">
        <f t="shared" si="15"/>
        <v>10648.599999999999</v>
      </c>
      <c r="N168" s="142">
        <f>1921+2305.2+1404.9+3211.2+1806.3</f>
        <v>10648.599999999999</v>
      </c>
      <c r="O168" s="45"/>
      <c r="P168" s="157">
        <v>4</v>
      </c>
      <c r="Q168" s="158">
        <v>8625.2900000000009</v>
      </c>
      <c r="R168" s="224">
        <v>5</v>
      </c>
      <c r="S168" s="50">
        <f t="shared" si="16"/>
        <v>9681.84</v>
      </c>
      <c r="T168" s="158">
        <f>6224.04+3457.8</f>
        <v>9681.84</v>
      </c>
      <c r="U168" s="45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73"/>
      <c r="B169" s="375"/>
      <c r="C169" s="375"/>
      <c r="D169" s="375"/>
      <c r="E169" s="375"/>
      <c r="F169" s="220" t="s">
        <v>494</v>
      </c>
      <c r="G169" s="229" t="s">
        <v>25</v>
      </c>
      <c r="H169" s="118"/>
      <c r="I169" s="57"/>
      <c r="J169" s="57"/>
      <c r="K169" s="43"/>
      <c r="L169" s="44"/>
      <c r="M169" s="43">
        <f t="shared" si="15"/>
        <v>0</v>
      </c>
      <c r="N169" s="43"/>
      <c r="O169" s="41"/>
      <c r="P169" s="113">
        <v>1</v>
      </c>
      <c r="Q169" s="114">
        <v>7024.5</v>
      </c>
      <c r="R169" s="270">
        <v>1</v>
      </c>
      <c r="S169" s="114">
        <v>7024.5</v>
      </c>
      <c r="T169" s="114">
        <v>7024.5</v>
      </c>
      <c r="U169" s="4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2"/>
      <c r="B170" s="374" t="s">
        <v>137</v>
      </c>
      <c r="C170" s="377" t="s">
        <v>39</v>
      </c>
      <c r="D170" s="374" t="s">
        <v>322</v>
      </c>
      <c r="E170" s="377" t="s">
        <v>27</v>
      </c>
      <c r="F170" s="232" t="s">
        <v>323</v>
      </c>
      <c r="G170" s="23" t="s">
        <v>24</v>
      </c>
      <c r="H170" s="24">
        <v>16</v>
      </c>
      <c r="I170" s="62">
        <v>11</v>
      </c>
      <c r="J170" s="62">
        <v>14</v>
      </c>
      <c r="K170" s="30">
        <v>23878.68</v>
      </c>
      <c r="L170" s="205">
        <v>14</v>
      </c>
      <c r="M170" s="26">
        <f t="shared" si="15"/>
        <v>23878.68</v>
      </c>
      <c r="N170" s="30">
        <v>23878.68</v>
      </c>
      <c r="O170" s="31"/>
      <c r="P170" s="53">
        <v>4</v>
      </c>
      <c r="Q170" s="30">
        <v>39691.760000000002</v>
      </c>
      <c r="R170" s="205">
        <v>4</v>
      </c>
      <c r="S170" s="26">
        <f t="shared" ref="S170:S194" si="17">T170+U170</f>
        <v>39691.760000000002</v>
      </c>
      <c r="T170" s="30">
        <v>39691.760000000002</v>
      </c>
      <c r="U170" s="225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3"/>
      <c r="B171" s="375"/>
      <c r="C171" s="375"/>
      <c r="D171" s="375"/>
      <c r="E171" s="380"/>
      <c r="F171" s="220" t="s">
        <v>241</v>
      </c>
      <c r="G171" s="35" t="s">
        <v>28</v>
      </c>
      <c r="H171" s="66">
        <v>10</v>
      </c>
      <c r="I171" s="37">
        <v>6</v>
      </c>
      <c r="J171" s="37">
        <v>6</v>
      </c>
      <c r="K171" s="68">
        <v>7049.7</v>
      </c>
      <c r="L171" s="285">
        <v>7</v>
      </c>
      <c r="M171" s="39">
        <f t="shared" si="15"/>
        <v>7049.7000000000007</v>
      </c>
      <c r="N171" s="39">
        <f>576.3+1716.8+1344.7+1404.9+602.1+1404.9</f>
        <v>7049.7000000000007</v>
      </c>
      <c r="O171" s="41"/>
      <c r="P171" s="115">
        <v>3</v>
      </c>
      <c r="Q171" s="68">
        <v>5674.1</v>
      </c>
      <c r="R171" s="285">
        <v>4</v>
      </c>
      <c r="S171" s="39">
        <f t="shared" si="17"/>
        <v>9366.36</v>
      </c>
      <c r="T171" s="39">
        <f>1921+1344.7+3692.26+2408.4</f>
        <v>9366.36</v>
      </c>
      <c r="U171" s="4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2"/>
      <c r="B172" s="374" t="s">
        <v>138</v>
      </c>
      <c r="C172" s="374" t="s">
        <v>22</v>
      </c>
      <c r="D172" s="374"/>
      <c r="E172" s="374" t="s">
        <v>27</v>
      </c>
      <c r="F172" s="204" t="s">
        <v>324</v>
      </c>
      <c r="G172" s="176" t="s">
        <v>24</v>
      </c>
      <c r="H172" s="151">
        <v>18</v>
      </c>
      <c r="I172" s="203">
        <v>13</v>
      </c>
      <c r="J172" s="203">
        <v>16</v>
      </c>
      <c r="K172" s="65">
        <v>33267.919999999998</v>
      </c>
      <c r="L172" s="224">
        <v>16</v>
      </c>
      <c r="M172" s="50">
        <f t="shared" si="15"/>
        <v>33267.919999999998</v>
      </c>
      <c r="N172" s="65">
        <v>33267.919999999998</v>
      </c>
      <c r="O172" s="225"/>
      <c r="P172" s="108">
        <v>10</v>
      </c>
      <c r="Q172" s="65">
        <v>22636.89</v>
      </c>
      <c r="R172" s="224">
        <v>10</v>
      </c>
      <c r="S172" s="50">
        <f t="shared" si="17"/>
        <v>22636.89</v>
      </c>
      <c r="T172" s="65">
        <v>22636.89</v>
      </c>
      <c r="U172" s="225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3"/>
      <c r="B173" s="375"/>
      <c r="C173" s="375"/>
      <c r="D173" s="375"/>
      <c r="E173" s="375"/>
      <c r="F173" s="220" t="s">
        <v>242</v>
      </c>
      <c r="G173" s="229" t="s">
        <v>28</v>
      </c>
      <c r="H173" s="133">
        <v>8</v>
      </c>
      <c r="I173" s="130">
        <v>7</v>
      </c>
      <c r="J173" s="130">
        <v>7</v>
      </c>
      <c r="K173" s="114">
        <v>26745.9</v>
      </c>
      <c r="L173" s="270">
        <v>8</v>
      </c>
      <c r="M173" s="43">
        <f t="shared" si="15"/>
        <v>28244.28</v>
      </c>
      <c r="N173" s="114">
        <v>28244.28</v>
      </c>
      <c r="O173" s="41"/>
      <c r="P173" s="113">
        <v>5</v>
      </c>
      <c r="Q173" s="114">
        <v>11814.15</v>
      </c>
      <c r="R173" s="270">
        <v>4</v>
      </c>
      <c r="S173" s="43">
        <f t="shared" si="17"/>
        <v>9893.15</v>
      </c>
      <c r="T173" s="114">
        <f>4802.5+2401.25+2689.4</f>
        <v>9893.15</v>
      </c>
      <c r="U173" s="4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2"/>
      <c r="B174" s="374" t="s">
        <v>139</v>
      </c>
      <c r="C174" s="374" t="s">
        <v>22</v>
      </c>
      <c r="D174" s="374"/>
      <c r="E174" s="374" t="s">
        <v>67</v>
      </c>
      <c r="F174" s="232" t="s">
        <v>325</v>
      </c>
      <c r="G174" s="23" t="s">
        <v>24</v>
      </c>
      <c r="H174" s="151">
        <v>12</v>
      </c>
      <c r="I174" s="62">
        <v>8</v>
      </c>
      <c r="J174" s="62">
        <v>9</v>
      </c>
      <c r="K174" s="30">
        <v>20374.03</v>
      </c>
      <c r="L174" s="205">
        <v>9</v>
      </c>
      <c r="M174" s="26">
        <f t="shared" si="15"/>
        <v>20374.03</v>
      </c>
      <c r="N174" s="30">
        <v>20374.03</v>
      </c>
      <c r="O174" s="225"/>
      <c r="P174" s="53">
        <v>16</v>
      </c>
      <c r="Q174" s="30">
        <v>55930.74</v>
      </c>
      <c r="R174" s="205">
        <v>16</v>
      </c>
      <c r="S174" s="26">
        <f t="shared" si="17"/>
        <v>55930.74</v>
      </c>
      <c r="T174" s="30">
        <v>55930.74</v>
      </c>
      <c r="U174" s="225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3"/>
      <c r="B175" s="375"/>
      <c r="C175" s="375"/>
      <c r="D175" s="375"/>
      <c r="E175" s="375"/>
      <c r="F175" s="233" t="s">
        <v>326</v>
      </c>
      <c r="G175" s="227" t="s">
        <v>28</v>
      </c>
      <c r="H175" s="112">
        <v>9</v>
      </c>
      <c r="I175" s="130">
        <v>6</v>
      </c>
      <c r="J175" s="130">
        <v>6</v>
      </c>
      <c r="K175" s="114">
        <v>12501.3</v>
      </c>
      <c r="L175" s="270">
        <v>7</v>
      </c>
      <c r="M175" s="43">
        <f t="shared" si="15"/>
        <v>17262.400000000001</v>
      </c>
      <c r="N175" s="114">
        <v>17262.400000000001</v>
      </c>
      <c r="O175" s="45"/>
      <c r="P175" s="113">
        <v>9</v>
      </c>
      <c r="Q175" s="114">
        <v>35157.300000000003</v>
      </c>
      <c r="R175" s="270">
        <v>10</v>
      </c>
      <c r="S175" s="43">
        <f t="shared" si="17"/>
        <v>37772.649999999994</v>
      </c>
      <c r="T175" s="114">
        <f>16502.1+21270.55</f>
        <v>37772.649999999994</v>
      </c>
      <c r="U175" s="4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2"/>
      <c r="B176" s="374" t="s">
        <v>140</v>
      </c>
      <c r="C176" s="374" t="s">
        <v>39</v>
      </c>
      <c r="D176" s="374" t="s">
        <v>369</v>
      </c>
      <c r="E176" s="374" t="s">
        <v>27</v>
      </c>
      <c r="F176" s="204" t="s">
        <v>370</v>
      </c>
      <c r="G176" s="176" t="s">
        <v>24</v>
      </c>
      <c r="H176" s="24">
        <v>20</v>
      </c>
      <c r="I176" s="62">
        <v>17</v>
      </c>
      <c r="J176" s="62">
        <v>22</v>
      </c>
      <c r="K176" s="30">
        <v>50082.06</v>
      </c>
      <c r="L176" s="205">
        <v>22</v>
      </c>
      <c r="M176" s="26">
        <f t="shared" si="15"/>
        <v>50082.06</v>
      </c>
      <c r="N176" s="30">
        <v>50082.06</v>
      </c>
      <c r="O176" s="312"/>
      <c r="P176" s="53">
        <v>4</v>
      </c>
      <c r="Q176" s="30">
        <v>31835.37</v>
      </c>
      <c r="R176" s="205">
        <v>4</v>
      </c>
      <c r="S176" s="26">
        <f t="shared" si="17"/>
        <v>31835.37</v>
      </c>
      <c r="T176" s="30">
        <v>31835.37</v>
      </c>
      <c r="U176" s="2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3"/>
      <c r="B177" s="375"/>
      <c r="C177" s="375"/>
      <c r="D177" s="375"/>
      <c r="E177" s="375"/>
      <c r="F177" s="233" t="s">
        <v>243</v>
      </c>
      <c r="G177" s="282" t="s">
        <v>28</v>
      </c>
      <c r="H177" s="207">
        <v>9</v>
      </c>
      <c r="I177" s="208">
        <v>3</v>
      </c>
      <c r="J177" s="208">
        <v>3</v>
      </c>
      <c r="K177" s="209">
        <v>7347.6</v>
      </c>
      <c r="L177" s="290">
        <v>3</v>
      </c>
      <c r="M177" s="211">
        <f t="shared" si="15"/>
        <v>7348.5</v>
      </c>
      <c r="N177" s="209">
        <v>7348.5</v>
      </c>
      <c r="O177" s="274"/>
      <c r="P177" s="262">
        <v>3</v>
      </c>
      <c r="Q177" s="209">
        <v>5494.06</v>
      </c>
      <c r="R177" s="290">
        <v>6</v>
      </c>
      <c r="S177" s="211">
        <f t="shared" si="17"/>
        <v>14023.3</v>
      </c>
      <c r="T177" s="211">
        <f>4034.1+3073.6+5071.44+1267.86+576.3</f>
        <v>14023.3</v>
      </c>
      <c r="U177" s="212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2"/>
      <c r="B178" s="374" t="s">
        <v>413</v>
      </c>
      <c r="C178" s="374" t="s">
        <v>22</v>
      </c>
      <c r="D178" s="374"/>
      <c r="E178" s="374" t="s">
        <v>391</v>
      </c>
      <c r="F178" s="204" t="s">
        <v>414</v>
      </c>
      <c r="G178" s="176" t="s">
        <v>24</v>
      </c>
      <c r="H178" s="24">
        <v>11</v>
      </c>
      <c r="I178" s="62">
        <v>8</v>
      </c>
      <c r="J178" s="62">
        <v>12</v>
      </c>
      <c r="K178" s="30">
        <v>31164.77</v>
      </c>
      <c r="L178" s="205">
        <v>12</v>
      </c>
      <c r="M178" s="26">
        <f t="shared" si="15"/>
        <v>31164.77</v>
      </c>
      <c r="N178" s="30">
        <v>31164.77</v>
      </c>
      <c r="O178" s="241"/>
      <c r="P178" s="214"/>
      <c r="Q178" s="30"/>
      <c r="R178" s="205"/>
      <c r="S178" s="26">
        <f t="shared" si="17"/>
        <v>0</v>
      </c>
      <c r="T178" s="30"/>
      <c r="U178" s="2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73"/>
      <c r="B179" s="375"/>
      <c r="C179" s="375"/>
      <c r="D179" s="375"/>
      <c r="E179" s="375"/>
      <c r="F179" s="220"/>
      <c r="G179" s="229" t="s">
        <v>28</v>
      </c>
      <c r="H179" s="66"/>
      <c r="I179" s="38"/>
      <c r="J179" s="38"/>
      <c r="K179" s="39"/>
      <c r="L179" s="40"/>
      <c r="M179" s="39">
        <f t="shared" si="15"/>
        <v>0</v>
      </c>
      <c r="N179" s="39"/>
      <c r="O179" s="41"/>
      <c r="P179" s="217"/>
      <c r="Q179" s="68"/>
      <c r="R179" s="285"/>
      <c r="S179" s="39">
        <f t="shared" si="17"/>
        <v>0</v>
      </c>
      <c r="T179" s="68"/>
      <c r="U179" s="4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72"/>
      <c r="B180" s="374" t="s">
        <v>141</v>
      </c>
      <c r="C180" s="374" t="s">
        <v>39</v>
      </c>
      <c r="D180" s="374" t="s">
        <v>371</v>
      </c>
      <c r="E180" s="374" t="s">
        <v>27</v>
      </c>
      <c r="F180" s="204" t="s">
        <v>372</v>
      </c>
      <c r="G180" s="176" t="s">
        <v>24</v>
      </c>
      <c r="H180" s="281">
        <v>9</v>
      </c>
      <c r="I180" s="266">
        <v>6</v>
      </c>
      <c r="J180" s="266">
        <v>8</v>
      </c>
      <c r="K180" s="79">
        <v>17989.78</v>
      </c>
      <c r="L180" s="268">
        <v>8</v>
      </c>
      <c r="M180" s="81">
        <f t="shared" si="15"/>
        <v>17989.78</v>
      </c>
      <c r="N180" s="79">
        <v>17989.78</v>
      </c>
      <c r="O180" s="269"/>
      <c r="P180" s="267">
        <v>3</v>
      </c>
      <c r="Q180" s="79">
        <v>16223.5</v>
      </c>
      <c r="R180" s="268">
        <v>3</v>
      </c>
      <c r="S180" s="81">
        <f t="shared" si="17"/>
        <v>16223.5</v>
      </c>
      <c r="T180" s="79">
        <v>16223.5</v>
      </c>
      <c r="U180" s="219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3"/>
      <c r="B181" s="375"/>
      <c r="C181" s="375"/>
      <c r="D181" s="375"/>
      <c r="E181" s="375"/>
      <c r="F181" s="34"/>
      <c r="G181" s="229" t="s">
        <v>28</v>
      </c>
      <c r="H181" s="118"/>
      <c r="I181" s="57"/>
      <c r="J181" s="57"/>
      <c r="K181" s="43"/>
      <c r="L181" s="44"/>
      <c r="M181" s="43">
        <f t="shared" si="15"/>
        <v>0</v>
      </c>
      <c r="N181" s="43"/>
      <c r="O181" s="45"/>
      <c r="P181" s="103"/>
      <c r="Q181" s="43"/>
      <c r="R181" s="44"/>
      <c r="S181" s="43">
        <f t="shared" si="17"/>
        <v>0</v>
      </c>
      <c r="T181" s="43"/>
      <c r="U181" s="45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142</v>
      </c>
      <c r="C182" s="374" t="s">
        <v>39</v>
      </c>
      <c r="D182" s="374" t="s">
        <v>415</v>
      </c>
      <c r="E182" s="374" t="s">
        <v>27</v>
      </c>
      <c r="F182" s="232" t="s">
        <v>416</v>
      </c>
      <c r="G182" s="23" t="s">
        <v>24</v>
      </c>
      <c r="H182" s="24">
        <v>6</v>
      </c>
      <c r="I182" s="62">
        <v>2</v>
      </c>
      <c r="J182" s="62">
        <v>2</v>
      </c>
      <c r="K182" s="30">
        <v>524.91</v>
      </c>
      <c r="L182" s="205">
        <v>2</v>
      </c>
      <c r="M182" s="26">
        <f t="shared" si="15"/>
        <v>524.91</v>
      </c>
      <c r="N182" s="30">
        <v>524.91</v>
      </c>
      <c r="O182" s="241"/>
      <c r="P182" s="53">
        <v>2</v>
      </c>
      <c r="Q182" s="30">
        <v>14444.79</v>
      </c>
      <c r="R182" s="205">
        <v>2</v>
      </c>
      <c r="S182" s="26">
        <f t="shared" si="17"/>
        <v>14444.79</v>
      </c>
      <c r="T182" s="30">
        <v>14444.79</v>
      </c>
      <c r="U182" s="24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105"/>
      <c r="G183" s="227" t="s">
        <v>28</v>
      </c>
      <c r="H183" s="311"/>
      <c r="I183" s="261"/>
      <c r="J183" s="261"/>
      <c r="K183" s="211"/>
      <c r="L183" s="210"/>
      <c r="M183" s="211">
        <f t="shared" si="15"/>
        <v>0</v>
      </c>
      <c r="N183" s="211"/>
      <c r="O183" s="212"/>
      <c r="P183" s="273"/>
      <c r="Q183" s="211"/>
      <c r="R183" s="210"/>
      <c r="S183" s="211">
        <f t="shared" si="17"/>
        <v>0</v>
      </c>
      <c r="T183" s="211"/>
      <c r="U183" s="21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424</v>
      </c>
      <c r="C184" s="374" t="s">
        <v>22</v>
      </c>
      <c r="D184" s="374"/>
      <c r="E184" s="374" t="s">
        <v>65</v>
      </c>
      <c r="F184" s="232" t="s">
        <v>437</v>
      </c>
      <c r="G184" s="213" t="s">
        <v>24</v>
      </c>
      <c r="H184" s="24">
        <v>10</v>
      </c>
      <c r="I184" s="62">
        <v>7</v>
      </c>
      <c r="J184" s="62">
        <v>11</v>
      </c>
      <c r="K184" s="30">
        <v>18026.650000000001</v>
      </c>
      <c r="L184" s="205">
        <v>11</v>
      </c>
      <c r="M184" s="26">
        <f t="shared" si="15"/>
        <v>18026.650000000001</v>
      </c>
      <c r="N184" s="30">
        <v>18026.650000000001</v>
      </c>
      <c r="O184" s="241"/>
      <c r="P184" s="214"/>
      <c r="Q184" s="30"/>
      <c r="R184" s="205"/>
      <c r="S184" s="26">
        <f t="shared" si="17"/>
        <v>0</v>
      </c>
      <c r="T184" s="30"/>
      <c r="U184" s="24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220"/>
      <c r="G185" s="215" t="s">
        <v>28</v>
      </c>
      <c r="H185" s="66"/>
      <c r="I185" s="38"/>
      <c r="J185" s="38"/>
      <c r="K185" s="39"/>
      <c r="L185" s="40"/>
      <c r="M185" s="39">
        <f t="shared" si="15"/>
        <v>0</v>
      </c>
      <c r="N185" s="39"/>
      <c r="O185" s="41"/>
      <c r="P185" s="217"/>
      <c r="Q185" s="68"/>
      <c r="R185" s="285"/>
      <c r="S185" s="39">
        <f t="shared" si="17"/>
        <v>0</v>
      </c>
      <c r="T185" s="68"/>
      <c r="U185" s="23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76"/>
      <c r="B186" s="377" t="s">
        <v>143</v>
      </c>
      <c r="C186" s="377" t="s">
        <v>39</v>
      </c>
      <c r="D186" s="377" t="s">
        <v>327</v>
      </c>
      <c r="E186" s="377" t="s">
        <v>145</v>
      </c>
      <c r="F186" s="232" t="s">
        <v>215</v>
      </c>
      <c r="G186" s="95" t="s">
        <v>24</v>
      </c>
      <c r="H186" s="281">
        <v>11</v>
      </c>
      <c r="I186" s="266">
        <v>8</v>
      </c>
      <c r="J186" s="266">
        <v>10</v>
      </c>
      <c r="K186" s="79">
        <v>15844.95</v>
      </c>
      <c r="L186" s="268">
        <v>10</v>
      </c>
      <c r="M186" s="81">
        <f t="shared" si="15"/>
        <v>15844.95</v>
      </c>
      <c r="N186" s="79">
        <v>15844.95</v>
      </c>
      <c r="O186" s="269"/>
      <c r="P186" s="267">
        <v>19</v>
      </c>
      <c r="Q186" s="79">
        <v>57909.45</v>
      </c>
      <c r="R186" s="268">
        <v>19</v>
      </c>
      <c r="S186" s="81">
        <f t="shared" si="17"/>
        <v>57909.45</v>
      </c>
      <c r="T186" s="79">
        <v>57909.45</v>
      </c>
      <c r="U186" s="269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9"/>
      <c r="B187" s="380"/>
      <c r="C187" s="380"/>
      <c r="D187" s="380"/>
      <c r="E187" s="380"/>
      <c r="F187" s="233" t="s">
        <v>244</v>
      </c>
      <c r="G187" s="227" t="s">
        <v>28</v>
      </c>
      <c r="H187" s="133">
        <v>10</v>
      </c>
      <c r="I187" s="130">
        <v>5</v>
      </c>
      <c r="J187" s="130">
        <v>5</v>
      </c>
      <c r="K187" s="114">
        <v>21716.12</v>
      </c>
      <c r="L187" s="316">
        <v>6</v>
      </c>
      <c r="M187" s="50">
        <f t="shared" si="15"/>
        <v>21489.82</v>
      </c>
      <c r="N187" s="43">
        <f>2497.3+1152.6+5920.02+4595.4+602.1+6722.4</f>
        <v>21489.82</v>
      </c>
      <c r="O187" s="41"/>
      <c r="P187" s="113">
        <v>3</v>
      </c>
      <c r="Q187" s="114">
        <v>17758.3</v>
      </c>
      <c r="R187" s="270">
        <v>4</v>
      </c>
      <c r="S187" s="43">
        <f t="shared" si="17"/>
        <v>17531.8</v>
      </c>
      <c r="T187" s="114">
        <v>17531.8</v>
      </c>
      <c r="U187" s="41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372"/>
      <c r="B188" s="374" t="s">
        <v>146</v>
      </c>
      <c r="C188" s="374" t="s">
        <v>39</v>
      </c>
      <c r="D188" s="374" t="s">
        <v>328</v>
      </c>
      <c r="E188" s="374" t="s">
        <v>27</v>
      </c>
      <c r="F188" s="204" t="s">
        <v>329</v>
      </c>
      <c r="G188" s="176" t="s">
        <v>24</v>
      </c>
      <c r="H188" s="48">
        <v>17</v>
      </c>
      <c r="I188" s="62">
        <v>12</v>
      </c>
      <c r="J188" s="62">
        <v>13</v>
      </c>
      <c r="K188" s="30">
        <v>34160.230000000003</v>
      </c>
      <c r="L188" s="205">
        <v>13</v>
      </c>
      <c r="M188" s="26">
        <f t="shared" si="15"/>
        <v>34160.230000000003</v>
      </c>
      <c r="N188" s="30">
        <v>34160.230000000003</v>
      </c>
      <c r="O188" s="225"/>
      <c r="P188" s="53">
        <v>13</v>
      </c>
      <c r="Q188" s="30">
        <v>38649.24</v>
      </c>
      <c r="R188" s="205">
        <v>13</v>
      </c>
      <c r="S188" s="26">
        <f t="shared" si="17"/>
        <v>38649.24</v>
      </c>
      <c r="T188" s="30">
        <v>38649.24</v>
      </c>
      <c r="U188" s="225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373"/>
      <c r="B189" s="375"/>
      <c r="C189" s="375"/>
      <c r="D189" s="375"/>
      <c r="E189" s="375"/>
      <c r="F189" s="220" t="s">
        <v>330</v>
      </c>
      <c r="G189" s="229" t="s">
        <v>28</v>
      </c>
      <c r="H189" s="153">
        <v>5</v>
      </c>
      <c r="I189" s="130">
        <v>3</v>
      </c>
      <c r="J189" s="130">
        <v>3</v>
      </c>
      <c r="K189" s="114">
        <v>13185.5</v>
      </c>
      <c r="L189" s="270">
        <v>2</v>
      </c>
      <c r="M189" s="43">
        <f t="shared" si="15"/>
        <v>7867.44</v>
      </c>
      <c r="N189" s="43">
        <f>2649.24+5218.2</f>
        <v>7867.44</v>
      </c>
      <c r="O189" s="41"/>
      <c r="P189" s="115">
        <v>9</v>
      </c>
      <c r="Q189" s="68">
        <v>31615.67</v>
      </c>
      <c r="R189" s="285">
        <v>9</v>
      </c>
      <c r="S189" s="39">
        <f t="shared" si="17"/>
        <v>31615.67</v>
      </c>
      <c r="T189" s="68">
        <f>27005.27+4610.4</f>
        <v>31615.67</v>
      </c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148</v>
      </c>
      <c r="C190" s="374" t="s">
        <v>39</v>
      </c>
      <c r="D190" s="374" t="s">
        <v>149</v>
      </c>
      <c r="E190" s="374" t="s">
        <v>27</v>
      </c>
      <c r="F190" s="204" t="s">
        <v>218</v>
      </c>
      <c r="G190" s="176" t="s">
        <v>24</v>
      </c>
      <c r="H190" s="48">
        <v>27</v>
      </c>
      <c r="I190" s="62">
        <v>23</v>
      </c>
      <c r="J190" s="204">
        <v>32</v>
      </c>
      <c r="K190" s="30">
        <v>55043.14</v>
      </c>
      <c r="L190" s="205">
        <v>32</v>
      </c>
      <c r="M190" s="26">
        <f t="shared" si="15"/>
        <v>55043.14</v>
      </c>
      <c r="N190" s="30">
        <v>55043.14</v>
      </c>
      <c r="O190" s="225"/>
      <c r="P190" s="108">
        <v>24</v>
      </c>
      <c r="Q190" s="65">
        <v>94559</v>
      </c>
      <c r="R190" s="224">
        <v>24</v>
      </c>
      <c r="S190" s="50">
        <f t="shared" si="17"/>
        <v>94559</v>
      </c>
      <c r="T190" s="65">
        <v>94559</v>
      </c>
      <c r="U190" s="225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34"/>
      <c r="G191" s="229" t="s">
        <v>28</v>
      </c>
      <c r="H191" s="292">
        <v>5</v>
      </c>
      <c r="I191" s="208">
        <v>1</v>
      </c>
      <c r="J191" s="208">
        <v>1</v>
      </c>
      <c r="K191" s="209">
        <v>3010.5</v>
      </c>
      <c r="L191" s="290">
        <v>1</v>
      </c>
      <c r="M191" s="211">
        <f t="shared" si="15"/>
        <v>3010.5</v>
      </c>
      <c r="N191" s="211">
        <f>3010.5</f>
        <v>3010.5</v>
      </c>
      <c r="O191" s="212"/>
      <c r="P191" s="262">
        <v>2</v>
      </c>
      <c r="Q191" s="209">
        <v>10069.41</v>
      </c>
      <c r="R191" s="290">
        <v>4</v>
      </c>
      <c r="S191" s="211">
        <f t="shared" si="17"/>
        <v>13395.31</v>
      </c>
      <c r="T191" s="209">
        <v>13395.31</v>
      </c>
      <c r="U191" s="21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373</v>
      </c>
      <c r="C192" s="374" t="s">
        <v>22</v>
      </c>
      <c r="D192" s="374"/>
      <c r="E192" s="374" t="s">
        <v>27</v>
      </c>
      <c r="F192" s="232" t="s">
        <v>417</v>
      </c>
      <c r="G192" s="213" t="s">
        <v>24</v>
      </c>
      <c r="H192" s="61">
        <v>2</v>
      </c>
      <c r="I192" s="62">
        <v>2</v>
      </c>
      <c r="J192" s="62">
        <v>3</v>
      </c>
      <c r="K192" s="326">
        <v>2669.31</v>
      </c>
      <c r="L192" s="327">
        <v>3</v>
      </c>
      <c r="M192" s="162">
        <f t="shared" si="15"/>
        <v>2669.31</v>
      </c>
      <c r="N192" s="326">
        <v>2669.31</v>
      </c>
      <c r="O192" s="28"/>
      <c r="P192" s="275"/>
      <c r="Q192" s="26"/>
      <c r="R192" s="27"/>
      <c r="S192" s="26">
        <f t="shared" si="17"/>
        <v>0</v>
      </c>
      <c r="T192" s="26"/>
      <c r="U192" s="28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215" t="s">
        <v>28</v>
      </c>
      <c r="H193" s="117">
        <v>7</v>
      </c>
      <c r="I193" s="37">
        <v>2</v>
      </c>
      <c r="J193" s="37">
        <v>2</v>
      </c>
      <c r="K193" s="318">
        <v>1658.32</v>
      </c>
      <c r="L193" s="343">
        <v>2</v>
      </c>
      <c r="M193" s="164">
        <f t="shared" si="15"/>
        <v>1658.65</v>
      </c>
      <c r="N193" s="164">
        <f>1056.55+602.1</f>
        <v>1658.65</v>
      </c>
      <c r="O193" s="41"/>
      <c r="P193" s="276"/>
      <c r="Q193" s="39"/>
      <c r="R193" s="40"/>
      <c r="S193" s="39">
        <f t="shared" si="17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6"/>
      <c r="B194" s="402" t="s">
        <v>150</v>
      </c>
      <c r="C194" s="377" t="s">
        <v>39</v>
      </c>
      <c r="D194" s="377" t="s">
        <v>151</v>
      </c>
      <c r="E194" s="377" t="s">
        <v>152</v>
      </c>
      <c r="F194" s="72"/>
      <c r="G194" s="95" t="s">
        <v>24</v>
      </c>
      <c r="H194" s="74"/>
      <c r="I194" s="96"/>
      <c r="J194" s="96"/>
      <c r="K194" s="293"/>
      <c r="L194" s="294"/>
      <c r="M194" s="293">
        <f t="shared" si="15"/>
        <v>0</v>
      </c>
      <c r="N194" s="293"/>
      <c r="O194" s="82"/>
      <c r="P194" s="295"/>
      <c r="Q194" s="81"/>
      <c r="R194" s="80"/>
      <c r="S194" s="81">
        <f t="shared" si="17"/>
        <v>0</v>
      </c>
      <c r="T194" s="81"/>
      <c r="U194" s="8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89"/>
      <c r="C195" s="375"/>
      <c r="D195" s="375"/>
      <c r="E195" s="375"/>
      <c r="F195" s="220" t="s">
        <v>331</v>
      </c>
      <c r="G195" s="35" t="s">
        <v>25</v>
      </c>
      <c r="H195" s="117">
        <v>4</v>
      </c>
      <c r="I195" s="37">
        <v>1</v>
      </c>
      <c r="J195" s="37">
        <v>1</v>
      </c>
      <c r="K195" s="318">
        <v>3153</v>
      </c>
      <c r="L195" s="343">
        <v>1</v>
      </c>
      <c r="M195" s="318">
        <v>3153</v>
      </c>
      <c r="N195" s="318">
        <v>3153</v>
      </c>
      <c r="O195" s="41"/>
      <c r="P195" s="67">
        <v>5</v>
      </c>
      <c r="Q195" s="68">
        <v>32446.01</v>
      </c>
      <c r="R195" s="285">
        <v>5</v>
      </c>
      <c r="S195" s="68">
        <v>32446.01</v>
      </c>
      <c r="T195" s="68">
        <v>32446.01</v>
      </c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82"/>
      <c r="B196" s="381" t="s">
        <v>153</v>
      </c>
      <c r="C196" s="374" t="s">
        <v>39</v>
      </c>
      <c r="D196" s="381" t="s">
        <v>332</v>
      </c>
      <c r="E196" s="381" t="s">
        <v>27</v>
      </c>
      <c r="F196" s="223" t="s">
        <v>333</v>
      </c>
      <c r="G196" s="47" t="s">
        <v>24</v>
      </c>
      <c r="H196" s="48">
        <v>25</v>
      </c>
      <c r="I196" s="203">
        <v>24</v>
      </c>
      <c r="J196" s="203">
        <v>40</v>
      </c>
      <c r="K196" s="242">
        <v>87338.42</v>
      </c>
      <c r="L196" s="320">
        <v>40</v>
      </c>
      <c r="M196" s="166">
        <f t="shared" ref="M196:M215" si="18">N196+O196</f>
        <v>87338.42</v>
      </c>
      <c r="N196" s="242">
        <v>87338.42</v>
      </c>
      <c r="O196" s="225"/>
      <c r="P196" s="108">
        <v>8</v>
      </c>
      <c r="Q196" s="65">
        <v>44672.93</v>
      </c>
      <c r="R196" s="224">
        <v>8</v>
      </c>
      <c r="S196" s="50">
        <f t="shared" ref="S196:S215" si="19">T196+U196</f>
        <v>44672.93</v>
      </c>
      <c r="T196" s="65">
        <v>44672.93</v>
      </c>
      <c r="U196" s="225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9"/>
      <c r="B197" s="380"/>
      <c r="C197" s="375"/>
      <c r="D197" s="380"/>
      <c r="E197" s="380"/>
      <c r="F197" s="34"/>
      <c r="G197" s="35" t="s">
        <v>28</v>
      </c>
      <c r="H197" s="153">
        <v>6</v>
      </c>
      <c r="I197" s="130">
        <v>3</v>
      </c>
      <c r="J197" s="130">
        <v>3</v>
      </c>
      <c r="K197" s="114">
        <v>5166.6000000000004</v>
      </c>
      <c r="L197" s="270">
        <v>3</v>
      </c>
      <c r="M197" s="43">
        <f t="shared" si="18"/>
        <v>5166.6000000000004</v>
      </c>
      <c r="N197" s="114">
        <v>5166.6000000000004</v>
      </c>
      <c r="O197" s="41"/>
      <c r="P197" s="113">
        <v>4</v>
      </c>
      <c r="Q197" s="114">
        <v>21119.5</v>
      </c>
      <c r="R197" s="270">
        <v>5</v>
      </c>
      <c r="S197" s="43">
        <f t="shared" si="19"/>
        <v>23040.5</v>
      </c>
      <c r="T197" s="114">
        <f>1921+11718.1+5186.7+2809.8+1404.9</f>
        <v>23040.5</v>
      </c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155</v>
      </c>
      <c r="C198" s="374" t="s">
        <v>22</v>
      </c>
      <c r="D198" s="374"/>
      <c r="E198" s="374" t="s">
        <v>37</v>
      </c>
      <c r="F198" s="223" t="s">
        <v>245</v>
      </c>
      <c r="G198" s="23" t="s">
        <v>24</v>
      </c>
      <c r="H198" s="48">
        <v>9</v>
      </c>
      <c r="I198" s="62">
        <v>6</v>
      </c>
      <c r="J198" s="62">
        <v>7</v>
      </c>
      <c r="K198" s="30">
        <v>9989.77</v>
      </c>
      <c r="L198" s="205">
        <v>7</v>
      </c>
      <c r="M198" s="26">
        <f t="shared" si="18"/>
        <v>9989.77</v>
      </c>
      <c r="N198" s="30">
        <v>9989.77</v>
      </c>
      <c r="O198" s="225"/>
      <c r="P198" s="53">
        <v>11</v>
      </c>
      <c r="Q198" s="30">
        <v>34261.74</v>
      </c>
      <c r="R198" s="205">
        <v>11</v>
      </c>
      <c r="S198" s="26">
        <f t="shared" si="19"/>
        <v>34261.74</v>
      </c>
      <c r="T198" s="30">
        <v>34261.74</v>
      </c>
      <c r="U198" s="225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105"/>
      <c r="G199" s="35" t="s">
        <v>28</v>
      </c>
      <c r="H199" s="116"/>
      <c r="I199" s="38"/>
      <c r="J199" s="38"/>
      <c r="K199" s="39"/>
      <c r="L199" s="40"/>
      <c r="M199" s="39">
        <f t="shared" si="18"/>
        <v>0</v>
      </c>
      <c r="N199" s="39"/>
      <c r="O199" s="41"/>
      <c r="P199" s="59"/>
      <c r="Q199" s="39"/>
      <c r="R199" s="40"/>
      <c r="S199" s="39">
        <f t="shared" si="19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156</v>
      </c>
      <c r="C200" s="381" t="s">
        <v>46</v>
      </c>
      <c r="D200" s="385" t="s">
        <v>418</v>
      </c>
      <c r="E200" s="381" t="s">
        <v>27</v>
      </c>
      <c r="F200" s="223" t="s">
        <v>419</v>
      </c>
      <c r="G200" s="23" t="s">
        <v>24</v>
      </c>
      <c r="H200" s="98"/>
      <c r="I200" s="49"/>
      <c r="J200" s="49"/>
      <c r="K200" s="50"/>
      <c r="L200" s="51"/>
      <c r="M200" s="50">
        <f t="shared" si="18"/>
        <v>0</v>
      </c>
      <c r="N200" s="50"/>
      <c r="O200" s="31"/>
      <c r="P200" s="108">
        <v>2</v>
      </c>
      <c r="Q200" s="65">
        <v>14241.9</v>
      </c>
      <c r="R200" s="224">
        <v>2</v>
      </c>
      <c r="S200" s="50">
        <f t="shared" si="19"/>
        <v>14241.9</v>
      </c>
      <c r="T200" s="65">
        <v>14241.9</v>
      </c>
      <c r="U200" s="225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28</v>
      </c>
      <c r="H201" s="56">
        <v>6</v>
      </c>
      <c r="I201" s="130">
        <v>1</v>
      </c>
      <c r="J201" s="130">
        <v>1</v>
      </c>
      <c r="K201" s="114">
        <v>2102</v>
      </c>
      <c r="L201" s="270">
        <v>1</v>
      </c>
      <c r="M201" s="43">
        <f t="shared" si="18"/>
        <v>1471.4</v>
      </c>
      <c r="N201" s="114">
        <v>1471.4</v>
      </c>
      <c r="O201" s="41"/>
      <c r="P201" s="113">
        <v>1</v>
      </c>
      <c r="Q201" s="114">
        <v>0</v>
      </c>
      <c r="R201" s="44"/>
      <c r="S201" s="43">
        <f t="shared" si="19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157</v>
      </c>
      <c r="C202" s="390"/>
      <c r="D202" s="374"/>
      <c r="E202" s="374"/>
      <c r="F202" s="22"/>
      <c r="G202" s="23" t="s">
        <v>24</v>
      </c>
      <c r="H202" s="104"/>
      <c r="I202" s="25"/>
      <c r="J202" s="25"/>
      <c r="K202" s="26"/>
      <c r="L202" s="27"/>
      <c r="M202" s="26">
        <f t="shared" si="18"/>
        <v>0</v>
      </c>
      <c r="N202" s="26"/>
      <c r="O202" s="31"/>
      <c r="P202" s="120"/>
      <c r="Q202" s="26"/>
      <c r="R202" s="27"/>
      <c r="S202" s="26">
        <f t="shared" si="19"/>
        <v>0</v>
      </c>
      <c r="T202" s="26"/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75"/>
      <c r="D203" s="375"/>
      <c r="E203" s="375"/>
      <c r="F203" s="34"/>
      <c r="G203" s="35" t="s">
        <v>28</v>
      </c>
      <c r="H203" s="106"/>
      <c r="I203" s="38"/>
      <c r="J203" s="38"/>
      <c r="K203" s="39"/>
      <c r="L203" s="40"/>
      <c r="M203" s="39">
        <f t="shared" si="18"/>
        <v>0</v>
      </c>
      <c r="N203" s="39"/>
      <c r="O203" s="41"/>
      <c r="P203" s="69"/>
      <c r="Q203" s="39"/>
      <c r="R203" s="40"/>
      <c r="S203" s="39">
        <f t="shared" si="19"/>
        <v>0</v>
      </c>
      <c r="T203" s="39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158</v>
      </c>
      <c r="C204" s="374" t="s">
        <v>39</v>
      </c>
      <c r="D204" s="374" t="s">
        <v>288</v>
      </c>
      <c r="E204" s="374" t="s">
        <v>27</v>
      </c>
      <c r="F204" s="204" t="s">
        <v>289</v>
      </c>
      <c r="G204" s="176" t="s">
        <v>24</v>
      </c>
      <c r="H204" s="48">
        <v>19</v>
      </c>
      <c r="I204" s="203">
        <v>16</v>
      </c>
      <c r="J204" s="203">
        <v>17</v>
      </c>
      <c r="K204" s="65">
        <v>34837.99</v>
      </c>
      <c r="L204" s="224">
        <v>16</v>
      </c>
      <c r="M204" s="50">
        <f t="shared" si="18"/>
        <v>33600.120000000003</v>
      </c>
      <c r="N204" s="65">
        <v>33600.120000000003</v>
      </c>
      <c r="O204" s="225"/>
      <c r="P204" s="108">
        <v>11</v>
      </c>
      <c r="Q204" s="65">
        <v>24722.32</v>
      </c>
      <c r="R204" s="224">
        <v>11</v>
      </c>
      <c r="S204" s="50">
        <f t="shared" si="19"/>
        <v>24722.32</v>
      </c>
      <c r="T204" s="65">
        <v>24722.32</v>
      </c>
      <c r="U204" s="225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220" t="s">
        <v>334</v>
      </c>
      <c r="G205" s="229" t="s">
        <v>28</v>
      </c>
      <c r="H205" s="117">
        <v>6</v>
      </c>
      <c r="I205" s="37">
        <v>5</v>
      </c>
      <c r="J205" s="37">
        <v>5</v>
      </c>
      <c r="K205" s="68">
        <v>8186.99</v>
      </c>
      <c r="L205" s="285">
        <v>4</v>
      </c>
      <c r="M205" s="39">
        <f t="shared" si="18"/>
        <v>6641.6</v>
      </c>
      <c r="N205" s="68">
        <v>6641.6</v>
      </c>
      <c r="O205" s="41"/>
      <c r="P205" s="59"/>
      <c r="Q205" s="39"/>
      <c r="R205" s="285">
        <v>1</v>
      </c>
      <c r="S205" s="39">
        <f t="shared" si="19"/>
        <v>1152.5999999999999</v>
      </c>
      <c r="T205" s="68">
        <v>1152.5999999999999</v>
      </c>
      <c r="U205" s="41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6"/>
      <c r="B206" s="377" t="s">
        <v>159</v>
      </c>
      <c r="C206" s="377" t="s">
        <v>22</v>
      </c>
      <c r="D206" s="377"/>
      <c r="E206" s="377" t="s">
        <v>160</v>
      </c>
      <c r="F206" s="232" t="s">
        <v>246</v>
      </c>
      <c r="G206" s="95" t="s">
        <v>24</v>
      </c>
      <c r="H206" s="48">
        <v>32</v>
      </c>
      <c r="I206" s="203">
        <v>30</v>
      </c>
      <c r="J206" s="203">
        <v>48</v>
      </c>
      <c r="K206" s="65">
        <v>89310.74</v>
      </c>
      <c r="L206" s="224">
        <v>46</v>
      </c>
      <c r="M206" s="50">
        <f t="shared" si="18"/>
        <v>82665.210000000006</v>
      </c>
      <c r="N206" s="65">
        <v>82665.210000000006</v>
      </c>
      <c r="O206" s="225"/>
      <c r="P206" s="108">
        <v>29</v>
      </c>
      <c r="Q206" s="65">
        <v>50855.96</v>
      </c>
      <c r="R206" s="224">
        <v>28</v>
      </c>
      <c r="S206" s="50">
        <f t="shared" si="19"/>
        <v>45551.69</v>
      </c>
      <c r="T206" s="65">
        <v>45551.69</v>
      </c>
      <c r="U206" s="225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54"/>
      <c r="G207" s="55" t="s">
        <v>28</v>
      </c>
      <c r="H207" s="112">
        <v>7</v>
      </c>
      <c r="I207" s="130">
        <v>2</v>
      </c>
      <c r="J207" s="130">
        <v>2</v>
      </c>
      <c r="K207" s="114">
        <v>2401.25</v>
      </c>
      <c r="L207" s="316">
        <v>2</v>
      </c>
      <c r="M207" s="50">
        <f t="shared" si="18"/>
        <v>2401.25</v>
      </c>
      <c r="N207" s="43">
        <f>1056.55+1344.7</f>
        <v>2401.25</v>
      </c>
      <c r="O207" s="41"/>
      <c r="P207" s="113">
        <v>3</v>
      </c>
      <c r="Q207" s="114">
        <v>5551.69</v>
      </c>
      <c r="R207" s="270">
        <v>3</v>
      </c>
      <c r="S207" s="43">
        <f t="shared" si="19"/>
        <v>5551.69</v>
      </c>
      <c r="T207" s="43">
        <f>5551.69</f>
        <v>5551.69</v>
      </c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72"/>
      <c r="B208" s="374" t="s">
        <v>161</v>
      </c>
      <c r="C208" s="377" t="s">
        <v>22</v>
      </c>
      <c r="D208" s="374"/>
      <c r="E208" s="374" t="s">
        <v>450</v>
      </c>
      <c r="F208" s="204" t="s">
        <v>451</v>
      </c>
      <c r="G208" s="23" t="s">
        <v>24</v>
      </c>
      <c r="H208" s="24">
        <v>18</v>
      </c>
      <c r="I208" s="62">
        <v>6</v>
      </c>
      <c r="J208" s="62">
        <v>12</v>
      </c>
      <c r="K208" s="30">
        <v>19502.189999999999</v>
      </c>
      <c r="L208" s="205">
        <v>12</v>
      </c>
      <c r="M208" s="26">
        <f t="shared" si="18"/>
        <v>19502.189999999999</v>
      </c>
      <c r="N208" s="30">
        <v>19502.189999999999</v>
      </c>
      <c r="O208" s="225"/>
      <c r="P208" s="53">
        <v>12</v>
      </c>
      <c r="Q208" s="30">
        <v>42909.61</v>
      </c>
      <c r="R208" s="205">
        <v>12</v>
      </c>
      <c r="S208" s="26">
        <f t="shared" si="19"/>
        <v>42909.61</v>
      </c>
      <c r="T208" s="30">
        <v>42909.61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3"/>
      <c r="B209" s="375"/>
      <c r="C209" s="375"/>
      <c r="D209" s="375"/>
      <c r="E209" s="392"/>
      <c r="F209" s="34"/>
      <c r="G209" s="35" t="s">
        <v>28</v>
      </c>
      <c r="H209" s="66">
        <v>9</v>
      </c>
      <c r="I209" s="37">
        <v>3</v>
      </c>
      <c r="J209" s="37">
        <v>3</v>
      </c>
      <c r="K209" s="68">
        <v>13295.45</v>
      </c>
      <c r="L209" s="285">
        <v>1</v>
      </c>
      <c r="M209" s="39">
        <f t="shared" si="18"/>
        <v>12191.6</v>
      </c>
      <c r="N209" s="68">
        <v>12191.6</v>
      </c>
      <c r="O209" s="41"/>
      <c r="P209" s="115">
        <v>1</v>
      </c>
      <c r="Q209" s="68">
        <v>0</v>
      </c>
      <c r="R209" s="40"/>
      <c r="S209" s="39">
        <f t="shared" si="19"/>
        <v>0</v>
      </c>
      <c r="T209" s="39"/>
      <c r="U209" s="41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382"/>
      <c r="B210" s="381" t="s">
        <v>162</v>
      </c>
      <c r="C210" s="381" t="s">
        <v>39</v>
      </c>
      <c r="D210" s="381" t="s">
        <v>163</v>
      </c>
      <c r="E210" s="374" t="s">
        <v>27</v>
      </c>
      <c r="F210" s="135"/>
      <c r="G210" s="47" t="s">
        <v>24</v>
      </c>
      <c r="H210" s="98"/>
      <c r="I210" s="49"/>
      <c r="J210" s="49"/>
      <c r="K210" s="50"/>
      <c r="L210" s="51"/>
      <c r="M210" s="50">
        <f t="shared" si="18"/>
        <v>0</v>
      </c>
      <c r="N210" s="50"/>
      <c r="O210" s="31"/>
      <c r="P210" s="123"/>
      <c r="Q210" s="50"/>
      <c r="R210" s="51"/>
      <c r="S210" s="50">
        <f t="shared" si="19"/>
        <v>0</v>
      </c>
      <c r="T210" s="50"/>
      <c r="U210" s="31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387"/>
      <c r="B211" s="386"/>
      <c r="C211" s="386"/>
      <c r="D211" s="386"/>
      <c r="E211" s="386"/>
      <c r="F211" s="54"/>
      <c r="G211" s="47" t="s">
        <v>25</v>
      </c>
      <c r="H211" s="98"/>
      <c r="I211" s="49"/>
      <c r="J211" s="49"/>
      <c r="K211" s="50"/>
      <c r="L211" s="51"/>
      <c r="M211" s="50">
        <f t="shared" si="18"/>
        <v>0</v>
      </c>
      <c r="N211" s="50"/>
      <c r="O211" s="45"/>
      <c r="P211" s="123"/>
      <c r="Q211" s="50"/>
      <c r="R211" s="51"/>
      <c r="S211" s="50">
        <f t="shared" si="19"/>
        <v>0</v>
      </c>
      <c r="T211" s="50"/>
      <c r="U211" s="45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379"/>
      <c r="B212" s="380"/>
      <c r="C212" s="380"/>
      <c r="D212" s="380"/>
      <c r="E212" s="380"/>
      <c r="F212" s="54"/>
      <c r="G212" s="55" t="s">
        <v>28</v>
      </c>
      <c r="H212" s="116"/>
      <c r="I212" s="57"/>
      <c r="J212" s="57"/>
      <c r="K212" s="43"/>
      <c r="L212" s="44"/>
      <c r="M212" s="43">
        <f t="shared" si="18"/>
        <v>0</v>
      </c>
      <c r="N212" s="43"/>
      <c r="O212" s="41"/>
      <c r="P212" s="113">
        <v>1</v>
      </c>
      <c r="Q212" s="114">
        <v>4602.5</v>
      </c>
      <c r="R212" s="270">
        <v>1</v>
      </c>
      <c r="S212" s="43">
        <f t="shared" si="19"/>
        <v>4602.5</v>
      </c>
      <c r="T212" s="114">
        <v>4602.5</v>
      </c>
      <c r="U212" s="23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372"/>
      <c r="B213" s="374" t="s">
        <v>164</v>
      </c>
      <c r="C213" s="374" t="s">
        <v>22</v>
      </c>
      <c r="D213" s="374"/>
      <c r="E213" s="374" t="s">
        <v>27</v>
      </c>
      <c r="F213" s="22"/>
      <c r="G213" s="23" t="s">
        <v>24</v>
      </c>
      <c r="H213" s="98"/>
      <c r="I213" s="25"/>
      <c r="J213" s="25"/>
      <c r="K213" s="26"/>
      <c r="L213" s="27"/>
      <c r="M213" s="26">
        <f t="shared" si="18"/>
        <v>0</v>
      </c>
      <c r="N213" s="26"/>
      <c r="O213" s="31"/>
      <c r="P213" s="99"/>
      <c r="Q213" s="26"/>
      <c r="R213" s="27"/>
      <c r="S213" s="26">
        <f t="shared" si="19"/>
        <v>0</v>
      </c>
      <c r="T213" s="26"/>
      <c r="U213" s="3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373"/>
      <c r="B214" s="375"/>
      <c r="C214" s="375"/>
      <c r="D214" s="375"/>
      <c r="E214" s="375"/>
      <c r="F214" s="221" t="s">
        <v>335</v>
      </c>
      <c r="G214" s="55" t="s">
        <v>28</v>
      </c>
      <c r="H214" s="56">
        <v>8</v>
      </c>
      <c r="I214" s="130">
        <v>2</v>
      </c>
      <c r="J214" s="130">
        <v>2</v>
      </c>
      <c r="K214" s="114">
        <v>3813.3</v>
      </c>
      <c r="L214" s="270">
        <v>2</v>
      </c>
      <c r="M214" s="43">
        <f t="shared" si="18"/>
        <v>3813.3</v>
      </c>
      <c r="N214" s="43">
        <f>2007+1806.3</f>
        <v>3813.3</v>
      </c>
      <c r="O214" s="41"/>
      <c r="P214" s="113">
        <v>4</v>
      </c>
      <c r="Q214" s="114">
        <v>7395.85</v>
      </c>
      <c r="R214" s="270">
        <v>4</v>
      </c>
      <c r="S214" s="43">
        <f t="shared" si="19"/>
        <v>8452.4000000000015</v>
      </c>
      <c r="T214" s="114">
        <f>4034.1+1921+2497.3</f>
        <v>8452.4000000000015</v>
      </c>
      <c r="U214" s="4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372"/>
      <c r="B215" s="374" t="s">
        <v>165</v>
      </c>
      <c r="C215" s="374"/>
      <c r="D215" s="374"/>
      <c r="E215" s="374"/>
      <c r="F215" s="22"/>
      <c r="G215" s="23" t="s">
        <v>24</v>
      </c>
      <c r="H215" s="119"/>
      <c r="I215" s="25"/>
      <c r="J215" s="25"/>
      <c r="K215" s="26"/>
      <c r="L215" s="27"/>
      <c r="M215" s="26">
        <f t="shared" si="18"/>
        <v>0</v>
      </c>
      <c r="N215" s="26"/>
      <c r="O215" s="31"/>
      <c r="P215" s="99"/>
      <c r="Q215" s="26"/>
      <c r="R215" s="27"/>
      <c r="S215" s="26">
        <f t="shared" si="19"/>
        <v>0</v>
      </c>
      <c r="T215" s="26"/>
      <c r="U215" s="3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373"/>
      <c r="B216" s="375"/>
      <c r="C216" s="375"/>
      <c r="D216" s="375"/>
      <c r="E216" s="375"/>
      <c r="F216" s="220" t="s">
        <v>495</v>
      </c>
      <c r="G216" s="35" t="s">
        <v>25</v>
      </c>
      <c r="H216" s="66">
        <v>2</v>
      </c>
      <c r="I216" s="37">
        <v>1</v>
      </c>
      <c r="J216" s="37">
        <v>1</v>
      </c>
      <c r="K216" s="68">
        <v>2408.4</v>
      </c>
      <c r="L216" s="285">
        <v>1</v>
      </c>
      <c r="M216" s="68">
        <v>2408.4</v>
      </c>
      <c r="N216" s="68">
        <v>2408.4</v>
      </c>
      <c r="O216" s="41"/>
      <c r="P216" s="115">
        <v>2</v>
      </c>
      <c r="Q216" s="68">
        <v>288.14999999999998</v>
      </c>
      <c r="R216" s="285">
        <v>1</v>
      </c>
      <c r="S216" s="68">
        <v>288.14999999999998</v>
      </c>
      <c r="T216" s="68">
        <v>288.14999999999998</v>
      </c>
      <c r="U216" s="4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6"/>
      <c r="B217" s="377" t="s">
        <v>454</v>
      </c>
      <c r="C217" s="377" t="s">
        <v>39</v>
      </c>
      <c r="D217" s="405" t="s">
        <v>455</v>
      </c>
      <c r="E217" s="381" t="s">
        <v>27</v>
      </c>
      <c r="F217" s="204" t="s">
        <v>467</v>
      </c>
      <c r="G217" s="23" t="s">
        <v>24</v>
      </c>
      <c r="H217" s="328">
        <v>8</v>
      </c>
      <c r="I217" s="231">
        <v>7</v>
      </c>
      <c r="J217" s="231">
        <v>7</v>
      </c>
      <c r="K217" s="91">
        <v>8245.5400000000009</v>
      </c>
      <c r="L217" s="330">
        <v>6</v>
      </c>
      <c r="M217" s="26">
        <f t="shared" ref="M217:M233" si="20">N217+O217</f>
        <v>7404.74</v>
      </c>
      <c r="N217" s="91">
        <v>7404.74</v>
      </c>
      <c r="O217" s="331"/>
      <c r="P217" s="329"/>
      <c r="Q217" s="91"/>
      <c r="R217" s="330"/>
      <c r="S217" s="26">
        <f t="shared" ref="S217:S233" si="21">T217+U217</f>
        <v>0</v>
      </c>
      <c r="T217" s="79"/>
      <c r="U217" s="336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3"/>
      <c r="B218" s="375"/>
      <c r="C218" s="375"/>
      <c r="D218" s="406"/>
      <c r="E218" s="375"/>
      <c r="F218" s="220"/>
      <c r="G218" s="345" t="s">
        <v>28</v>
      </c>
      <c r="H218" s="346">
        <v>9</v>
      </c>
      <c r="I218" s="37">
        <v>7</v>
      </c>
      <c r="J218" s="37">
        <v>7</v>
      </c>
      <c r="K218" s="68">
        <v>15554.25</v>
      </c>
      <c r="L218" s="285">
        <v>7</v>
      </c>
      <c r="M218" s="87">
        <f t="shared" si="20"/>
        <v>15554.25</v>
      </c>
      <c r="N218" s="68">
        <v>15554.25</v>
      </c>
      <c r="O218" s="41"/>
      <c r="P218" s="217"/>
      <c r="Q218" s="68"/>
      <c r="R218" s="285"/>
      <c r="S218" s="87">
        <f t="shared" si="21"/>
        <v>0</v>
      </c>
      <c r="T218" s="339"/>
      <c r="U218" s="34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82"/>
      <c r="B219" s="381" t="s">
        <v>166</v>
      </c>
      <c r="C219" s="381" t="s">
        <v>22</v>
      </c>
      <c r="D219" s="377"/>
      <c r="E219" s="381" t="s">
        <v>27</v>
      </c>
      <c r="F219" s="232" t="s">
        <v>420</v>
      </c>
      <c r="G219" s="347" t="s">
        <v>24</v>
      </c>
      <c r="H219" s="348">
        <v>1</v>
      </c>
      <c r="I219" s="96"/>
      <c r="J219" s="96"/>
      <c r="K219" s="81"/>
      <c r="L219" s="80"/>
      <c r="M219" s="81">
        <f t="shared" si="20"/>
        <v>0</v>
      </c>
      <c r="N219" s="81"/>
      <c r="O219" s="82"/>
      <c r="P219" s="78">
        <v>4</v>
      </c>
      <c r="Q219" s="79">
        <v>17868.150000000001</v>
      </c>
      <c r="R219" s="268">
        <v>4</v>
      </c>
      <c r="S219" s="81">
        <f t="shared" si="21"/>
        <v>17868.150000000001</v>
      </c>
      <c r="T219" s="79">
        <v>17868.150000000001</v>
      </c>
      <c r="U219" s="269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73"/>
      <c r="B220" s="375"/>
      <c r="C220" s="375"/>
      <c r="D220" s="375"/>
      <c r="E220" s="375"/>
      <c r="F220" s="226"/>
      <c r="G220" s="227" t="s">
        <v>28</v>
      </c>
      <c r="H220" s="334"/>
      <c r="I220" s="57"/>
      <c r="J220" s="57"/>
      <c r="K220" s="43"/>
      <c r="L220" s="44"/>
      <c r="M220" s="43">
        <f t="shared" si="20"/>
        <v>0</v>
      </c>
      <c r="N220" s="43"/>
      <c r="O220" s="45"/>
      <c r="P220" s="273"/>
      <c r="Q220" s="211"/>
      <c r="R220" s="210"/>
      <c r="S220" s="211">
        <f t="shared" si="21"/>
        <v>0</v>
      </c>
      <c r="T220" s="211"/>
      <c r="U220" s="21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2"/>
      <c r="B221" s="374" t="s">
        <v>167</v>
      </c>
      <c r="C221" s="374" t="s">
        <v>46</v>
      </c>
      <c r="D221" s="374" t="s">
        <v>168</v>
      </c>
      <c r="E221" s="374" t="s">
        <v>27</v>
      </c>
      <c r="F221" s="204" t="s">
        <v>421</v>
      </c>
      <c r="G221" s="176" t="s">
        <v>24</v>
      </c>
      <c r="H221" s="248">
        <v>5</v>
      </c>
      <c r="I221" s="62">
        <v>5</v>
      </c>
      <c r="J221" s="62">
        <v>5</v>
      </c>
      <c r="K221" s="30">
        <v>8424.33</v>
      </c>
      <c r="L221" s="205">
        <v>5</v>
      </c>
      <c r="M221" s="26">
        <f t="shared" si="20"/>
        <v>8424.33</v>
      </c>
      <c r="N221" s="30">
        <v>8424.33</v>
      </c>
      <c r="O221" s="308"/>
      <c r="P221" s="99"/>
      <c r="Q221" s="26"/>
      <c r="R221" s="27"/>
      <c r="S221" s="26">
        <f t="shared" si="21"/>
        <v>0</v>
      </c>
      <c r="T221" s="26"/>
      <c r="U221" s="28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3"/>
      <c r="B222" s="375"/>
      <c r="C222" s="375"/>
      <c r="D222" s="375"/>
      <c r="E222" s="375"/>
      <c r="F222" s="220" t="s">
        <v>247</v>
      </c>
      <c r="G222" s="229" t="s">
        <v>28</v>
      </c>
      <c r="H222" s="258">
        <v>9</v>
      </c>
      <c r="I222" s="37">
        <v>6</v>
      </c>
      <c r="J222" s="37">
        <v>6</v>
      </c>
      <c r="K222" s="68">
        <v>14608.15</v>
      </c>
      <c r="L222" s="285">
        <v>7</v>
      </c>
      <c r="M222" s="39">
        <f t="shared" si="20"/>
        <v>23118.18</v>
      </c>
      <c r="N222" s="68">
        <v>23118.18</v>
      </c>
      <c r="O222" s="309"/>
      <c r="P222" s="310">
        <v>7</v>
      </c>
      <c r="Q222" s="245">
        <v>33570.1</v>
      </c>
      <c r="R222" s="285">
        <v>7</v>
      </c>
      <c r="S222" s="39">
        <f t="shared" si="21"/>
        <v>24543.769999999997</v>
      </c>
      <c r="T222" s="68">
        <f>4034.1+1152.6+2881.5+2497.3+1921+6638.37+5418.9</f>
        <v>24543.769999999997</v>
      </c>
      <c r="U222" s="4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376"/>
      <c r="B223" s="377" t="s">
        <v>169</v>
      </c>
      <c r="C223" s="377" t="s">
        <v>39</v>
      </c>
      <c r="D223" s="377"/>
      <c r="E223" s="377" t="s">
        <v>27</v>
      </c>
      <c r="F223" s="72"/>
      <c r="G223" s="291" t="s">
        <v>24</v>
      </c>
      <c r="H223" s="98"/>
      <c r="I223" s="49"/>
      <c r="J223" s="49"/>
      <c r="K223" s="50"/>
      <c r="L223" s="51"/>
      <c r="M223" s="50">
        <f t="shared" si="20"/>
        <v>0</v>
      </c>
      <c r="N223" s="50"/>
      <c r="O223" s="31"/>
      <c r="P223" s="277"/>
      <c r="Q223" s="81"/>
      <c r="R223" s="80"/>
      <c r="S223" s="81">
        <f t="shared" si="21"/>
        <v>0</v>
      </c>
      <c r="T223" s="81"/>
      <c r="U223" s="219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3"/>
      <c r="B224" s="375"/>
      <c r="C224" s="375"/>
      <c r="D224" s="375"/>
      <c r="E224" s="375"/>
      <c r="F224" s="220" t="s">
        <v>336</v>
      </c>
      <c r="G224" s="229" t="s">
        <v>28</v>
      </c>
      <c r="H224" s="153">
        <v>5</v>
      </c>
      <c r="I224" s="130">
        <v>3</v>
      </c>
      <c r="J224" s="130">
        <v>3</v>
      </c>
      <c r="K224" s="114">
        <v>3873.1</v>
      </c>
      <c r="L224" s="270">
        <v>1</v>
      </c>
      <c r="M224" s="43">
        <f t="shared" si="20"/>
        <v>1404.9</v>
      </c>
      <c r="N224" s="43">
        <f>1404.9</f>
        <v>1404.9</v>
      </c>
      <c r="O224" s="41"/>
      <c r="P224" s="113">
        <v>1</v>
      </c>
      <c r="Q224" s="114">
        <v>3842</v>
      </c>
      <c r="R224" s="316">
        <v>1</v>
      </c>
      <c r="S224" s="50">
        <f t="shared" si="21"/>
        <v>3842</v>
      </c>
      <c r="T224" s="43">
        <f>3842</f>
        <v>3842</v>
      </c>
      <c r="U224" s="41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2"/>
      <c r="B225" s="374" t="s">
        <v>170</v>
      </c>
      <c r="C225" s="374" t="s">
        <v>22</v>
      </c>
      <c r="D225" s="374"/>
      <c r="E225" s="374" t="s">
        <v>160</v>
      </c>
      <c r="F225" s="232" t="s">
        <v>248</v>
      </c>
      <c r="G225" s="23" t="s">
        <v>24</v>
      </c>
      <c r="H225" s="48">
        <v>33</v>
      </c>
      <c r="I225" s="62">
        <v>32</v>
      </c>
      <c r="J225" s="62">
        <v>48</v>
      </c>
      <c r="K225" s="30">
        <v>100531.98</v>
      </c>
      <c r="L225" s="205">
        <v>47</v>
      </c>
      <c r="M225" s="26">
        <f t="shared" si="20"/>
        <v>99025.06</v>
      </c>
      <c r="N225" s="30">
        <v>99025.06</v>
      </c>
      <c r="O225" s="225"/>
      <c r="P225" s="53">
        <v>26</v>
      </c>
      <c r="Q225" s="30">
        <v>78293.990000000005</v>
      </c>
      <c r="R225" s="205">
        <v>25</v>
      </c>
      <c r="S225" s="26">
        <f t="shared" si="21"/>
        <v>74173.19</v>
      </c>
      <c r="T225" s="30">
        <v>74173.19</v>
      </c>
      <c r="U225" s="225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73"/>
      <c r="B226" s="375"/>
      <c r="C226" s="375"/>
      <c r="D226" s="375"/>
      <c r="E226" s="375"/>
      <c r="F226" s="105"/>
      <c r="G226" s="35" t="s">
        <v>28</v>
      </c>
      <c r="H226" s="116"/>
      <c r="I226" s="38"/>
      <c r="J226" s="38"/>
      <c r="K226" s="39"/>
      <c r="L226" s="40"/>
      <c r="M226" s="39">
        <f t="shared" si="20"/>
        <v>0</v>
      </c>
      <c r="N226" s="39"/>
      <c r="O226" s="41"/>
      <c r="P226" s="59"/>
      <c r="Q226" s="39"/>
      <c r="R226" s="40"/>
      <c r="S226" s="39">
        <f t="shared" si="21"/>
        <v>0</v>
      </c>
      <c r="T226" s="39"/>
      <c r="U226" s="4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2"/>
      <c r="B227" s="374" t="s">
        <v>171</v>
      </c>
      <c r="C227" s="374" t="s">
        <v>39</v>
      </c>
      <c r="D227" s="374" t="s">
        <v>374</v>
      </c>
      <c r="E227" s="374" t="s">
        <v>27</v>
      </c>
      <c r="F227" s="223" t="s">
        <v>375</v>
      </c>
      <c r="G227" s="176" t="s">
        <v>24</v>
      </c>
      <c r="H227" s="48">
        <v>6</v>
      </c>
      <c r="I227" s="203">
        <v>3</v>
      </c>
      <c r="J227" s="203">
        <v>3</v>
      </c>
      <c r="K227" s="65">
        <v>6059.73</v>
      </c>
      <c r="L227" s="224">
        <v>3</v>
      </c>
      <c r="M227" s="50">
        <f t="shared" si="20"/>
        <v>6059.73</v>
      </c>
      <c r="N227" s="65">
        <v>6059.73</v>
      </c>
      <c r="O227" s="31"/>
      <c r="P227" s="108">
        <v>7</v>
      </c>
      <c r="Q227" s="65">
        <v>19784.07</v>
      </c>
      <c r="R227" s="224">
        <v>7</v>
      </c>
      <c r="S227" s="50">
        <f t="shared" si="21"/>
        <v>19784.07</v>
      </c>
      <c r="T227" s="65">
        <v>19784.07</v>
      </c>
      <c r="U227" s="31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3"/>
      <c r="B228" s="375"/>
      <c r="C228" s="375"/>
      <c r="D228" s="375"/>
      <c r="E228" s="375"/>
      <c r="F228" s="220" t="s">
        <v>337</v>
      </c>
      <c r="G228" s="229" t="s">
        <v>28</v>
      </c>
      <c r="H228" s="133">
        <v>5</v>
      </c>
      <c r="I228" s="37">
        <v>3</v>
      </c>
      <c r="J228" s="37">
        <v>3</v>
      </c>
      <c r="K228" s="68">
        <v>5980.2</v>
      </c>
      <c r="L228" s="350">
        <v>3</v>
      </c>
      <c r="M228" s="351">
        <f t="shared" si="20"/>
        <v>5980.2</v>
      </c>
      <c r="N228" s="68">
        <v>5980.2</v>
      </c>
      <c r="O228" s="41"/>
      <c r="P228" s="115">
        <v>3</v>
      </c>
      <c r="Q228" s="68">
        <v>12518</v>
      </c>
      <c r="R228" s="285">
        <v>3</v>
      </c>
      <c r="S228" s="39">
        <f t="shared" si="21"/>
        <v>12518</v>
      </c>
      <c r="T228" s="39">
        <f>3073.6+4226.2+5218.2</f>
        <v>12518</v>
      </c>
      <c r="U228" s="4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2"/>
      <c r="B229" s="374" t="s">
        <v>477</v>
      </c>
      <c r="C229" s="374"/>
      <c r="D229" s="374"/>
      <c r="E229" s="374"/>
      <c r="F229" s="232"/>
      <c r="G229" s="176" t="s">
        <v>24</v>
      </c>
      <c r="H229" s="260"/>
      <c r="I229" s="231"/>
      <c r="J229" s="231"/>
      <c r="K229" s="91"/>
      <c r="L229" s="330"/>
      <c r="M229" s="50">
        <f t="shared" si="20"/>
        <v>0</v>
      </c>
      <c r="N229" s="91"/>
      <c r="O229" s="331"/>
      <c r="P229" s="329"/>
      <c r="Q229" s="91"/>
      <c r="R229" s="330"/>
      <c r="S229" s="142">
        <f t="shared" si="21"/>
        <v>0</v>
      </c>
      <c r="T229" s="91"/>
      <c r="U229" s="33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3"/>
      <c r="B230" s="375"/>
      <c r="C230" s="375"/>
      <c r="D230" s="375"/>
      <c r="E230" s="375"/>
      <c r="F230" s="305"/>
      <c r="G230" s="229" t="s">
        <v>28</v>
      </c>
      <c r="H230" s="117">
        <v>1</v>
      </c>
      <c r="I230" s="208"/>
      <c r="J230" s="208"/>
      <c r="K230" s="209"/>
      <c r="L230" s="290"/>
      <c r="M230" s="87">
        <f t="shared" si="20"/>
        <v>0</v>
      </c>
      <c r="N230" s="209"/>
      <c r="O230" s="234"/>
      <c r="P230" s="262"/>
      <c r="Q230" s="209"/>
      <c r="R230" s="290"/>
      <c r="S230" s="87">
        <f t="shared" si="21"/>
        <v>0</v>
      </c>
      <c r="T230" s="209"/>
      <c r="U230" s="263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2"/>
      <c r="B231" s="374" t="s">
        <v>172</v>
      </c>
      <c r="C231" s="374" t="s">
        <v>39</v>
      </c>
      <c r="D231" s="374" t="s">
        <v>303</v>
      </c>
      <c r="E231" s="374" t="s">
        <v>121</v>
      </c>
      <c r="F231" s="204" t="s">
        <v>304</v>
      </c>
      <c r="G231" s="176" t="s">
        <v>24</v>
      </c>
      <c r="H231" s="265">
        <v>49</v>
      </c>
      <c r="I231" s="62">
        <v>32</v>
      </c>
      <c r="J231" s="62">
        <v>34</v>
      </c>
      <c r="K231" s="30">
        <v>38790.29</v>
      </c>
      <c r="L231" s="205">
        <v>34</v>
      </c>
      <c r="M231" s="26">
        <f t="shared" si="20"/>
        <v>38790.29</v>
      </c>
      <c r="N231" s="30">
        <v>38790.29</v>
      </c>
      <c r="O231" s="269"/>
      <c r="P231" s="53">
        <v>34</v>
      </c>
      <c r="Q231" s="30">
        <v>98961.54</v>
      </c>
      <c r="R231" s="205">
        <v>33</v>
      </c>
      <c r="S231" s="26">
        <f t="shared" si="21"/>
        <v>98961.54</v>
      </c>
      <c r="T231" s="30">
        <v>98961.54</v>
      </c>
      <c r="U231" s="2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73"/>
      <c r="B232" s="375"/>
      <c r="C232" s="375"/>
      <c r="D232" s="375"/>
      <c r="E232" s="375"/>
      <c r="F232" s="220" t="s">
        <v>496</v>
      </c>
      <c r="G232" s="229" t="s">
        <v>25</v>
      </c>
      <c r="H232" s="102"/>
      <c r="I232" s="57"/>
      <c r="J232" s="57"/>
      <c r="K232" s="43"/>
      <c r="L232" s="44"/>
      <c r="M232" s="43">
        <f t="shared" si="20"/>
        <v>0</v>
      </c>
      <c r="N232" s="43"/>
      <c r="O232" s="41"/>
      <c r="P232" s="113">
        <v>1</v>
      </c>
      <c r="Q232" s="114">
        <v>1728.9</v>
      </c>
      <c r="R232" s="270">
        <v>1</v>
      </c>
      <c r="S232" s="43">
        <f t="shared" si="21"/>
        <v>1728.9</v>
      </c>
      <c r="T232" s="114">
        <v>1728.9</v>
      </c>
      <c r="U232" s="23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2"/>
      <c r="B233" s="374" t="s">
        <v>173</v>
      </c>
      <c r="C233" s="374" t="s">
        <v>39</v>
      </c>
      <c r="D233" s="374" t="s">
        <v>338</v>
      </c>
      <c r="E233" s="374" t="s">
        <v>121</v>
      </c>
      <c r="F233" s="232" t="s">
        <v>376</v>
      </c>
      <c r="G233" s="23" t="s">
        <v>24</v>
      </c>
      <c r="H233" s="61">
        <v>65</v>
      </c>
      <c r="I233" s="62">
        <v>38</v>
      </c>
      <c r="J233" s="62">
        <v>38</v>
      </c>
      <c r="K233" s="30">
        <v>49690.33</v>
      </c>
      <c r="L233" s="205">
        <v>38</v>
      </c>
      <c r="M233" s="26">
        <f t="shared" si="20"/>
        <v>49690.33</v>
      </c>
      <c r="N233" s="30">
        <v>49690.33</v>
      </c>
      <c r="O233" s="225"/>
      <c r="P233" s="53">
        <v>9</v>
      </c>
      <c r="Q233" s="30">
        <v>5292.88</v>
      </c>
      <c r="R233" s="205">
        <v>6</v>
      </c>
      <c r="S233" s="26">
        <f t="shared" si="21"/>
        <v>5292.88</v>
      </c>
      <c r="T233" s="30">
        <v>5292.88</v>
      </c>
      <c r="U233" s="225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3"/>
      <c r="B234" s="375"/>
      <c r="C234" s="375"/>
      <c r="D234" s="375"/>
      <c r="E234" s="375"/>
      <c r="F234" s="220" t="s">
        <v>339</v>
      </c>
      <c r="G234" s="35" t="s">
        <v>25</v>
      </c>
      <c r="H234" s="117">
        <v>18</v>
      </c>
      <c r="I234" s="37">
        <v>9</v>
      </c>
      <c r="J234" s="37">
        <v>9</v>
      </c>
      <c r="K234" s="68">
        <v>14137.16</v>
      </c>
      <c r="L234" s="285">
        <v>9</v>
      </c>
      <c r="M234" s="68">
        <v>14137.16</v>
      </c>
      <c r="N234" s="68">
        <v>14137.16</v>
      </c>
      <c r="O234" s="234"/>
      <c r="P234" s="115">
        <v>4</v>
      </c>
      <c r="Q234" s="68">
        <v>14877.15</v>
      </c>
      <c r="R234" s="285">
        <v>4</v>
      </c>
      <c r="S234" s="68">
        <v>14877.15</v>
      </c>
      <c r="T234" s="68">
        <v>14877.15</v>
      </c>
      <c r="U234" s="23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2"/>
      <c r="B235" s="374" t="s">
        <v>174</v>
      </c>
      <c r="C235" s="374" t="s">
        <v>39</v>
      </c>
      <c r="D235" s="374" t="s">
        <v>175</v>
      </c>
      <c r="E235" s="374" t="s">
        <v>176</v>
      </c>
      <c r="F235" s="204" t="s">
        <v>377</v>
      </c>
      <c r="G235" s="176" t="s">
        <v>24</v>
      </c>
      <c r="H235" s="48">
        <v>30</v>
      </c>
      <c r="I235" s="203">
        <v>24</v>
      </c>
      <c r="J235" s="203">
        <v>32</v>
      </c>
      <c r="K235" s="65">
        <v>66506</v>
      </c>
      <c r="L235" s="224">
        <v>32</v>
      </c>
      <c r="M235" s="50">
        <f>N235+O235</f>
        <v>66506</v>
      </c>
      <c r="N235" s="65">
        <v>66506</v>
      </c>
      <c r="O235" s="225"/>
      <c r="P235" s="108">
        <v>22</v>
      </c>
      <c r="Q235" s="65">
        <v>80070.350000000006</v>
      </c>
      <c r="R235" s="224">
        <v>22</v>
      </c>
      <c r="S235" s="50">
        <f>T235+U235</f>
        <v>80070.350000000006</v>
      </c>
      <c r="T235" s="65">
        <v>80070.350000000006</v>
      </c>
      <c r="U235" s="225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73"/>
      <c r="B236" s="375"/>
      <c r="C236" s="375"/>
      <c r="D236" s="375"/>
      <c r="E236" s="375"/>
      <c r="F236" s="220" t="s">
        <v>340</v>
      </c>
      <c r="G236" s="229" t="s">
        <v>25</v>
      </c>
      <c r="H236" s="153">
        <v>3</v>
      </c>
      <c r="I236" s="130">
        <v>2</v>
      </c>
      <c r="J236" s="130">
        <v>2</v>
      </c>
      <c r="K236" s="114">
        <v>11239.2</v>
      </c>
      <c r="L236" s="270">
        <v>2</v>
      </c>
      <c r="M236" s="114">
        <v>11239.2</v>
      </c>
      <c r="N236" s="114">
        <v>11239.2</v>
      </c>
      <c r="O236" s="41"/>
      <c r="P236" s="113">
        <v>12</v>
      </c>
      <c r="Q236" s="114">
        <v>58553.66</v>
      </c>
      <c r="R236" s="270">
        <v>12</v>
      </c>
      <c r="S236" s="114">
        <v>58553.66</v>
      </c>
      <c r="T236" s="114">
        <v>58553.66</v>
      </c>
      <c r="U236" s="23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2"/>
      <c r="B237" s="374" t="s">
        <v>177</v>
      </c>
      <c r="C237" s="377" t="s">
        <v>39</v>
      </c>
      <c r="D237" s="374" t="s">
        <v>226</v>
      </c>
      <c r="E237" s="374" t="s">
        <v>27</v>
      </c>
      <c r="F237" s="204" t="s">
        <v>227</v>
      </c>
      <c r="G237" s="23" t="s">
        <v>24</v>
      </c>
      <c r="H237" s="48">
        <v>16</v>
      </c>
      <c r="I237" s="62">
        <v>12</v>
      </c>
      <c r="J237" s="62">
        <v>13</v>
      </c>
      <c r="K237" s="30">
        <v>17960.009999999998</v>
      </c>
      <c r="L237" s="205">
        <v>13</v>
      </c>
      <c r="M237" s="26">
        <f t="shared" ref="M237:M263" si="22">N237+O237</f>
        <v>17960.009999999998</v>
      </c>
      <c r="N237" s="30">
        <v>17960.009999999998</v>
      </c>
      <c r="O237" s="225"/>
      <c r="P237" s="53">
        <v>17</v>
      </c>
      <c r="Q237" s="30">
        <v>65146.03</v>
      </c>
      <c r="R237" s="205">
        <v>17</v>
      </c>
      <c r="S237" s="26">
        <f t="shared" ref="S237:S263" si="23">T237+U237</f>
        <v>65146.03</v>
      </c>
      <c r="T237" s="30">
        <v>65146.03</v>
      </c>
      <c r="U237" s="225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3"/>
      <c r="B238" s="375"/>
      <c r="C238" s="380"/>
      <c r="D238" s="375"/>
      <c r="E238" s="375"/>
      <c r="F238" s="105"/>
      <c r="G238" s="55" t="s">
        <v>28</v>
      </c>
      <c r="H238" s="118"/>
      <c r="I238" s="57"/>
      <c r="J238" s="57"/>
      <c r="K238" s="43"/>
      <c r="L238" s="44"/>
      <c r="M238" s="43">
        <f t="shared" si="22"/>
        <v>0</v>
      </c>
      <c r="N238" s="43"/>
      <c r="O238" s="41"/>
      <c r="P238" s="103"/>
      <c r="Q238" s="43"/>
      <c r="R238" s="44"/>
      <c r="S238" s="43">
        <f t="shared" si="23"/>
        <v>0</v>
      </c>
      <c r="T238" s="43"/>
      <c r="U238" s="4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2"/>
      <c r="B239" s="374" t="s">
        <v>178</v>
      </c>
      <c r="C239" s="374" t="s">
        <v>22</v>
      </c>
      <c r="D239" s="374"/>
      <c r="E239" s="374" t="s">
        <v>27</v>
      </c>
      <c r="F239" s="232" t="s">
        <v>452</v>
      </c>
      <c r="G239" s="176" t="s">
        <v>24</v>
      </c>
      <c r="H239" s="61">
        <v>9</v>
      </c>
      <c r="I239" s="62">
        <v>9</v>
      </c>
      <c r="J239" s="62">
        <v>12</v>
      </c>
      <c r="K239" s="30">
        <v>16560.84</v>
      </c>
      <c r="L239" s="205">
        <v>12</v>
      </c>
      <c r="M239" s="26">
        <f t="shared" si="22"/>
        <v>16560.84</v>
      </c>
      <c r="N239" s="30">
        <v>16560.84</v>
      </c>
      <c r="O239" s="225"/>
      <c r="P239" s="29">
        <v>2</v>
      </c>
      <c r="Q239" s="30">
        <v>6805.63</v>
      </c>
      <c r="R239" s="205">
        <v>2</v>
      </c>
      <c r="S239" s="26">
        <f t="shared" si="23"/>
        <v>6805.63</v>
      </c>
      <c r="T239" s="30">
        <v>6805.63</v>
      </c>
      <c r="U239" s="225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73"/>
      <c r="B240" s="375"/>
      <c r="C240" s="375"/>
      <c r="D240" s="375"/>
      <c r="E240" s="375"/>
      <c r="F240" s="105"/>
      <c r="G240" s="252" t="s">
        <v>28</v>
      </c>
      <c r="H240" s="106"/>
      <c r="I240" s="38"/>
      <c r="J240" s="38"/>
      <c r="K240" s="39"/>
      <c r="L240" s="40"/>
      <c r="M240" s="39">
        <f t="shared" si="22"/>
        <v>0</v>
      </c>
      <c r="N240" s="39"/>
      <c r="O240" s="41"/>
      <c r="P240" s="69"/>
      <c r="Q240" s="39"/>
      <c r="R240" s="40"/>
      <c r="S240" s="39">
        <f t="shared" si="23"/>
        <v>0</v>
      </c>
      <c r="T240" s="39"/>
      <c r="U240" s="4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2"/>
      <c r="B241" s="374" t="s">
        <v>445</v>
      </c>
      <c r="C241" s="374"/>
      <c r="D241" s="374"/>
      <c r="E241" s="374" t="s">
        <v>484</v>
      </c>
      <c r="F241" s="72"/>
      <c r="G241" s="176" t="s">
        <v>24</v>
      </c>
      <c r="H241" s="265"/>
      <c r="I241" s="266"/>
      <c r="J241" s="96"/>
      <c r="K241" s="81"/>
      <c r="L241" s="80"/>
      <c r="M241" s="142">
        <f t="shared" si="22"/>
        <v>0</v>
      </c>
      <c r="N241" s="81"/>
      <c r="O241" s="82"/>
      <c r="P241" s="295"/>
      <c r="Q241" s="81"/>
      <c r="R241" s="80"/>
      <c r="S241" s="142">
        <f t="shared" si="23"/>
        <v>0</v>
      </c>
      <c r="T241" s="81"/>
      <c r="U241" s="8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3"/>
      <c r="B242" s="375"/>
      <c r="C242" s="375"/>
      <c r="D242" s="375"/>
      <c r="E242" s="375"/>
      <c r="F242" s="226"/>
      <c r="G242" s="252" t="s">
        <v>28</v>
      </c>
      <c r="H242" s="302">
        <v>1</v>
      </c>
      <c r="I242" s="261"/>
      <c r="J242" s="261"/>
      <c r="K242" s="211"/>
      <c r="L242" s="210"/>
      <c r="M242" s="39">
        <f t="shared" si="22"/>
        <v>0</v>
      </c>
      <c r="N242" s="211"/>
      <c r="O242" s="212"/>
      <c r="P242" s="284"/>
      <c r="Q242" s="211"/>
      <c r="R242" s="210"/>
      <c r="S242" s="39">
        <f t="shared" si="23"/>
        <v>0</v>
      </c>
      <c r="T242" s="211"/>
      <c r="U242" s="21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2"/>
      <c r="B243" s="374" t="s">
        <v>179</v>
      </c>
      <c r="C243" s="374" t="s">
        <v>471</v>
      </c>
      <c r="D243" s="374" t="s">
        <v>472</v>
      </c>
      <c r="E243" s="374" t="s">
        <v>27</v>
      </c>
      <c r="F243" s="204" t="s">
        <v>473</v>
      </c>
      <c r="G243" s="176" t="s">
        <v>24</v>
      </c>
      <c r="H243" s="61">
        <v>2</v>
      </c>
      <c r="I243" s="25"/>
      <c r="J243" s="25"/>
      <c r="K243" s="26"/>
      <c r="L243" s="27"/>
      <c r="M243" s="26">
        <f t="shared" si="22"/>
        <v>0</v>
      </c>
      <c r="N243" s="26"/>
      <c r="O243" s="28"/>
      <c r="P243" s="29">
        <v>4</v>
      </c>
      <c r="Q243" s="30">
        <v>0</v>
      </c>
      <c r="R243" s="27"/>
      <c r="S243" s="26">
        <f t="shared" si="23"/>
        <v>0</v>
      </c>
      <c r="T243" s="26"/>
      <c r="U243" s="28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3"/>
      <c r="B244" s="375"/>
      <c r="C244" s="375"/>
      <c r="D244" s="375"/>
      <c r="E244" s="375"/>
      <c r="F244" s="105"/>
      <c r="G244" s="229" t="s">
        <v>28</v>
      </c>
      <c r="H244" s="298"/>
      <c r="I244" s="261"/>
      <c r="J244" s="261"/>
      <c r="K244" s="211"/>
      <c r="L244" s="210"/>
      <c r="M244" s="211">
        <f t="shared" si="22"/>
        <v>0</v>
      </c>
      <c r="N244" s="211"/>
      <c r="O244" s="212"/>
      <c r="P244" s="284"/>
      <c r="Q244" s="211"/>
      <c r="R244" s="210"/>
      <c r="S244" s="211">
        <f t="shared" si="23"/>
        <v>0</v>
      </c>
      <c r="T244" s="211"/>
      <c r="U244" s="21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2"/>
      <c r="B245" s="374" t="s">
        <v>378</v>
      </c>
      <c r="C245" s="374" t="s">
        <v>46</v>
      </c>
      <c r="D245" s="374" t="s">
        <v>422</v>
      </c>
      <c r="E245" s="374" t="s">
        <v>27</v>
      </c>
      <c r="F245" s="232" t="s">
        <v>423</v>
      </c>
      <c r="G245" s="213" t="s">
        <v>24</v>
      </c>
      <c r="H245" s="61">
        <v>29</v>
      </c>
      <c r="I245" s="62">
        <v>20</v>
      </c>
      <c r="J245" s="62">
        <v>24</v>
      </c>
      <c r="K245" s="30">
        <v>47095.13</v>
      </c>
      <c r="L245" s="205">
        <v>24</v>
      </c>
      <c r="M245" s="26">
        <f t="shared" si="22"/>
        <v>47095.13</v>
      </c>
      <c r="N245" s="30">
        <v>47095.13</v>
      </c>
      <c r="O245" s="241"/>
      <c r="P245" s="214"/>
      <c r="Q245" s="30"/>
      <c r="R245" s="205"/>
      <c r="S245" s="26">
        <f t="shared" si="23"/>
        <v>0</v>
      </c>
      <c r="T245" s="30"/>
      <c r="U245" s="2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73"/>
      <c r="B246" s="375"/>
      <c r="C246" s="375"/>
      <c r="D246" s="375"/>
      <c r="E246" s="375"/>
      <c r="F246" s="220"/>
      <c r="G246" s="215" t="s">
        <v>28</v>
      </c>
      <c r="H246" s="117">
        <v>7</v>
      </c>
      <c r="I246" s="37">
        <v>1</v>
      </c>
      <c r="J246" s="37">
        <v>1</v>
      </c>
      <c r="K246" s="68">
        <v>1152.5999999999999</v>
      </c>
      <c r="L246" s="285">
        <v>1</v>
      </c>
      <c r="M246" s="39">
        <f t="shared" si="22"/>
        <v>1152.5999999999999</v>
      </c>
      <c r="N246" s="39">
        <f>1152.6</f>
        <v>1152.5999999999999</v>
      </c>
      <c r="O246" s="41"/>
      <c r="P246" s="217"/>
      <c r="Q246" s="68"/>
      <c r="R246" s="285"/>
      <c r="S246" s="39">
        <f t="shared" si="23"/>
        <v>0</v>
      </c>
      <c r="T246" s="68"/>
      <c r="U246" s="23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6"/>
      <c r="B247" s="377" t="s">
        <v>180</v>
      </c>
      <c r="C247" s="377" t="s">
        <v>46</v>
      </c>
      <c r="D247" s="377" t="s">
        <v>181</v>
      </c>
      <c r="E247" s="377" t="s">
        <v>27</v>
      </c>
      <c r="F247" s="232" t="s">
        <v>228</v>
      </c>
      <c r="G247" s="95" t="s">
        <v>24</v>
      </c>
      <c r="H247" s="265">
        <v>20</v>
      </c>
      <c r="I247" s="266">
        <v>13</v>
      </c>
      <c r="J247" s="266">
        <v>14</v>
      </c>
      <c r="K247" s="79">
        <v>27921.57</v>
      </c>
      <c r="L247" s="268">
        <v>14</v>
      </c>
      <c r="M247" s="81">
        <f t="shared" si="22"/>
        <v>27921.57</v>
      </c>
      <c r="N247" s="79">
        <v>27921.57</v>
      </c>
      <c r="O247" s="269"/>
      <c r="P247" s="267">
        <v>17</v>
      </c>
      <c r="Q247" s="79">
        <v>74693.53</v>
      </c>
      <c r="R247" s="268">
        <v>17</v>
      </c>
      <c r="S247" s="26">
        <f t="shared" si="23"/>
        <v>74693.53</v>
      </c>
      <c r="T247" s="79">
        <v>74693.53</v>
      </c>
      <c r="U247" s="269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9"/>
      <c r="B248" s="380"/>
      <c r="C248" s="380"/>
      <c r="D248" s="380"/>
      <c r="E248" s="380"/>
      <c r="F248" s="54"/>
      <c r="G248" s="55" t="s">
        <v>28</v>
      </c>
      <c r="H248" s="116"/>
      <c r="I248" s="57"/>
      <c r="J248" s="57"/>
      <c r="K248" s="43"/>
      <c r="L248" s="128"/>
      <c r="M248" s="50">
        <f t="shared" si="22"/>
        <v>0</v>
      </c>
      <c r="N248" s="43"/>
      <c r="O248" s="41"/>
      <c r="P248" s="113">
        <v>3</v>
      </c>
      <c r="Q248" s="114">
        <v>15175.95</v>
      </c>
      <c r="R248" s="270">
        <v>2</v>
      </c>
      <c r="S248" s="43">
        <f t="shared" si="23"/>
        <v>2881.5499999999997</v>
      </c>
      <c r="T248" s="114">
        <f>2209.2+672.35</f>
        <v>2881.5499999999997</v>
      </c>
      <c r="U248" s="45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6.5" customHeight="1">
      <c r="A249" s="372"/>
      <c r="B249" s="374" t="s">
        <v>182</v>
      </c>
      <c r="C249" s="374" t="s">
        <v>46</v>
      </c>
      <c r="D249" s="374" t="s">
        <v>181</v>
      </c>
      <c r="E249" s="374" t="s">
        <v>27</v>
      </c>
      <c r="F249" s="204" t="s">
        <v>379</v>
      </c>
      <c r="G249" s="23" t="s">
        <v>24</v>
      </c>
      <c r="H249" s="48">
        <v>20</v>
      </c>
      <c r="I249" s="62">
        <v>19</v>
      </c>
      <c r="J249" s="62">
        <v>21</v>
      </c>
      <c r="K249" s="30">
        <v>30857.77</v>
      </c>
      <c r="L249" s="205">
        <v>21</v>
      </c>
      <c r="M249" s="26">
        <f t="shared" si="22"/>
        <v>30857.77</v>
      </c>
      <c r="N249" s="30">
        <v>30857.77</v>
      </c>
      <c r="O249" s="31"/>
      <c r="P249" s="53">
        <v>13</v>
      </c>
      <c r="Q249" s="30">
        <v>80512.5</v>
      </c>
      <c r="R249" s="205">
        <v>13</v>
      </c>
      <c r="S249" s="26">
        <f t="shared" si="23"/>
        <v>80512.5</v>
      </c>
      <c r="T249" s="30">
        <v>80512.5</v>
      </c>
      <c r="U249" s="100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6.5" customHeight="1">
      <c r="A250" s="373"/>
      <c r="B250" s="375"/>
      <c r="C250" s="375"/>
      <c r="D250" s="375"/>
      <c r="E250" s="375"/>
      <c r="F250" s="34"/>
      <c r="G250" s="35" t="s">
        <v>28</v>
      </c>
      <c r="H250" s="116"/>
      <c r="I250" s="38"/>
      <c r="J250" s="38"/>
      <c r="K250" s="39"/>
      <c r="L250" s="40"/>
      <c r="M250" s="39">
        <f t="shared" si="22"/>
        <v>0</v>
      </c>
      <c r="N250" s="39"/>
      <c r="O250" s="41"/>
      <c r="P250" s="115">
        <v>2</v>
      </c>
      <c r="Q250" s="68">
        <v>4418.3</v>
      </c>
      <c r="R250" s="285">
        <v>2</v>
      </c>
      <c r="S250" s="39">
        <f t="shared" si="23"/>
        <v>4418.3</v>
      </c>
      <c r="T250" s="39">
        <f>3073.6+1344.7</f>
        <v>4418.3</v>
      </c>
      <c r="U250" s="4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6.5" customHeight="1">
      <c r="A251" s="70"/>
      <c r="B251" s="377" t="s">
        <v>480</v>
      </c>
      <c r="C251" s="377" t="s">
        <v>39</v>
      </c>
      <c r="D251" s="377" t="s">
        <v>481</v>
      </c>
      <c r="E251" s="377"/>
      <c r="F251" s="232"/>
      <c r="G251" s="23" t="s">
        <v>24</v>
      </c>
      <c r="H251" s="48"/>
      <c r="I251" s="266"/>
      <c r="J251" s="266"/>
      <c r="K251" s="79"/>
      <c r="L251" s="268"/>
      <c r="M251" s="142">
        <f t="shared" si="22"/>
        <v>0</v>
      </c>
      <c r="N251" s="79"/>
      <c r="O251" s="82"/>
      <c r="P251" s="267"/>
      <c r="Q251" s="79"/>
      <c r="R251" s="268"/>
      <c r="S251" s="142">
        <f t="shared" si="23"/>
        <v>0</v>
      </c>
      <c r="T251" s="79"/>
      <c r="U251" s="336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6.5" customHeight="1">
      <c r="A252" s="355"/>
      <c r="B252" s="375"/>
      <c r="C252" s="375"/>
      <c r="D252" s="375"/>
      <c r="E252" s="375"/>
      <c r="F252" s="356"/>
      <c r="G252" s="35" t="s">
        <v>28</v>
      </c>
      <c r="H252" s="353">
        <v>8</v>
      </c>
      <c r="I252" s="338">
        <v>1</v>
      </c>
      <c r="J252" s="338">
        <v>1</v>
      </c>
      <c r="K252" s="339">
        <v>1324.62</v>
      </c>
      <c r="L252" s="340">
        <v>1</v>
      </c>
      <c r="M252" s="39">
        <f t="shared" si="22"/>
        <v>1324.62</v>
      </c>
      <c r="N252" s="339">
        <v>1324.62</v>
      </c>
      <c r="O252" s="89"/>
      <c r="P252" s="357"/>
      <c r="Q252" s="339"/>
      <c r="R252" s="340"/>
      <c r="S252" s="39">
        <f t="shared" si="23"/>
        <v>0</v>
      </c>
      <c r="T252" s="339"/>
      <c r="U252" s="342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6.5" customHeight="1">
      <c r="A253" s="376"/>
      <c r="B253" s="377" t="s">
        <v>183</v>
      </c>
      <c r="C253" s="377" t="s">
        <v>22</v>
      </c>
      <c r="D253" s="377"/>
      <c r="E253" s="377" t="s">
        <v>99</v>
      </c>
      <c r="F253" s="232" t="s">
        <v>380</v>
      </c>
      <c r="G253" s="23" t="s">
        <v>24</v>
      </c>
      <c r="H253" s="265">
        <v>20</v>
      </c>
      <c r="I253" s="266">
        <v>14</v>
      </c>
      <c r="J253" s="266">
        <v>21</v>
      </c>
      <c r="K253" s="79">
        <v>27647.42</v>
      </c>
      <c r="L253" s="268">
        <v>21</v>
      </c>
      <c r="M253" s="81">
        <f t="shared" si="22"/>
        <v>27647.42</v>
      </c>
      <c r="N253" s="79">
        <v>27647.42</v>
      </c>
      <c r="O253" s="269"/>
      <c r="P253" s="267">
        <v>15</v>
      </c>
      <c r="Q253" s="79">
        <v>54881.4</v>
      </c>
      <c r="R253" s="268">
        <v>15</v>
      </c>
      <c r="S253" s="81">
        <f t="shared" si="23"/>
        <v>54881.4</v>
      </c>
      <c r="T253" s="79">
        <v>54881.4</v>
      </c>
      <c r="U253" s="269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6.5" customHeight="1">
      <c r="A254" s="379"/>
      <c r="B254" s="380"/>
      <c r="C254" s="380"/>
      <c r="D254" s="380"/>
      <c r="E254" s="380"/>
      <c r="F254" s="233" t="s">
        <v>252</v>
      </c>
      <c r="G254" s="227" t="s">
        <v>28</v>
      </c>
      <c r="H254" s="292">
        <v>12</v>
      </c>
      <c r="I254" s="208">
        <v>8</v>
      </c>
      <c r="J254" s="208">
        <v>8</v>
      </c>
      <c r="K254" s="209">
        <v>19683</v>
      </c>
      <c r="L254" s="290">
        <v>10</v>
      </c>
      <c r="M254" s="211">
        <f t="shared" si="22"/>
        <v>19773.849999999999</v>
      </c>
      <c r="N254" s="209">
        <v>19773.849999999999</v>
      </c>
      <c r="O254" s="212"/>
      <c r="P254" s="262">
        <v>4</v>
      </c>
      <c r="Q254" s="209">
        <v>25850.2</v>
      </c>
      <c r="R254" s="290">
        <v>4</v>
      </c>
      <c r="S254" s="211">
        <f t="shared" si="23"/>
        <v>24043.9</v>
      </c>
      <c r="T254" s="209">
        <v>24043.9</v>
      </c>
      <c r="U254" s="212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6.5" customHeight="1">
      <c r="A255" s="372"/>
      <c r="B255" s="374" t="s">
        <v>425</v>
      </c>
      <c r="C255" s="374" t="s">
        <v>22</v>
      </c>
      <c r="D255" s="374"/>
      <c r="E255" s="374" t="s">
        <v>131</v>
      </c>
      <c r="F255" s="204" t="s">
        <v>426</v>
      </c>
      <c r="G255" s="176" t="s">
        <v>24</v>
      </c>
      <c r="H255" s="61">
        <v>19</v>
      </c>
      <c r="I255" s="62">
        <v>14</v>
      </c>
      <c r="J255" s="62">
        <v>19</v>
      </c>
      <c r="K255" s="30">
        <v>28674.22</v>
      </c>
      <c r="L255" s="205">
        <v>18</v>
      </c>
      <c r="M255" s="26">
        <f t="shared" si="22"/>
        <v>27633.73</v>
      </c>
      <c r="N255" s="30">
        <v>27633.73</v>
      </c>
      <c r="O255" s="241"/>
      <c r="P255" s="275"/>
      <c r="Q255" s="26"/>
      <c r="R255" s="27"/>
      <c r="S255" s="26">
        <f t="shared" si="23"/>
        <v>0</v>
      </c>
      <c r="T255" s="26"/>
      <c r="U255" s="28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6.5" customHeight="1">
      <c r="A256" s="373"/>
      <c r="B256" s="375"/>
      <c r="C256" s="375"/>
      <c r="D256" s="375"/>
      <c r="E256" s="375"/>
      <c r="F256" s="34"/>
      <c r="G256" s="229" t="s">
        <v>25</v>
      </c>
      <c r="H256" s="106"/>
      <c r="I256" s="38"/>
      <c r="J256" s="38"/>
      <c r="K256" s="39"/>
      <c r="L256" s="40"/>
      <c r="M256" s="39">
        <f t="shared" si="22"/>
        <v>0</v>
      </c>
      <c r="N256" s="39"/>
      <c r="O256" s="41"/>
      <c r="P256" s="276"/>
      <c r="Q256" s="39"/>
      <c r="R256" s="40"/>
      <c r="S256" s="39">
        <f t="shared" si="23"/>
        <v>0</v>
      </c>
      <c r="T256" s="39"/>
      <c r="U256" s="41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6.5" customHeight="1">
      <c r="A257" s="376"/>
      <c r="B257" s="377" t="s">
        <v>184</v>
      </c>
      <c r="C257" s="377" t="s">
        <v>22</v>
      </c>
      <c r="D257" s="377"/>
      <c r="E257" s="377" t="s">
        <v>27</v>
      </c>
      <c r="F257" s="223" t="s">
        <v>453</v>
      </c>
      <c r="G257" s="95" t="s">
        <v>24</v>
      </c>
      <c r="H257" s="265">
        <v>6</v>
      </c>
      <c r="I257" s="266">
        <v>3</v>
      </c>
      <c r="J257" s="266">
        <v>4</v>
      </c>
      <c r="K257" s="79">
        <v>6459.48</v>
      </c>
      <c r="L257" s="268">
        <v>3</v>
      </c>
      <c r="M257" s="81">
        <f t="shared" si="22"/>
        <v>4199.09</v>
      </c>
      <c r="N257" s="79">
        <v>4199.09</v>
      </c>
      <c r="O257" s="269"/>
      <c r="P257" s="277"/>
      <c r="Q257" s="81"/>
      <c r="R257" s="80"/>
      <c r="S257" s="81">
        <f t="shared" si="23"/>
        <v>0</v>
      </c>
      <c r="T257" s="81"/>
      <c r="U257" s="219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6.5" customHeight="1">
      <c r="A258" s="379"/>
      <c r="B258" s="380"/>
      <c r="C258" s="380"/>
      <c r="D258" s="380"/>
      <c r="E258" s="380"/>
      <c r="F258" s="233" t="s">
        <v>253</v>
      </c>
      <c r="G258" s="227" t="s">
        <v>28</v>
      </c>
      <c r="H258" s="153">
        <v>8</v>
      </c>
      <c r="I258" s="130">
        <v>4</v>
      </c>
      <c r="J258" s="130">
        <v>4</v>
      </c>
      <c r="K258" s="114">
        <v>10482.120000000001</v>
      </c>
      <c r="L258" s="270">
        <v>4</v>
      </c>
      <c r="M258" s="43">
        <f t="shared" si="22"/>
        <v>11082.12</v>
      </c>
      <c r="N258" s="114">
        <v>11082.12</v>
      </c>
      <c r="O258" s="41"/>
      <c r="P258" s="113">
        <v>5</v>
      </c>
      <c r="Q258" s="114">
        <v>10565.5</v>
      </c>
      <c r="R258" s="270">
        <v>4</v>
      </c>
      <c r="S258" s="43">
        <f t="shared" si="23"/>
        <v>9989.2000000000007</v>
      </c>
      <c r="T258" s="114">
        <f>2958.34+3457.8+1267.86+2305.2</f>
        <v>9989.2000000000007</v>
      </c>
      <c r="U258" s="41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6.5" customHeight="1">
      <c r="A259" s="372"/>
      <c r="B259" s="374" t="s">
        <v>185</v>
      </c>
      <c r="C259" s="374" t="s">
        <v>22</v>
      </c>
      <c r="D259" s="374"/>
      <c r="E259" s="374" t="s">
        <v>27</v>
      </c>
      <c r="F259" s="204" t="s">
        <v>341</v>
      </c>
      <c r="G259" s="176" t="s">
        <v>24</v>
      </c>
      <c r="H259" s="98"/>
      <c r="I259" s="25"/>
      <c r="J259" s="25"/>
      <c r="K259" s="26"/>
      <c r="L259" s="27"/>
      <c r="M259" s="26">
        <f t="shared" si="22"/>
        <v>0</v>
      </c>
      <c r="N259" s="26"/>
      <c r="O259" s="31"/>
      <c r="P259" s="53">
        <v>2</v>
      </c>
      <c r="Q259" s="30">
        <v>2633.4</v>
      </c>
      <c r="R259" s="205">
        <v>2</v>
      </c>
      <c r="S259" s="26">
        <f t="shared" si="23"/>
        <v>2633.4</v>
      </c>
      <c r="T259" s="30">
        <v>2633.4</v>
      </c>
      <c r="U259" s="225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373"/>
      <c r="B260" s="375"/>
      <c r="C260" s="375"/>
      <c r="D260" s="375"/>
      <c r="E260" s="375"/>
      <c r="F260" s="220" t="s">
        <v>342</v>
      </c>
      <c r="G260" s="229" t="s">
        <v>28</v>
      </c>
      <c r="H260" s="133">
        <v>12</v>
      </c>
      <c r="I260" s="130">
        <v>1</v>
      </c>
      <c r="J260" s="130">
        <v>1</v>
      </c>
      <c r="K260" s="114">
        <v>2007</v>
      </c>
      <c r="L260" s="270">
        <v>1</v>
      </c>
      <c r="M260" s="43">
        <f t="shared" si="22"/>
        <v>2007</v>
      </c>
      <c r="N260" s="114">
        <v>2007</v>
      </c>
      <c r="O260" s="41"/>
      <c r="P260" s="113">
        <v>5</v>
      </c>
      <c r="Q260" s="114">
        <v>25755.33</v>
      </c>
      <c r="R260" s="270">
        <v>5</v>
      </c>
      <c r="S260" s="43">
        <f t="shared" si="23"/>
        <v>25755.33</v>
      </c>
      <c r="T260" s="43">
        <f>20277.13+5478.2</f>
        <v>25755.33</v>
      </c>
      <c r="U260" s="41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372"/>
      <c r="B261" s="374" t="s">
        <v>186</v>
      </c>
      <c r="C261" s="374" t="s">
        <v>22</v>
      </c>
      <c r="D261" s="374"/>
      <c r="E261" s="374" t="s">
        <v>99</v>
      </c>
      <c r="F261" s="232" t="s">
        <v>315</v>
      </c>
      <c r="G261" s="23" t="s">
        <v>24</v>
      </c>
      <c r="H261" s="48">
        <v>24</v>
      </c>
      <c r="I261" s="62">
        <v>17</v>
      </c>
      <c r="J261" s="62">
        <v>23</v>
      </c>
      <c r="K261" s="30">
        <v>44348.3</v>
      </c>
      <c r="L261" s="205">
        <v>23</v>
      </c>
      <c r="M261" s="26">
        <f t="shared" si="22"/>
        <v>44348.3</v>
      </c>
      <c r="N261" s="30">
        <v>44348.3</v>
      </c>
      <c r="O261" s="225"/>
      <c r="P261" s="53">
        <v>15</v>
      </c>
      <c r="Q261" s="30">
        <v>46212.56</v>
      </c>
      <c r="R261" s="205">
        <v>15</v>
      </c>
      <c r="S261" s="26">
        <f t="shared" si="23"/>
        <v>46212.56</v>
      </c>
      <c r="T261" s="30">
        <v>46212.56</v>
      </c>
      <c r="U261" s="225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373"/>
      <c r="B262" s="375"/>
      <c r="C262" s="375"/>
      <c r="D262" s="375"/>
      <c r="E262" s="375"/>
      <c r="F262" s="220" t="s">
        <v>254</v>
      </c>
      <c r="G262" s="35" t="s">
        <v>28</v>
      </c>
      <c r="H262" s="153">
        <v>15</v>
      </c>
      <c r="I262" s="37">
        <v>4</v>
      </c>
      <c r="J262" s="37">
        <v>4</v>
      </c>
      <c r="K262" s="68">
        <v>6622.6</v>
      </c>
      <c r="L262" s="285">
        <v>3</v>
      </c>
      <c r="M262" s="39">
        <f t="shared" si="22"/>
        <v>7225.2</v>
      </c>
      <c r="N262" s="68">
        <v>7225.2</v>
      </c>
      <c r="O262" s="41"/>
      <c r="P262" s="59"/>
      <c r="Q262" s="39"/>
      <c r="R262" s="40"/>
      <c r="S262" s="39">
        <f t="shared" si="23"/>
        <v>0</v>
      </c>
      <c r="T262" s="39"/>
      <c r="U262" s="41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382"/>
      <c r="B263" s="381" t="s">
        <v>187</v>
      </c>
      <c r="C263" s="381" t="s">
        <v>22</v>
      </c>
      <c r="D263" s="381"/>
      <c r="E263" s="381" t="s">
        <v>131</v>
      </c>
      <c r="F263" s="223" t="s">
        <v>343</v>
      </c>
      <c r="G263" s="23" t="s">
        <v>24</v>
      </c>
      <c r="H263" s="48">
        <v>19</v>
      </c>
      <c r="I263" s="203">
        <v>16</v>
      </c>
      <c r="J263" s="203">
        <v>24</v>
      </c>
      <c r="K263" s="65">
        <v>43817.02</v>
      </c>
      <c r="L263" s="224">
        <v>24</v>
      </c>
      <c r="M263" s="50">
        <f t="shared" si="22"/>
        <v>43817.02</v>
      </c>
      <c r="N263" s="65">
        <v>43817.02</v>
      </c>
      <c r="O263" s="225"/>
      <c r="P263" s="108">
        <v>20</v>
      </c>
      <c r="Q263" s="65">
        <v>57368.51</v>
      </c>
      <c r="R263" s="224">
        <v>20</v>
      </c>
      <c r="S263" s="50">
        <f t="shared" si="23"/>
        <v>57368.51</v>
      </c>
      <c r="T263" s="65">
        <v>57368.51</v>
      </c>
      <c r="U263" s="225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379"/>
      <c r="B264" s="380"/>
      <c r="C264" s="380"/>
      <c r="D264" s="380"/>
      <c r="E264" s="380"/>
      <c r="F264" s="233" t="s">
        <v>497</v>
      </c>
      <c r="G264" s="227" t="s">
        <v>25</v>
      </c>
      <c r="H264" s="153">
        <v>5</v>
      </c>
      <c r="I264" s="130">
        <v>4</v>
      </c>
      <c r="J264" s="130">
        <v>4</v>
      </c>
      <c r="K264" s="114">
        <v>11800.7</v>
      </c>
      <c r="L264" s="270">
        <v>3</v>
      </c>
      <c r="M264" s="114">
        <v>6545.7</v>
      </c>
      <c r="N264" s="114">
        <v>6545.7</v>
      </c>
      <c r="O264" s="41"/>
      <c r="P264" s="113">
        <v>5</v>
      </c>
      <c r="Q264" s="114">
        <v>34513.06</v>
      </c>
      <c r="R264" s="270">
        <v>5</v>
      </c>
      <c r="S264" s="114">
        <v>34513.06</v>
      </c>
      <c r="T264" s="114">
        <v>34513.06</v>
      </c>
      <c r="U264" s="2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372"/>
      <c r="B265" s="374" t="s">
        <v>429</v>
      </c>
      <c r="C265" s="374" t="s">
        <v>22</v>
      </c>
      <c r="D265" s="374"/>
      <c r="E265" s="374" t="s">
        <v>27</v>
      </c>
      <c r="F265" s="204" t="s">
        <v>446</v>
      </c>
      <c r="G265" s="176" t="s">
        <v>24</v>
      </c>
      <c r="H265" s="151">
        <v>2</v>
      </c>
      <c r="I265" s="25"/>
      <c r="J265" s="25"/>
      <c r="K265" s="26"/>
      <c r="L265" s="27"/>
      <c r="M265" s="26">
        <f t="shared" ref="M265:M291" si="24">N265+O265</f>
        <v>0</v>
      </c>
      <c r="N265" s="30"/>
      <c r="O265" s="31"/>
      <c r="P265" s="53">
        <v>1</v>
      </c>
      <c r="Q265" s="30">
        <v>36784.050000000003</v>
      </c>
      <c r="R265" s="205">
        <v>1</v>
      </c>
      <c r="S265" s="26">
        <f t="shared" ref="S265:S291" si="25">T265+U265</f>
        <v>36784.050000000003</v>
      </c>
      <c r="T265" s="30">
        <v>36784.050000000003</v>
      </c>
      <c r="U265" s="31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373"/>
      <c r="B266" s="375"/>
      <c r="C266" s="375"/>
      <c r="D266" s="375"/>
      <c r="E266" s="375"/>
      <c r="F266" s="220"/>
      <c r="G266" s="229" t="s">
        <v>28</v>
      </c>
      <c r="H266" s="133"/>
      <c r="I266" s="57"/>
      <c r="J266" s="57"/>
      <c r="K266" s="43"/>
      <c r="L266" s="44"/>
      <c r="M266" s="43">
        <f t="shared" si="24"/>
        <v>0</v>
      </c>
      <c r="N266" s="43"/>
      <c r="O266" s="41"/>
      <c r="P266" s="113"/>
      <c r="Q266" s="114"/>
      <c r="R266" s="44"/>
      <c r="S266" s="43">
        <f t="shared" si="25"/>
        <v>0</v>
      </c>
      <c r="T266" s="114"/>
      <c r="U266" s="2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372"/>
      <c r="B267" s="374" t="s">
        <v>188</v>
      </c>
      <c r="C267" s="374" t="s">
        <v>39</v>
      </c>
      <c r="D267" s="374" t="s">
        <v>474</v>
      </c>
      <c r="E267" s="374" t="s">
        <v>27</v>
      </c>
      <c r="F267" s="358" t="s">
        <v>482</v>
      </c>
      <c r="G267" s="176" t="s">
        <v>24</v>
      </c>
      <c r="H267" s="281">
        <v>4</v>
      </c>
      <c r="I267" s="62">
        <v>3</v>
      </c>
      <c r="J267" s="62">
        <v>4</v>
      </c>
      <c r="K267" s="30">
        <v>11113.6</v>
      </c>
      <c r="L267" s="205">
        <v>3</v>
      </c>
      <c r="M267" s="26">
        <f t="shared" si="24"/>
        <v>11113.6</v>
      </c>
      <c r="N267" s="30">
        <v>11113.6</v>
      </c>
      <c r="O267" s="269"/>
      <c r="P267" s="53">
        <v>3</v>
      </c>
      <c r="Q267" s="30">
        <v>8065.3</v>
      </c>
      <c r="R267" s="205">
        <v>2</v>
      </c>
      <c r="S267" s="26">
        <f t="shared" si="25"/>
        <v>8065.3</v>
      </c>
      <c r="T267" s="30">
        <v>8065.3</v>
      </c>
      <c r="U267" s="219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20.25" customHeight="1">
      <c r="A268" s="373"/>
      <c r="B268" s="375"/>
      <c r="C268" s="375"/>
      <c r="D268" s="375"/>
      <c r="E268" s="375"/>
      <c r="F268" s="220" t="s">
        <v>344</v>
      </c>
      <c r="G268" s="229" t="s">
        <v>28</v>
      </c>
      <c r="H268" s="56">
        <v>14</v>
      </c>
      <c r="I268" s="130">
        <v>2</v>
      </c>
      <c r="J268" s="130">
        <v>2</v>
      </c>
      <c r="K268" s="114">
        <v>2524</v>
      </c>
      <c r="L268" s="270">
        <v>1</v>
      </c>
      <c r="M268" s="43">
        <f t="shared" si="24"/>
        <v>630.6</v>
      </c>
      <c r="N268" s="114">
        <v>630.6</v>
      </c>
      <c r="O268" s="222">
        <v>0</v>
      </c>
      <c r="P268" s="113">
        <v>20</v>
      </c>
      <c r="Q268" s="114">
        <v>31033.8</v>
      </c>
      <c r="R268" s="270">
        <v>8</v>
      </c>
      <c r="S268" s="43">
        <f t="shared" si="25"/>
        <v>26696.15</v>
      </c>
      <c r="T268" s="114">
        <f>18051.05+8645.1</f>
        <v>26696.15</v>
      </c>
      <c r="U268" s="222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372"/>
      <c r="B269" s="374" t="s">
        <v>189</v>
      </c>
      <c r="C269" s="374" t="s">
        <v>39</v>
      </c>
      <c r="D269" s="374" t="s">
        <v>427</v>
      </c>
      <c r="E269" s="374" t="s">
        <v>27</v>
      </c>
      <c r="F269" s="232" t="s">
        <v>428</v>
      </c>
      <c r="G269" s="23" t="s">
        <v>24</v>
      </c>
      <c r="H269" s="24">
        <v>23</v>
      </c>
      <c r="I269" s="62">
        <v>17</v>
      </c>
      <c r="J269" s="62">
        <v>21</v>
      </c>
      <c r="K269" s="30">
        <v>43460.22</v>
      </c>
      <c r="L269" s="205">
        <v>21</v>
      </c>
      <c r="M269" s="26">
        <f t="shared" si="24"/>
        <v>43460.22</v>
      </c>
      <c r="N269" s="30">
        <v>43460.22</v>
      </c>
      <c r="O269" s="241"/>
      <c r="P269" s="29">
        <v>3</v>
      </c>
      <c r="Q269" s="30">
        <v>23366.85</v>
      </c>
      <c r="R269" s="205">
        <v>3</v>
      </c>
      <c r="S269" s="26">
        <f t="shared" si="25"/>
        <v>23366.85</v>
      </c>
      <c r="T269" s="30">
        <v>23366.85</v>
      </c>
      <c r="U269" s="241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373"/>
      <c r="B270" s="375"/>
      <c r="C270" s="375"/>
      <c r="D270" s="375"/>
      <c r="E270" s="375"/>
      <c r="F270" s="220" t="s">
        <v>256</v>
      </c>
      <c r="G270" s="35" t="s">
        <v>28</v>
      </c>
      <c r="H270" s="66">
        <v>7</v>
      </c>
      <c r="I270" s="37">
        <v>4</v>
      </c>
      <c r="J270" s="37">
        <v>4</v>
      </c>
      <c r="K270" s="68">
        <v>7978.72</v>
      </c>
      <c r="L270" s="285">
        <v>4</v>
      </c>
      <c r="M270" s="39">
        <f t="shared" si="24"/>
        <v>7303.08</v>
      </c>
      <c r="N270" s="68">
        <v>7303.08</v>
      </c>
      <c r="O270" s="41"/>
      <c r="P270" s="69"/>
      <c r="Q270" s="39"/>
      <c r="R270" s="40"/>
      <c r="S270" s="39">
        <f t="shared" si="25"/>
        <v>0</v>
      </c>
      <c r="T270" s="39"/>
      <c r="U270" s="41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382"/>
      <c r="B271" s="381" t="s">
        <v>190</v>
      </c>
      <c r="C271" s="381" t="s">
        <v>39</v>
      </c>
      <c r="D271" s="381" t="s">
        <v>191</v>
      </c>
      <c r="E271" s="381" t="s">
        <v>27</v>
      </c>
      <c r="F271" s="46"/>
      <c r="G271" s="47" t="s">
        <v>24</v>
      </c>
      <c r="H271" s="98"/>
      <c r="I271" s="49"/>
      <c r="J271" s="49"/>
      <c r="K271" s="50"/>
      <c r="L271" s="51"/>
      <c r="M271" s="50">
        <f t="shared" si="24"/>
        <v>0</v>
      </c>
      <c r="N271" s="50"/>
      <c r="O271" s="31"/>
      <c r="P271" s="123"/>
      <c r="Q271" s="50"/>
      <c r="R271" s="51"/>
      <c r="S271" s="50">
        <f t="shared" si="25"/>
        <v>0</v>
      </c>
      <c r="T271" s="50"/>
      <c r="U271" s="31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373"/>
      <c r="B272" s="375"/>
      <c r="C272" s="375"/>
      <c r="D272" s="375"/>
      <c r="E272" s="375"/>
      <c r="F272" s="220" t="s">
        <v>345</v>
      </c>
      <c r="G272" s="35" t="s">
        <v>28</v>
      </c>
      <c r="H272" s="112">
        <v>2</v>
      </c>
      <c r="I272" s="57"/>
      <c r="J272" s="57"/>
      <c r="K272" s="43"/>
      <c r="L272" s="44"/>
      <c r="M272" s="43">
        <f t="shared" si="24"/>
        <v>0</v>
      </c>
      <c r="N272" s="43"/>
      <c r="O272" s="45"/>
      <c r="P272" s="115">
        <v>4</v>
      </c>
      <c r="Q272" s="68">
        <v>5106.7</v>
      </c>
      <c r="R272" s="285">
        <v>6</v>
      </c>
      <c r="S272" s="39">
        <f t="shared" si="25"/>
        <v>8028.28</v>
      </c>
      <c r="T272" s="68">
        <f>3818+2921.58+1288.7</f>
        <v>8028.28</v>
      </c>
      <c r="U272" s="41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372"/>
      <c r="B273" s="374" t="s">
        <v>192</v>
      </c>
      <c r="C273" s="374" t="s">
        <v>22</v>
      </c>
      <c r="D273" s="374"/>
      <c r="E273" s="374" t="s">
        <v>193</v>
      </c>
      <c r="F273" s="204" t="s">
        <v>318</v>
      </c>
      <c r="G273" s="176" t="s">
        <v>24</v>
      </c>
      <c r="H273" s="61">
        <v>27</v>
      </c>
      <c r="I273" s="62">
        <v>24</v>
      </c>
      <c r="J273" s="62">
        <v>32</v>
      </c>
      <c r="K273" s="30">
        <v>51979.28</v>
      </c>
      <c r="L273" s="205">
        <v>30</v>
      </c>
      <c r="M273" s="26">
        <f t="shared" si="24"/>
        <v>48319.59</v>
      </c>
      <c r="N273" s="30">
        <v>48319.59</v>
      </c>
      <c r="O273" s="243"/>
      <c r="P273" s="64">
        <v>22</v>
      </c>
      <c r="Q273" s="65">
        <v>66066.52</v>
      </c>
      <c r="R273" s="224">
        <v>21</v>
      </c>
      <c r="S273" s="50">
        <f t="shared" si="25"/>
        <v>63606.34</v>
      </c>
      <c r="T273" s="65">
        <v>63606.34</v>
      </c>
      <c r="U273" s="225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373"/>
      <c r="B274" s="375"/>
      <c r="C274" s="375"/>
      <c r="D274" s="375"/>
      <c r="E274" s="375"/>
      <c r="F274" s="220" t="s">
        <v>346</v>
      </c>
      <c r="G274" s="229" t="s">
        <v>28</v>
      </c>
      <c r="H274" s="133">
        <v>1</v>
      </c>
      <c r="I274" s="37">
        <v>1</v>
      </c>
      <c r="J274" s="37">
        <v>1</v>
      </c>
      <c r="K274" s="68">
        <v>1728.9</v>
      </c>
      <c r="L274" s="285">
        <v>1</v>
      </c>
      <c r="M274" s="39">
        <f t="shared" si="24"/>
        <v>1728.9</v>
      </c>
      <c r="N274" s="39">
        <f>1728.9</f>
        <v>1728.9</v>
      </c>
      <c r="O274" s="41"/>
      <c r="P274" s="42"/>
      <c r="Q274" s="43"/>
      <c r="R274" s="44"/>
      <c r="S274" s="43">
        <f t="shared" si="25"/>
        <v>0</v>
      </c>
      <c r="T274" s="43"/>
      <c r="U274" s="41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372"/>
      <c r="B275" s="374" t="s">
        <v>194</v>
      </c>
      <c r="C275" s="377" t="s">
        <v>39</v>
      </c>
      <c r="D275" s="377" t="s">
        <v>319</v>
      </c>
      <c r="E275" s="374" t="s">
        <v>160</v>
      </c>
      <c r="F275" s="232" t="s">
        <v>320</v>
      </c>
      <c r="G275" s="23" t="s">
        <v>24</v>
      </c>
      <c r="H275" s="48">
        <v>7</v>
      </c>
      <c r="I275" s="203">
        <v>7</v>
      </c>
      <c r="J275" s="203">
        <v>7</v>
      </c>
      <c r="K275" s="65">
        <v>7268.75</v>
      </c>
      <c r="L275" s="316">
        <v>7</v>
      </c>
      <c r="M275" s="129">
        <f t="shared" si="24"/>
        <v>7268.75</v>
      </c>
      <c r="N275" s="65">
        <v>7268.75</v>
      </c>
      <c r="O275" s="225"/>
      <c r="P275" s="29">
        <v>3</v>
      </c>
      <c r="Q275" s="30">
        <v>6107.21</v>
      </c>
      <c r="R275" s="205">
        <v>3</v>
      </c>
      <c r="S275" s="26">
        <f t="shared" si="25"/>
        <v>6107.21</v>
      </c>
      <c r="T275" s="30">
        <v>6107.21</v>
      </c>
      <c r="U275" s="225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373"/>
      <c r="B276" s="375"/>
      <c r="C276" s="375"/>
      <c r="D276" s="375"/>
      <c r="E276" s="375"/>
      <c r="F276" s="220" t="s">
        <v>347</v>
      </c>
      <c r="G276" s="35" t="s">
        <v>28</v>
      </c>
      <c r="H276" s="117">
        <v>7</v>
      </c>
      <c r="I276" s="37">
        <v>3</v>
      </c>
      <c r="J276" s="37">
        <v>3</v>
      </c>
      <c r="K276" s="68">
        <v>11294.56</v>
      </c>
      <c r="L276" s="270">
        <v>3</v>
      </c>
      <c r="M276" s="43">
        <f t="shared" si="24"/>
        <v>11260.4</v>
      </c>
      <c r="N276" s="68">
        <v>11260.4</v>
      </c>
      <c r="O276" s="41"/>
      <c r="P276" s="37">
        <v>8</v>
      </c>
      <c r="Q276" s="37">
        <v>21038.49</v>
      </c>
      <c r="R276" s="285">
        <v>8</v>
      </c>
      <c r="S276" s="39">
        <f t="shared" si="25"/>
        <v>16625.88</v>
      </c>
      <c r="T276" s="68">
        <f>576.3+4045.34+3273.6+633.93+602.1+2709.45+4454+331.16</f>
        <v>16625.88</v>
      </c>
      <c r="U276" s="2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382"/>
      <c r="B277" s="381" t="s">
        <v>195</v>
      </c>
      <c r="C277" s="377" t="s">
        <v>39</v>
      </c>
      <c r="D277" s="377" t="s">
        <v>231</v>
      </c>
      <c r="E277" s="381" t="s">
        <v>27</v>
      </c>
      <c r="F277" s="204" t="s">
        <v>232</v>
      </c>
      <c r="G277" s="47" t="s">
        <v>24</v>
      </c>
      <c r="H277" s="61">
        <v>6</v>
      </c>
      <c r="I277" s="62">
        <v>1</v>
      </c>
      <c r="J277" s="62">
        <v>1</v>
      </c>
      <c r="K277" s="30">
        <v>2185.62</v>
      </c>
      <c r="L277" s="205">
        <v>1</v>
      </c>
      <c r="M277" s="26">
        <f t="shared" si="24"/>
        <v>2185.62</v>
      </c>
      <c r="N277" s="30">
        <v>2185.62</v>
      </c>
      <c r="O277" s="31"/>
      <c r="P277" s="64">
        <v>7</v>
      </c>
      <c r="Q277" s="65">
        <v>46859.35</v>
      </c>
      <c r="R277" s="224">
        <v>7</v>
      </c>
      <c r="S277" s="50">
        <f t="shared" si="25"/>
        <v>46859.35</v>
      </c>
      <c r="T277" s="65">
        <v>46859.35</v>
      </c>
      <c r="U277" s="225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373"/>
      <c r="B278" s="375"/>
      <c r="C278" s="375"/>
      <c r="D278" s="375"/>
      <c r="E278" s="375"/>
      <c r="F278" s="221" t="s">
        <v>260</v>
      </c>
      <c r="G278" s="55" t="s">
        <v>28</v>
      </c>
      <c r="H278" s="178">
        <v>12</v>
      </c>
      <c r="I278" s="130">
        <v>6</v>
      </c>
      <c r="J278" s="130">
        <v>6</v>
      </c>
      <c r="K278" s="114">
        <v>21386.14</v>
      </c>
      <c r="L278" s="270">
        <v>6</v>
      </c>
      <c r="M278" s="43">
        <f t="shared" si="24"/>
        <v>18611.5</v>
      </c>
      <c r="N278" s="114">
        <v>18611.5</v>
      </c>
      <c r="O278" s="222"/>
      <c r="P278" s="130">
        <v>9</v>
      </c>
      <c r="Q278" s="130">
        <v>29523.25</v>
      </c>
      <c r="R278" s="270">
        <v>12</v>
      </c>
      <c r="S278" s="43">
        <f t="shared" si="25"/>
        <v>39586.9</v>
      </c>
      <c r="T278" s="114">
        <f>4994.6+12678.6+576.3+6915.6+6915.6+576.3+2113.1+2809.8+2007</f>
        <v>39586.9</v>
      </c>
      <c r="U278" s="222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372"/>
      <c r="B279" s="374" t="s">
        <v>196</v>
      </c>
      <c r="C279" s="381" t="s">
        <v>22</v>
      </c>
      <c r="D279" s="374"/>
      <c r="E279" s="381" t="s">
        <v>27</v>
      </c>
      <c r="F279" s="22"/>
      <c r="G279" s="23" t="s">
        <v>24</v>
      </c>
      <c r="H279" s="119"/>
      <c r="I279" s="25"/>
      <c r="J279" s="25"/>
      <c r="K279" s="26"/>
      <c r="L279" s="27"/>
      <c r="M279" s="26">
        <f t="shared" si="24"/>
        <v>0</v>
      </c>
      <c r="N279" s="26"/>
      <c r="O279" s="28"/>
      <c r="P279" s="120"/>
      <c r="Q279" s="26"/>
      <c r="R279" s="27"/>
      <c r="S279" s="26">
        <f t="shared" si="25"/>
        <v>0</v>
      </c>
      <c r="T279" s="26"/>
      <c r="U279" s="28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373"/>
      <c r="B280" s="375"/>
      <c r="C280" s="375"/>
      <c r="D280" s="375"/>
      <c r="E280" s="375"/>
      <c r="F280" s="220" t="s">
        <v>348</v>
      </c>
      <c r="G280" s="35" t="s">
        <v>28</v>
      </c>
      <c r="H280" s="66">
        <v>12</v>
      </c>
      <c r="I280" s="37">
        <v>7</v>
      </c>
      <c r="J280" s="37">
        <v>7</v>
      </c>
      <c r="K280" s="68">
        <v>18300.5</v>
      </c>
      <c r="L280" s="285">
        <v>7</v>
      </c>
      <c r="M280" s="39">
        <f t="shared" si="24"/>
        <v>15253.2</v>
      </c>
      <c r="N280" s="68">
        <v>15253.2</v>
      </c>
      <c r="O280" s="41"/>
      <c r="P280" s="67">
        <v>5</v>
      </c>
      <c r="Q280" s="68">
        <v>13384.42</v>
      </c>
      <c r="R280" s="285">
        <v>5</v>
      </c>
      <c r="S280" s="39">
        <f t="shared" si="25"/>
        <v>13678</v>
      </c>
      <c r="T280" s="39">
        <f>13678</f>
        <v>13678</v>
      </c>
      <c r="U280" s="41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382"/>
      <c r="B281" s="381" t="s">
        <v>197</v>
      </c>
      <c r="C281" s="381" t="s">
        <v>39</v>
      </c>
      <c r="D281" s="381" t="s">
        <v>381</v>
      </c>
      <c r="E281" s="381" t="s">
        <v>27</v>
      </c>
      <c r="F281" s="204" t="s">
        <v>382</v>
      </c>
      <c r="G281" s="47" t="s">
        <v>24</v>
      </c>
      <c r="H281" s="151">
        <v>2</v>
      </c>
      <c r="I281" s="49"/>
      <c r="J281" s="49"/>
      <c r="K281" s="50"/>
      <c r="L281" s="51"/>
      <c r="M281" s="50">
        <f t="shared" si="24"/>
        <v>0</v>
      </c>
      <c r="N281" s="50"/>
      <c r="O281" s="31"/>
      <c r="P281" s="108">
        <v>2</v>
      </c>
      <c r="Q281" s="65">
        <v>7269.57</v>
      </c>
      <c r="R281" s="224">
        <v>1</v>
      </c>
      <c r="S281" s="50">
        <f t="shared" si="25"/>
        <v>748.24</v>
      </c>
      <c r="T281" s="65">
        <v>748.24</v>
      </c>
      <c r="U281" s="225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379"/>
      <c r="B282" s="380"/>
      <c r="C282" s="380"/>
      <c r="D282" s="380"/>
      <c r="E282" s="380"/>
      <c r="F282" s="221" t="s">
        <v>349</v>
      </c>
      <c r="G282" s="55" t="s">
        <v>28</v>
      </c>
      <c r="H282" s="153">
        <v>7</v>
      </c>
      <c r="I282" s="130">
        <v>5</v>
      </c>
      <c r="J282" s="130">
        <v>5</v>
      </c>
      <c r="K282" s="114">
        <v>7977.5</v>
      </c>
      <c r="L282" s="270">
        <v>4</v>
      </c>
      <c r="M282" s="43">
        <f t="shared" si="24"/>
        <v>6389.4500000000007</v>
      </c>
      <c r="N282" s="43">
        <f>1056.55+1921+1404.9+2007</f>
        <v>6389.4500000000007</v>
      </c>
      <c r="O282" s="41"/>
      <c r="P282" s="103"/>
      <c r="Q282" s="43"/>
      <c r="R282" s="270">
        <v>2</v>
      </c>
      <c r="S282" s="43">
        <f t="shared" si="25"/>
        <v>3765.16</v>
      </c>
      <c r="T282" s="114">
        <f>1440.75+2324.41</f>
        <v>3765.16</v>
      </c>
      <c r="U282" s="41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372"/>
      <c r="B283" s="374" t="s">
        <v>198</v>
      </c>
      <c r="C283" s="374" t="s">
        <v>39</v>
      </c>
      <c r="D283" s="374" t="s">
        <v>469</v>
      </c>
      <c r="E283" s="374" t="s">
        <v>112</v>
      </c>
      <c r="F283" s="204" t="s">
        <v>470</v>
      </c>
      <c r="G283" s="23" t="s">
        <v>24</v>
      </c>
      <c r="H283" s="48">
        <v>16</v>
      </c>
      <c r="I283" s="62">
        <v>11</v>
      </c>
      <c r="J283" s="62">
        <v>13</v>
      </c>
      <c r="K283" s="30">
        <v>15903.17</v>
      </c>
      <c r="L283" s="205">
        <v>13</v>
      </c>
      <c r="M283" s="26">
        <f t="shared" si="24"/>
        <v>15903.17</v>
      </c>
      <c r="N283" s="30">
        <v>15903.17</v>
      </c>
      <c r="O283" s="225"/>
      <c r="P283" s="53">
        <v>17</v>
      </c>
      <c r="Q283" s="30">
        <v>59777.29</v>
      </c>
      <c r="R283" s="205">
        <v>17</v>
      </c>
      <c r="S283" s="26">
        <f t="shared" si="25"/>
        <v>59777.29</v>
      </c>
      <c r="T283" s="30">
        <v>59777.29</v>
      </c>
      <c r="U283" s="225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373"/>
      <c r="B284" s="375"/>
      <c r="C284" s="375"/>
      <c r="D284" s="375"/>
      <c r="E284" s="375"/>
      <c r="F284" s="220" t="s">
        <v>350</v>
      </c>
      <c r="G284" s="35" t="s">
        <v>28</v>
      </c>
      <c r="H284" s="153">
        <v>4</v>
      </c>
      <c r="I284" s="37">
        <v>3</v>
      </c>
      <c r="J284" s="37">
        <v>3</v>
      </c>
      <c r="K284" s="68">
        <v>2557.3200000000002</v>
      </c>
      <c r="L284" s="285">
        <v>2</v>
      </c>
      <c r="M284" s="39">
        <f t="shared" si="24"/>
        <v>1926.7199999999998</v>
      </c>
      <c r="N284" s="360">
        <f>602.1+1324.62</f>
        <v>1926.7199999999998</v>
      </c>
      <c r="O284" s="41"/>
      <c r="P284" s="59"/>
      <c r="Q284" s="39"/>
      <c r="R284" s="40"/>
      <c r="S284" s="39">
        <f t="shared" si="25"/>
        <v>0</v>
      </c>
      <c r="T284" s="39"/>
      <c r="U284" s="41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382"/>
      <c r="B285" s="381" t="s">
        <v>199</v>
      </c>
      <c r="C285" s="381" t="s">
        <v>22</v>
      </c>
      <c r="D285" s="381"/>
      <c r="E285" s="381" t="s">
        <v>131</v>
      </c>
      <c r="F285" s="46"/>
      <c r="G285" s="23" t="s">
        <v>24</v>
      </c>
      <c r="H285" s="98"/>
      <c r="I285" s="49"/>
      <c r="J285" s="49"/>
      <c r="K285" s="50"/>
      <c r="L285" s="51"/>
      <c r="M285" s="50">
        <f t="shared" si="24"/>
        <v>0</v>
      </c>
      <c r="N285" s="50"/>
      <c r="O285" s="31"/>
      <c r="P285" s="123"/>
      <c r="Q285" s="50"/>
      <c r="R285" s="51"/>
      <c r="S285" s="50">
        <f t="shared" si="25"/>
        <v>0</v>
      </c>
      <c r="T285" s="50"/>
      <c r="U285" s="31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379"/>
      <c r="B286" s="380"/>
      <c r="C286" s="380"/>
      <c r="D286" s="380"/>
      <c r="E286" s="380"/>
      <c r="F286" s="126"/>
      <c r="G286" s="55" t="s">
        <v>25</v>
      </c>
      <c r="H286" s="118"/>
      <c r="I286" s="57"/>
      <c r="J286" s="57"/>
      <c r="K286" s="43"/>
      <c r="L286" s="44"/>
      <c r="M286" s="43">
        <f t="shared" si="24"/>
        <v>0</v>
      </c>
      <c r="N286" s="43"/>
      <c r="O286" s="41"/>
      <c r="P286" s="103"/>
      <c r="Q286" s="43"/>
      <c r="R286" s="44"/>
      <c r="S286" s="43">
        <f t="shared" si="25"/>
        <v>0</v>
      </c>
      <c r="T286" s="43"/>
      <c r="U286" s="41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372"/>
      <c r="B287" s="374" t="s">
        <v>200</v>
      </c>
      <c r="C287" s="374" t="s">
        <v>39</v>
      </c>
      <c r="D287" s="374" t="s">
        <v>456</v>
      </c>
      <c r="E287" s="374" t="s">
        <v>27</v>
      </c>
      <c r="F287" s="204" t="s">
        <v>457</v>
      </c>
      <c r="G287" s="23" t="s">
        <v>24</v>
      </c>
      <c r="H287" s="61">
        <v>8</v>
      </c>
      <c r="I287" s="62">
        <v>6</v>
      </c>
      <c r="J287" s="62">
        <v>7</v>
      </c>
      <c r="K287" s="30">
        <v>9746.11</v>
      </c>
      <c r="L287" s="205">
        <v>6</v>
      </c>
      <c r="M287" s="26">
        <f t="shared" si="24"/>
        <v>9017.57</v>
      </c>
      <c r="N287" s="30">
        <v>9017.57</v>
      </c>
      <c r="O287" s="31"/>
      <c r="P287" s="29">
        <v>7</v>
      </c>
      <c r="Q287" s="30">
        <v>28873.11</v>
      </c>
      <c r="R287" s="205">
        <v>7</v>
      </c>
      <c r="S287" s="26">
        <f t="shared" si="25"/>
        <v>28873.11</v>
      </c>
      <c r="T287" s="30">
        <v>28873.11</v>
      </c>
      <c r="U287" s="225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373"/>
      <c r="B288" s="375"/>
      <c r="C288" s="375"/>
      <c r="D288" s="375"/>
      <c r="E288" s="375"/>
      <c r="F288" s="233" t="s">
        <v>466</v>
      </c>
      <c r="G288" s="227" t="s">
        <v>28</v>
      </c>
      <c r="H288" s="207">
        <v>5</v>
      </c>
      <c r="I288" s="208">
        <v>5</v>
      </c>
      <c r="J288" s="208">
        <v>5</v>
      </c>
      <c r="K288" s="209">
        <v>6432.1</v>
      </c>
      <c r="L288" s="290">
        <v>5</v>
      </c>
      <c r="M288" s="211">
        <f t="shared" si="24"/>
        <v>6432.1</v>
      </c>
      <c r="N288" s="209">
        <v>6432.1</v>
      </c>
      <c r="O288" s="212"/>
      <c r="P288" s="284"/>
      <c r="Q288" s="211"/>
      <c r="R288" s="290">
        <v>1</v>
      </c>
      <c r="S288" s="211">
        <f t="shared" si="25"/>
        <v>1921</v>
      </c>
      <c r="T288" s="209">
        <v>1921</v>
      </c>
      <c r="U288" s="212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372"/>
      <c r="B289" s="374" t="s">
        <v>430</v>
      </c>
      <c r="C289" s="374" t="s">
        <v>39</v>
      </c>
      <c r="D289" s="374" t="s">
        <v>439</v>
      </c>
      <c r="E289" s="374" t="s">
        <v>27</v>
      </c>
      <c r="F289" s="204" t="s">
        <v>440</v>
      </c>
      <c r="G289" s="213" t="s">
        <v>24</v>
      </c>
      <c r="H289" s="61">
        <v>5</v>
      </c>
      <c r="I289" s="62">
        <v>1</v>
      </c>
      <c r="J289" s="62">
        <v>1</v>
      </c>
      <c r="K289" s="30">
        <v>1378.91</v>
      </c>
      <c r="L289" s="205">
        <v>1</v>
      </c>
      <c r="M289" s="26">
        <f t="shared" si="24"/>
        <v>1378.91</v>
      </c>
      <c r="N289" s="30">
        <v>1378.91</v>
      </c>
      <c r="O289" s="241"/>
      <c r="P289" s="214"/>
      <c r="Q289" s="30"/>
      <c r="R289" s="205"/>
      <c r="S289" s="26">
        <f t="shared" si="25"/>
        <v>0</v>
      </c>
      <c r="T289" s="30"/>
      <c r="U289" s="28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373"/>
      <c r="B290" s="375"/>
      <c r="C290" s="375"/>
      <c r="D290" s="375"/>
      <c r="E290" s="375"/>
      <c r="F290" s="220"/>
      <c r="G290" s="215" t="s">
        <v>28</v>
      </c>
      <c r="H290" s="117"/>
      <c r="I290" s="37"/>
      <c r="J290" s="37"/>
      <c r="K290" s="68"/>
      <c r="L290" s="40"/>
      <c r="M290" s="39">
        <f t="shared" si="24"/>
        <v>0</v>
      </c>
      <c r="N290" s="39"/>
      <c r="O290" s="234"/>
      <c r="P290" s="217"/>
      <c r="Q290" s="68"/>
      <c r="R290" s="285"/>
      <c r="S290" s="39">
        <f t="shared" si="25"/>
        <v>0</v>
      </c>
      <c r="T290" s="68"/>
      <c r="U290" s="41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376"/>
      <c r="B291" s="377" t="s">
        <v>201</v>
      </c>
      <c r="C291" s="377" t="s">
        <v>39</v>
      </c>
      <c r="D291" s="377" t="s">
        <v>385</v>
      </c>
      <c r="E291" s="377" t="s">
        <v>386</v>
      </c>
      <c r="F291" s="232" t="s">
        <v>387</v>
      </c>
      <c r="G291" s="95" t="s">
        <v>24</v>
      </c>
      <c r="H291" s="265">
        <v>25</v>
      </c>
      <c r="I291" s="266">
        <v>23</v>
      </c>
      <c r="J291" s="266">
        <v>40</v>
      </c>
      <c r="K291" s="79">
        <v>63463.42</v>
      </c>
      <c r="L291" s="268">
        <v>35</v>
      </c>
      <c r="M291" s="81">
        <f t="shared" si="24"/>
        <v>54194.63</v>
      </c>
      <c r="N291" s="79">
        <v>54194.63</v>
      </c>
      <c r="O291" s="313"/>
      <c r="P291" s="267">
        <v>2</v>
      </c>
      <c r="Q291" s="79">
        <v>4356.83</v>
      </c>
      <c r="R291" s="268">
        <v>2</v>
      </c>
      <c r="S291" s="81">
        <f t="shared" si="25"/>
        <v>4356.83</v>
      </c>
      <c r="T291" s="79">
        <v>4356.83</v>
      </c>
      <c r="U291" s="82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373"/>
      <c r="B292" s="375"/>
      <c r="C292" s="375"/>
      <c r="D292" s="375"/>
      <c r="E292" s="375"/>
      <c r="F292" s="220" t="s">
        <v>498</v>
      </c>
      <c r="G292" s="35" t="s">
        <v>25</v>
      </c>
      <c r="H292" s="117">
        <v>2</v>
      </c>
      <c r="I292" s="37">
        <v>1</v>
      </c>
      <c r="J292" s="37">
        <v>1</v>
      </c>
      <c r="K292" s="68">
        <v>551.92999999999995</v>
      </c>
      <c r="L292" s="285">
        <v>1</v>
      </c>
      <c r="M292" s="68">
        <v>551.92999999999995</v>
      </c>
      <c r="N292" s="68">
        <v>551.92999999999995</v>
      </c>
      <c r="O292" s="58"/>
      <c r="P292" s="115">
        <v>2</v>
      </c>
      <c r="Q292" s="68">
        <v>4418.3</v>
      </c>
      <c r="R292" s="285">
        <v>2</v>
      </c>
      <c r="S292" s="68">
        <v>4418.3</v>
      </c>
      <c r="T292" s="68">
        <v>4418.3</v>
      </c>
      <c r="U292" s="41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382"/>
      <c r="B293" s="381" t="s">
        <v>202</v>
      </c>
      <c r="C293" s="381" t="s">
        <v>39</v>
      </c>
      <c r="D293" s="377" t="s">
        <v>441</v>
      </c>
      <c r="E293" s="381" t="s">
        <v>27</v>
      </c>
      <c r="F293" s="204" t="s">
        <v>442</v>
      </c>
      <c r="G293" s="47" t="s">
        <v>24</v>
      </c>
      <c r="H293" s="48">
        <v>5</v>
      </c>
      <c r="I293" s="203">
        <v>3</v>
      </c>
      <c r="J293" s="203">
        <v>3</v>
      </c>
      <c r="K293" s="65">
        <v>4694.24</v>
      </c>
      <c r="L293" s="224">
        <v>3</v>
      </c>
      <c r="M293" s="50">
        <f t="shared" ref="M293:M298" si="26">N293+O293</f>
        <v>4694.24</v>
      </c>
      <c r="N293" s="65">
        <v>4694.24</v>
      </c>
      <c r="O293" s="225"/>
      <c r="P293" s="108">
        <v>3</v>
      </c>
      <c r="Q293" s="65">
        <v>19253.689999999999</v>
      </c>
      <c r="R293" s="224">
        <v>3</v>
      </c>
      <c r="S293" s="50">
        <f t="shared" ref="S293:S297" si="27">T293+U293</f>
        <v>19253.689999999999</v>
      </c>
      <c r="T293" s="65">
        <v>19253.689999999999</v>
      </c>
      <c r="U293" s="225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373"/>
      <c r="B294" s="375"/>
      <c r="C294" s="375"/>
      <c r="D294" s="375"/>
      <c r="E294" s="375"/>
      <c r="F294" s="221" t="s">
        <v>262</v>
      </c>
      <c r="G294" s="55" t="s">
        <v>28</v>
      </c>
      <c r="H294" s="112">
        <v>7</v>
      </c>
      <c r="I294" s="130">
        <v>2</v>
      </c>
      <c r="J294" s="130">
        <v>2</v>
      </c>
      <c r="K294" s="114">
        <v>3581.17</v>
      </c>
      <c r="L294" s="316">
        <v>2</v>
      </c>
      <c r="M294" s="129">
        <f t="shared" si="26"/>
        <v>3581.17</v>
      </c>
      <c r="N294" s="114">
        <v>3581.17</v>
      </c>
      <c r="O294" s="45"/>
      <c r="P294" s="113">
        <v>4</v>
      </c>
      <c r="Q294" s="114">
        <v>17905.400000000001</v>
      </c>
      <c r="R294" s="316">
        <v>5</v>
      </c>
      <c r="S294" s="129">
        <f t="shared" si="27"/>
        <v>21555.3</v>
      </c>
      <c r="T294" s="114">
        <f>9068.8+12486.5</f>
        <v>21555.3</v>
      </c>
      <c r="U294" s="45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372"/>
      <c r="B295" s="374" t="s">
        <v>203</v>
      </c>
      <c r="C295" s="377" t="s">
        <v>46</v>
      </c>
      <c r="D295" s="377" t="s">
        <v>459</v>
      </c>
      <c r="E295" s="374" t="s">
        <v>27</v>
      </c>
      <c r="F295" s="204" t="s">
        <v>475</v>
      </c>
      <c r="G295" s="23" t="s">
        <v>24</v>
      </c>
      <c r="H295" s="61">
        <v>3</v>
      </c>
      <c r="I295" s="62">
        <v>1</v>
      </c>
      <c r="J295" s="62">
        <v>2</v>
      </c>
      <c r="K295" s="30">
        <v>2954.31</v>
      </c>
      <c r="L295" s="205">
        <v>2</v>
      </c>
      <c r="M295" s="26">
        <f t="shared" si="26"/>
        <v>2954.31</v>
      </c>
      <c r="N295" s="30">
        <v>2954.31</v>
      </c>
      <c r="O295" s="28"/>
      <c r="P295" s="29">
        <v>6</v>
      </c>
      <c r="Q295" s="30">
        <v>3137.95</v>
      </c>
      <c r="R295" s="205">
        <v>1</v>
      </c>
      <c r="S295" s="26">
        <f t="shared" si="27"/>
        <v>3137.95</v>
      </c>
      <c r="T295" s="30">
        <v>3137.95</v>
      </c>
      <c r="U295" s="28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373"/>
      <c r="B296" s="375"/>
      <c r="C296" s="375"/>
      <c r="D296" s="375"/>
      <c r="E296" s="375"/>
      <c r="F296" s="34"/>
      <c r="G296" s="35" t="s">
        <v>28</v>
      </c>
      <c r="H296" s="117"/>
      <c r="I296" s="38"/>
      <c r="J296" s="38"/>
      <c r="K296" s="39"/>
      <c r="L296" s="40"/>
      <c r="M296" s="39">
        <f t="shared" si="26"/>
        <v>0</v>
      </c>
      <c r="N296" s="39"/>
      <c r="O296" s="41"/>
      <c r="P296" s="69"/>
      <c r="Q296" s="39"/>
      <c r="R296" s="40"/>
      <c r="S296" s="39">
        <f t="shared" si="27"/>
        <v>0</v>
      </c>
      <c r="T296" s="39"/>
      <c r="U296" s="41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382"/>
      <c r="B297" s="381" t="s">
        <v>204</v>
      </c>
      <c r="C297" s="377" t="s">
        <v>22</v>
      </c>
      <c r="D297" s="377"/>
      <c r="E297" s="381" t="s">
        <v>23</v>
      </c>
      <c r="F297" s="204" t="s">
        <v>431</v>
      </c>
      <c r="G297" s="47" t="s">
        <v>24</v>
      </c>
      <c r="H297" s="48">
        <v>13</v>
      </c>
      <c r="I297" s="203">
        <v>10</v>
      </c>
      <c r="J297" s="203">
        <v>15</v>
      </c>
      <c r="K297" s="65">
        <v>21726.22</v>
      </c>
      <c r="L297" s="224">
        <v>15</v>
      </c>
      <c r="M297" s="50">
        <f t="shared" si="26"/>
        <v>21726.22</v>
      </c>
      <c r="N297" s="65">
        <v>21726.22</v>
      </c>
      <c r="O297" s="225"/>
      <c r="P297" s="108">
        <v>4</v>
      </c>
      <c r="Q297" s="65">
        <v>3363.11</v>
      </c>
      <c r="R297" s="224">
        <v>4</v>
      </c>
      <c r="S297" s="50">
        <f t="shared" si="27"/>
        <v>3363.11</v>
      </c>
      <c r="T297" s="65">
        <v>3363.11</v>
      </c>
      <c r="U297" s="225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373"/>
      <c r="B298" s="375"/>
      <c r="C298" s="375"/>
      <c r="D298" s="375"/>
      <c r="E298" s="375"/>
      <c r="F298" s="220" t="s">
        <v>499</v>
      </c>
      <c r="G298" s="35" t="s">
        <v>25</v>
      </c>
      <c r="H298" s="111"/>
      <c r="I298" s="38"/>
      <c r="J298" s="38"/>
      <c r="K298" s="39"/>
      <c r="L298" s="40"/>
      <c r="M298" s="39">
        <f t="shared" si="26"/>
        <v>0</v>
      </c>
      <c r="N298" s="39"/>
      <c r="O298" s="41"/>
      <c r="P298" s="115">
        <v>2</v>
      </c>
      <c r="Q298" s="68">
        <v>2305.1999999999998</v>
      </c>
      <c r="R298" s="285">
        <v>1</v>
      </c>
      <c r="S298" s="68">
        <v>2305.1999999999998</v>
      </c>
      <c r="T298" s="68">
        <v>2305.1999999999998</v>
      </c>
      <c r="U298" s="41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179"/>
      <c r="B299" s="180" t="s">
        <v>205</v>
      </c>
      <c r="C299" s="180"/>
      <c r="D299" s="180"/>
      <c r="E299" s="180"/>
      <c r="F299" s="180"/>
      <c r="G299" s="181"/>
      <c r="H299" s="182">
        <f t="shared" ref="H299:U299" si="28">SUM(H9:H298)</f>
        <v>2494</v>
      </c>
      <c r="I299" s="183">
        <f t="shared" si="28"/>
        <v>1682</v>
      </c>
      <c r="J299" s="183">
        <f t="shared" si="28"/>
        <v>2148</v>
      </c>
      <c r="K299" s="184">
        <f t="shared" si="28"/>
        <v>4228482.5000000009</v>
      </c>
      <c r="L299" s="185">
        <f t="shared" si="28"/>
        <v>2081</v>
      </c>
      <c r="M299" s="184">
        <f t="shared" si="28"/>
        <v>4100164.6500000013</v>
      </c>
      <c r="N299" s="184">
        <f t="shared" si="28"/>
        <v>4104379.350000001</v>
      </c>
      <c r="O299" s="186">
        <f t="shared" si="28"/>
        <v>0</v>
      </c>
      <c r="P299" s="187">
        <f t="shared" si="28"/>
        <v>1537</v>
      </c>
      <c r="Q299" s="188">
        <f t="shared" si="28"/>
        <v>5686596.9300000053</v>
      </c>
      <c r="R299" s="185">
        <f t="shared" si="28"/>
        <v>1473</v>
      </c>
      <c r="S299" s="188">
        <f t="shared" si="28"/>
        <v>5604690.5300000049</v>
      </c>
      <c r="T299" s="188">
        <f t="shared" si="28"/>
        <v>5604690.5300000049</v>
      </c>
      <c r="U299" s="189">
        <f t="shared" si="28"/>
        <v>0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I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 t="s">
        <v>206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27.75" customHeight="1">
      <c r="A303" s="4"/>
      <c r="B303" s="4"/>
      <c r="C303" s="4"/>
      <c r="D303" s="4"/>
      <c r="E303" s="4"/>
      <c r="F303" s="394"/>
      <c r="G303" s="395" t="s">
        <v>5</v>
      </c>
      <c r="H303" s="396"/>
      <c r="I303" s="396"/>
      <c r="J303" s="396"/>
      <c r="K303" s="396"/>
      <c r="L303" s="396"/>
      <c r="M303" s="396"/>
      <c r="N303" s="397"/>
      <c r="O303" s="395" t="s">
        <v>6</v>
      </c>
      <c r="P303" s="396"/>
      <c r="Q303" s="396"/>
      <c r="R303" s="396"/>
      <c r="S303" s="396"/>
      <c r="T303" s="397"/>
      <c r="U303" s="393" t="s">
        <v>207</v>
      </c>
      <c r="V303" s="393" t="s">
        <v>208</v>
      </c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386"/>
      <c r="G304" s="190" t="s">
        <v>13</v>
      </c>
      <c r="H304" s="190" t="s">
        <v>14</v>
      </c>
      <c r="I304" s="190" t="s">
        <v>15</v>
      </c>
      <c r="J304" s="190" t="s">
        <v>16</v>
      </c>
      <c r="K304" s="191" t="s">
        <v>17</v>
      </c>
      <c r="L304" s="190" t="s">
        <v>18</v>
      </c>
      <c r="M304" s="190" t="s">
        <v>19</v>
      </c>
      <c r="N304" s="190" t="s">
        <v>20</v>
      </c>
      <c r="O304" s="190" t="s">
        <v>15</v>
      </c>
      <c r="P304" s="190" t="s">
        <v>16</v>
      </c>
      <c r="Q304" s="191" t="s">
        <v>17</v>
      </c>
      <c r="R304" s="190" t="s">
        <v>18</v>
      </c>
      <c r="S304" s="190" t="s">
        <v>19</v>
      </c>
      <c r="T304" s="190" t="s">
        <v>20</v>
      </c>
      <c r="U304" s="392"/>
      <c r="V304" s="392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192" t="s">
        <v>24</v>
      </c>
      <c r="G305" s="193">
        <f t="shared" ref="G305:I305" si="29">SUMIF($G$9:$G$298,$F$305,H9:H298)</f>
        <v>1807</v>
      </c>
      <c r="H305" s="193">
        <f t="shared" si="29"/>
        <v>1365</v>
      </c>
      <c r="I305" s="193">
        <f t="shared" si="29"/>
        <v>1830</v>
      </c>
      <c r="J305" s="194">
        <f t="shared" ref="J305:J307" si="30">SUMIF($G$9:$G$298,F305,$K$9:$K$298)</f>
        <v>3557314.2000000007</v>
      </c>
      <c r="K305" s="195">
        <f t="shared" ref="K305:K307" si="31">SUMIF($G$9:$G$298,F305,$L$9:$L$298)</f>
        <v>1772</v>
      </c>
      <c r="L305" s="194">
        <f t="shared" ref="L305:L307" si="32">SUMIF($G$9:$G$298,F305,$M$9:$M$298)</f>
        <v>3455467.2500000005</v>
      </c>
      <c r="M305" s="194">
        <f t="shared" ref="M305:O305" si="33">SUMIF($G$9:$G$298,$F$305,N9:N298)</f>
        <v>3455467.2500000005</v>
      </c>
      <c r="N305" s="194">
        <f t="shared" si="33"/>
        <v>0</v>
      </c>
      <c r="O305" s="193">
        <f t="shared" si="33"/>
        <v>1208</v>
      </c>
      <c r="P305" s="194">
        <f t="shared" ref="P305:P307" si="34">SUMIF($G$9:$G$298,F305,$Q$9:$Q$298)</f>
        <v>4551808.83</v>
      </c>
      <c r="Q305" s="195">
        <f t="shared" ref="Q305:Q307" si="35">SUMIF($G$9:$G$298,F305,$R$9:$R$298)</f>
        <v>1145</v>
      </c>
      <c r="R305" s="194">
        <f t="shared" ref="R305:R307" si="36">SUMIF($G$9:$G$298,F305,$S$9:$S$298)</f>
        <v>4459306.87</v>
      </c>
      <c r="S305" s="194">
        <f t="shared" ref="S305:T305" si="37">SUMIF($G$9:$G$298,$F$305,T9:T298)</f>
        <v>4459306.87</v>
      </c>
      <c r="T305" s="194">
        <f t="shared" si="37"/>
        <v>0</v>
      </c>
      <c r="U305" s="194">
        <f t="shared" ref="U305:U307" si="38">S305+M305</f>
        <v>7914774.120000001</v>
      </c>
      <c r="V305" s="196">
        <f t="shared" ref="V305:V307" si="39">J305-M305+P305-S305</f>
        <v>194348.91000000015</v>
      </c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192" t="s">
        <v>28</v>
      </c>
      <c r="G306" s="236">
        <f t="shared" ref="G306:I306" si="40">SUMIF($G$9:$G$298,$F$306,H9:H298)</f>
        <v>567</v>
      </c>
      <c r="H306" s="193">
        <f t="shared" si="40"/>
        <v>263</v>
      </c>
      <c r="I306" s="193">
        <f t="shared" si="40"/>
        <v>264</v>
      </c>
      <c r="J306" s="194">
        <f t="shared" si="30"/>
        <v>567591.60999999987</v>
      </c>
      <c r="K306" s="195">
        <f t="shared" si="31"/>
        <v>256</v>
      </c>
      <c r="L306" s="194">
        <f t="shared" si="32"/>
        <v>546375.71000000008</v>
      </c>
      <c r="M306" s="194">
        <f t="shared" ref="M306:O306" si="41">SUMIF($G$9:$G$298,$F$306,N9:N298)</f>
        <v>550590.41</v>
      </c>
      <c r="N306" s="194">
        <f t="shared" si="41"/>
        <v>0</v>
      </c>
      <c r="O306" s="193">
        <f t="shared" si="41"/>
        <v>255</v>
      </c>
      <c r="P306" s="194">
        <f t="shared" si="34"/>
        <v>856106.33</v>
      </c>
      <c r="Q306" s="195">
        <f t="shared" si="35"/>
        <v>257</v>
      </c>
      <c r="R306" s="194">
        <f t="shared" si="36"/>
        <v>868173.29000000027</v>
      </c>
      <c r="S306" s="194">
        <f t="shared" ref="S306:T306" si="42">SUMIF($G$9:$G$298,$F$306,T9:T298)</f>
        <v>868173.29000000027</v>
      </c>
      <c r="T306" s="194">
        <f t="shared" si="42"/>
        <v>0</v>
      </c>
      <c r="U306" s="194">
        <f t="shared" si="38"/>
        <v>1418763.7000000002</v>
      </c>
      <c r="V306" s="196">
        <f t="shared" si="39"/>
        <v>4934.239999999525</v>
      </c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192" t="s">
        <v>25</v>
      </c>
      <c r="G307" s="193">
        <f t="shared" ref="G307:I307" si="43">SUMIF($G$9:$G$298,$F$307,H9:H298)</f>
        <v>120</v>
      </c>
      <c r="H307" s="193">
        <f t="shared" si="43"/>
        <v>54</v>
      </c>
      <c r="I307" s="193">
        <f t="shared" si="43"/>
        <v>54</v>
      </c>
      <c r="J307" s="194">
        <f t="shared" si="30"/>
        <v>103576.68999999999</v>
      </c>
      <c r="K307" s="195">
        <f t="shared" si="31"/>
        <v>53</v>
      </c>
      <c r="L307" s="194">
        <f t="shared" si="32"/>
        <v>98321.689999999988</v>
      </c>
      <c r="M307" s="194">
        <f t="shared" ref="M307:O307" si="44">SUMIF($G$9:$G$298,$F$307,N9:N298)</f>
        <v>98321.689999999988</v>
      </c>
      <c r="N307" s="194">
        <f t="shared" si="44"/>
        <v>0</v>
      </c>
      <c r="O307" s="193">
        <f t="shared" si="44"/>
        <v>74</v>
      </c>
      <c r="P307" s="194">
        <f t="shared" si="34"/>
        <v>278681.77</v>
      </c>
      <c r="Q307" s="195">
        <f t="shared" si="35"/>
        <v>71</v>
      </c>
      <c r="R307" s="194">
        <f t="shared" si="36"/>
        <v>277210.37</v>
      </c>
      <c r="S307" s="194">
        <f t="shared" ref="S307:T307" si="45">SUMIF($G$9:$G$298,$F$307,T9:T298)</f>
        <v>277210.37</v>
      </c>
      <c r="T307" s="194">
        <f t="shared" si="45"/>
        <v>0</v>
      </c>
      <c r="U307" s="194">
        <f t="shared" si="38"/>
        <v>375532.06</v>
      </c>
      <c r="V307" s="196">
        <f t="shared" si="39"/>
        <v>6726.4000000000233</v>
      </c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197">
        <f t="shared" ref="G308:V308" si="46">G307+G306+G305</f>
        <v>2494</v>
      </c>
      <c r="H308" s="197">
        <f t="shared" si="46"/>
        <v>1682</v>
      </c>
      <c r="I308" s="197">
        <f t="shared" si="46"/>
        <v>2148</v>
      </c>
      <c r="J308" s="198">
        <f t="shared" si="46"/>
        <v>4228482.5</v>
      </c>
      <c r="K308" s="199">
        <f t="shared" si="46"/>
        <v>2081</v>
      </c>
      <c r="L308" s="198">
        <f t="shared" si="46"/>
        <v>4100164.6500000004</v>
      </c>
      <c r="M308" s="198">
        <f t="shared" si="46"/>
        <v>4104379.3500000006</v>
      </c>
      <c r="N308" s="198">
        <f t="shared" si="46"/>
        <v>0</v>
      </c>
      <c r="O308" s="197">
        <f t="shared" si="46"/>
        <v>1537</v>
      </c>
      <c r="P308" s="198">
        <f t="shared" si="46"/>
        <v>5686596.9299999997</v>
      </c>
      <c r="Q308" s="200">
        <f t="shared" si="46"/>
        <v>1473</v>
      </c>
      <c r="R308" s="198">
        <f t="shared" si="46"/>
        <v>5604690.5300000003</v>
      </c>
      <c r="S308" s="198">
        <f t="shared" si="46"/>
        <v>5604690.5300000003</v>
      </c>
      <c r="T308" s="198">
        <f t="shared" si="46"/>
        <v>0</v>
      </c>
      <c r="U308" s="198">
        <f t="shared" si="46"/>
        <v>9709069.8800000008</v>
      </c>
      <c r="V308" s="198">
        <f t="shared" si="46"/>
        <v>206009.5499999997</v>
      </c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K309" s="201"/>
      <c r="L309" s="201"/>
      <c r="R309" s="2"/>
    </row>
    <row r="310" spans="1:32" ht="15.75" customHeight="1">
      <c r="K310" s="201"/>
      <c r="L310" s="201"/>
      <c r="R310" s="2"/>
    </row>
    <row r="311" spans="1:32" ht="15.75" customHeight="1">
      <c r="K311" s="201"/>
      <c r="L311" s="201"/>
      <c r="R311" s="2"/>
    </row>
    <row r="312" spans="1:32" ht="15.75" customHeight="1">
      <c r="K312" s="201"/>
      <c r="L312" s="201"/>
      <c r="R312" s="2"/>
    </row>
    <row r="313" spans="1:32" ht="15.75" customHeight="1">
      <c r="K313" s="201"/>
      <c r="L313" s="201"/>
      <c r="R313" s="2"/>
    </row>
    <row r="314" spans="1:32" ht="15.75" customHeight="1">
      <c r="K314" s="201"/>
      <c r="L314" s="201"/>
      <c r="R314" s="2"/>
    </row>
    <row r="315" spans="1:32" ht="15.75" customHeight="1">
      <c r="K315" s="201"/>
      <c r="L315" s="201"/>
      <c r="R315" s="2"/>
    </row>
    <row r="316" spans="1:32" ht="15.75" customHeight="1">
      <c r="K316" s="201"/>
      <c r="L316" s="201"/>
      <c r="R316" s="2"/>
    </row>
    <row r="317" spans="1:32" ht="15.75" customHeight="1">
      <c r="K317" s="201"/>
      <c r="L317" s="201"/>
      <c r="R317" s="2"/>
    </row>
    <row r="318" spans="1:32" ht="15.75" customHeight="1">
      <c r="K318" s="201"/>
      <c r="L318" s="201"/>
      <c r="R318" s="2"/>
    </row>
    <row r="319" spans="1:32" ht="15.75" customHeight="1">
      <c r="K319" s="201"/>
      <c r="L319" s="201"/>
      <c r="R319" s="2"/>
    </row>
    <row r="320" spans="1:32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K414" s="201"/>
      <c r="L414" s="201"/>
      <c r="R414" s="2"/>
    </row>
    <row r="415" spans="11:18" ht="15.75" customHeight="1">
      <c r="K415" s="201"/>
      <c r="L415" s="201"/>
      <c r="R415" s="2"/>
    </row>
    <row r="416" spans="11:18" ht="15.75" customHeight="1">
      <c r="K416" s="201"/>
      <c r="L416" s="201"/>
      <c r="R416" s="2"/>
    </row>
    <row r="417" spans="11:18" ht="15.75" customHeight="1">
      <c r="K417" s="201"/>
      <c r="L417" s="201"/>
      <c r="R417" s="2"/>
    </row>
    <row r="418" spans="11:18" ht="15.75" customHeight="1">
      <c r="K418" s="201"/>
      <c r="L418" s="201"/>
      <c r="R418" s="2"/>
    </row>
    <row r="419" spans="11:18" ht="15.75" customHeight="1">
      <c r="K419" s="201"/>
      <c r="L419" s="201"/>
      <c r="R419" s="2"/>
    </row>
    <row r="420" spans="11:18" ht="15.75" customHeight="1">
      <c r="K420" s="201"/>
      <c r="L420" s="201"/>
      <c r="R420" s="2"/>
    </row>
    <row r="421" spans="11:18" ht="15.75" customHeight="1">
      <c r="K421" s="201"/>
      <c r="L421" s="201"/>
      <c r="R421" s="2"/>
    </row>
    <row r="422" spans="11:18" ht="15.75" customHeight="1">
      <c r="K422" s="201"/>
      <c r="L422" s="201"/>
      <c r="R422" s="2"/>
    </row>
    <row r="423" spans="11:18" ht="15.75" customHeight="1">
      <c r="K423" s="201"/>
      <c r="L423" s="201"/>
      <c r="R423" s="2"/>
    </row>
    <row r="424" spans="11:18" ht="15.75" customHeight="1">
      <c r="K424" s="201"/>
      <c r="L424" s="201"/>
      <c r="R424" s="2"/>
    </row>
    <row r="425" spans="11:18" ht="15.75" customHeight="1">
      <c r="K425" s="201"/>
      <c r="L425" s="201"/>
      <c r="R425" s="2"/>
    </row>
    <row r="426" spans="11:18" ht="15.75" customHeight="1">
      <c r="K426" s="201"/>
      <c r="L426" s="201"/>
      <c r="R426" s="2"/>
    </row>
    <row r="427" spans="11:18" ht="15.75" customHeight="1">
      <c r="K427" s="201"/>
      <c r="L427" s="201"/>
      <c r="R427" s="2"/>
    </row>
    <row r="428" spans="11:18" ht="15.75" customHeight="1">
      <c r="K428" s="201"/>
      <c r="L428" s="201"/>
      <c r="R428" s="2"/>
    </row>
    <row r="429" spans="11:18" ht="15.75" customHeight="1">
      <c r="K429" s="201"/>
      <c r="L429" s="201"/>
      <c r="R429" s="2"/>
    </row>
    <row r="430" spans="11:18" ht="15.75" customHeight="1">
      <c r="K430" s="201"/>
      <c r="L430" s="201"/>
      <c r="R430" s="2"/>
    </row>
    <row r="431" spans="11:18" ht="15.75" customHeight="1">
      <c r="K431" s="201"/>
      <c r="L431" s="201"/>
      <c r="R431" s="2"/>
    </row>
    <row r="432" spans="11:18" ht="15.75" customHeight="1">
      <c r="K432" s="201"/>
      <c r="L432" s="201"/>
      <c r="R432" s="2"/>
    </row>
    <row r="433" spans="11:18" ht="15.75" customHeight="1">
      <c r="K433" s="201"/>
      <c r="L433" s="201"/>
      <c r="R433" s="2"/>
    </row>
    <row r="434" spans="11:18" ht="15.75" customHeight="1">
      <c r="K434" s="201"/>
      <c r="L434" s="201"/>
      <c r="R434" s="2"/>
    </row>
    <row r="435" spans="11:18" ht="15.75" customHeight="1">
      <c r="K435" s="201"/>
      <c r="L435" s="201"/>
      <c r="R435" s="2"/>
    </row>
    <row r="436" spans="11:18" ht="15.75" customHeight="1">
      <c r="K436" s="201"/>
      <c r="L436" s="201"/>
      <c r="R436" s="2"/>
    </row>
    <row r="437" spans="11:18" ht="15.75" customHeight="1">
      <c r="K437" s="201"/>
      <c r="L437" s="201"/>
      <c r="R437" s="2"/>
    </row>
    <row r="438" spans="11:18" ht="15.75" customHeight="1">
      <c r="K438" s="201"/>
      <c r="L438" s="201"/>
      <c r="R438" s="2"/>
    </row>
    <row r="439" spans="11:18" ht="15.75" customHeight="1">
      <c r="K439" s="201"/>
      <c r="L439" s="201"/>
      <c r="R439" s="2"/>
    </row>
    <row r="440" spans="11:18" ht="15.75" customHeight="1">
      <c r="K440" s="201"/>
      <c r="L440" s="201"/>
      <c r="R440" s="2"/>
    </row>
    <row r="441" spans="11:18" ht="15.75" customHeight="1">
      <c r="K441" s="201"/>
      <c r="L441" s="201"/>
      <c r="R441" s="2"/>
    </row>
    <row r="442" spans="11:18" ht="15.75" customHeight="1">
      <c r="K442" s="201"/>
      <c r="L442" s="201"/>
      <c r="R442" s="2"/>
    </row>
    <row r="443" spans="11:18" ht="15.75" customHeight="1">
      <c r="K443" s="201"/>
      <c r="L443" s="201"/>
      <c r="R443" s="2"/>
    </row>
    <row r="444" spans="11:18" ht="15.75" customHeight="1">
      <c r="K444" s="201"/>
      <c r="L444" s="201"/>
      <c r="R444" s="2"/>
    </row>
    <row r="445" spans="11:18" ht="15.75" customHeight="1">
      <c r="K445" s="201"/>
      <c r="L445" s="201"/>
      <c r="R445" s="2"/>
    </row>
    <row r="446" spans="11:18" ht="15.75" customHeight="1">
      <c r="K446" s="201"/>
      <c r="L446" s="201"/>
      <c r="R446" s="2"/>
    </row>
    <row r="447" spans="11:18" ht="15.75" customHeight="1">
      <c r="K447" s="201"/>
      <c r="L447" s="201"/>
      <c r="R447" s="2"/>
    </row>
    <row r="448" spans="11:18" ht="15.75" customHeight="1">
      <c r="K448" s="201"/>
      <c r="L448" s="201"/>
      <c r="R448" s="2"/>
    </row>
    <row r="449" spans="11:18" ht="15.75" customHeight="1">
      <c r="K449" s="201"/>
      <c r="L449" s="201"/>
      <c r="R449" s="2"/>
    </row>
    <row r="450" spans="11:18" ht="15.75" customHeight="1">
      <c r="K450" s="201"/>
      <c r="L450" s="201"/>
      <c r="R450" s="2"/>
    </row>
    <row r="451" spans="11:18" ht="15.75" customHeight="1">
      <c r="K451" s="201"/>
      <c r="L451" s="201"/>
      <c r="R451" s="2"/>
    </row>
    <row r="452" spans="11:18" ht="15.75" customHeight="1">
      <c r="K452" s="201"/>
      <c r="L452" s="201"/>
      <c r="R452" s="2"/>
    </row>
    <row r="453" spans="11:18" ht="15.75" customHeight="1">
      <c r="K453" s="201"/>
      <c r="L453" s="201"/>
      <c r="R453" s="2"/>
    </row>
    <row r="454" spans="11:18" ht="15.75" customHeight="1">
      <c r="K454" s="201"/>
      <c r="L454" s="201"/>
      <c r="R454" s="2"/>
    </row>
    <row r="455" spans="11:18" ht="15.75" customHeight="1">
      <c r="K455" s="201"/>
      <c r="L455" s="201"/>
      <c r="R455" s="2"/>
    </row>
    <row r="456" spans="11:18" ht="15.75" customHeight="1">
      <c r="K456" s="201"/>
      <c r="L456" s="201"/>
      <c r="R456" s="2"/>
    </row>
    <row r="457" spans="11:18" ht="15.75" customHeight="1">
      <c r="K457" s="201"/>
      <c r="L457" s="201"/>
      <c r="R457" s="2"/>
    </row>
    <row r="458" spans="11:18" ht="15.75" customHeight="1">
      <c r="K458" s="201"/>
      <c r="L458" s="201"/>
      <c r="R458" s="2"/>
    </row>
    <row r="459" spans="11:18" ht="15.75" customHeight="1">
      <c r="K459" s="201"/>
      <c r="L459" s="201"/>
      <c r="R459" s="2"/>
    </row>
    <row r="460" spans="11:18" ht="15.75" customHeight="1">
      <c r="K460" s="201"/>
      <c r="L460" s="201"/>
      <c r="R460" s="2"/>
    </row>
    <row r="461" spans="11:18" ht="15.75" customHeight="1">
      <c r="L461" s="2"/>
      <c r="R461" s="2"/>
    </row>
    <row r="462" spans="11:18" ht="15.75" customHeight="1">
      <c r="L462" s="2"/>
      <c r="R462" s="2"/>
    </row>
    <row r="463" spans="11:18" ht="15.75" customHeight="1">
      <c r="L463" s="2"/>
      <c r="R463" s="2"/>
    </row>
    <row r="464" spans="11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  <row r="891" spans="12:18" ht="15.75" customHeight="1">
      <c r="L891" s="2"/>
      <c r="R891" s="2"/>
    </row>
    <row r="892" spans="12:18" ht="15.75" customHeight="1">
      <c r="L892" s="2"/>
      <c r="R892" s="2"/>
    </row>
    <row r="893" spans="12:18" ht="15.75" customHeight="1">
      <c r="L893" s="2"/>
      <c r="R893" s="2"/>
    </row>
    <row r="894" spans="12:18" ht="15.75" customHeight="1">
      <c r="L894" s="2"/>
      <c r="R894" s="2"/>
    </row>
    <row r="895" spans="12:18" ht="15.75" customHeight="1">
      <c r="L895" s="2"/>
      <c r="R895" s="2"/>
    </row>
    <row r="896" spans="12:18" ht="15.75" customHeight="1">
      <c r="L896" s="2"/>
      <c r="R896" s="2"/>
    </row>
    <row r="897" spans="12:18" ht="15.75" customHeight="1">
      <c r="L897" s="2"/>
      <c r="R897" s="2"/>
    </row>
    <row r="898" spans="12:18" ht="15.75" customHeight="1">
      <c r="L898" s="2"/>
      <c r="R898" s="2"/>
    </row>
    <row r="899" spans="12:18" ht="15.75" customHeight="1">
      <c r="L899" s="2"/>
      <c r="R899" s="2"/>
    </row>
    <row r="900" spans="12:18" ht="15.75" customHeight="1">
      <c r="L900" s="2"/>
      <c r="R900" s="2"/>
    </row>
    <row r="901" spans="12:18" ht="15.75" customHeight="1">
      <c r="L901" s="2"/>
      <c r="R901" s="2"/>
    </row>
    <row r="902" spans="12:18" ht="15.75" customHeight="1">
      <c r="L902" s="2"/>
      <c r="R902" s="2"/>
    </row>
    <row r="903" spans="12:18" ht="15.75" customHeight="1">
      <c r="L903" s="2"/>
      <c r="R903" s="2"/>
    </row>
    <row r="904" spans="12:18" ht="15.75" customHeight="1">
      <c r="L904" s="2"/>
      <c r="R904" s="2"/>
    </row>
    <row r="905" spans="12:18" ht="15.75" customHeight="1">
      <c r="L905" s="2"/>
      <c r="R905" s="2"/>
    </row>
    <row r="906" spans="12:18" ht="15.75" customHeight="1">
      <c r="L906" s="2"/>
      <c r="R906" s="2"/>
    </row>
    <row r="907" spans="12:18" ht="15.75" customHeight="1">
      <c r="L907" s="2"/>
      <c r="R907" s="2"/>
    </row>
    <row r="908" spans="12:18" ht="15.75" customHeight="1">
      <c r="L908" s="2"/>
      <c r="R908" s="2"/>
    </row>
    <row r="909" spans="12:18" ht="15.75" customHeight="1">
      <c r="L909" s="2"/>
      <c r="R909" s="2"/>
    </row>
    <row r="910" spans="12:18" ht="15.75" customHeight="1">
      <c r="L910" s="2"/>
      <c r="R910" s="2"/>
    </row>
    <row r="911" spans="12:18" ht="15.75" customHeight="1">
      <c r="L911" s="2"/>
      <c r="R911" s="2"/>
    </row>
    <row r="912" spans="12:18" ht="15.75" customHeight="1">
      <c r="L912" s="2"/>
      <c r="R912" s="2"/>
    </row>
    <row r="913" spans="12:18" ht="15.75" customHeight="1">
      <c r="L913" s="2"/>
      <c r="R913" s="2"/>
    </row>
    <row r="914" spans="12:18" ht="15.75" customHeight="1">
      <c r="L914" s="2"/>
      <c r="R914" s="2"/>
    </row>
    <row r="915" spans="12:18" ht="15.75" customHeight="1">
      <c r="L915" s="2"/>
      <c r="R915" s="2"/>
    </row>
    <row r="916" spans="12:18" ht="15.75" customHeight="1">
      <c r="L916" s="2"/>
      <c r="R916" s="2"/>
    </row>
    <row r="917" spans="12:18" ht="15.75" customHeight="1">
      <c r="L917" s="2"/>
      <c r="R917" s="2"/>
    </row>
    <row r="918" spans="12:18" ht="15.75" customHeight="1">
      <c r="L918" s="2"/>
      <c r="R918" s="2"/>
    </row>
    <row r="919" spans="12:18" ht="15.75" customHeight="1">
      <c r="L919" s="2"/>
      <c r="R919" s="2"/>
    </row>
    <row r="920" spans="12:18" ht="15.75" customHeight="1">
      <c r="L920" s="2"/>
      <c r="R920" s="2"/>
    </row>
    <row r="921" spans="12:18" ht="15.75" customHeight="1">
      <c r="L921" s="2"/>
      <c r="R921" s="2"/>
    </row>
    <row r="922" spans="12:18" ht="15.75" customHeight="1">
      <c r="L922" s="2"/>
      <c r="R922" s="2"/>
    </row>
    <row r="923" spans="12:18" ht="15.75" customHeight="1">
      <c r="L923" s="2"/>
      <c r="R923" s="2"/>
    </row>
    <row r="924" spans="12:18" ht="15.75" customHeight="1">
      <c r="L924" s="2"/>
      <c r="R924" s="2"/>
    </row>
    <row r="925" spans="12:18" ht="15.75" customHeight="1">
      <c r="L925" s="2"/>
      <c r="R925" s="2"/>
    </row>
    <row r="926" spans="12:18" ht="15.75" customHeight="1">
      <c r="L926" s="2"/>
      <c r="R926" s="2"/>
    </row>
    <row r="927" spans="12:18" ht="15.75" customHeight="1">
      <c r="L927" s="2"/>
      <c r="R927" s="2"/>
    </row>
    <row r="928" spans="12:18" ht="15.75" customHeight="1">
      <c r="L928" s="2"/>
      <c r="R928" s="2"/>
    </row>
    <row r="929" spans="12:18" ht="15.75" customHeight="1">
      <c r="L929" s="2"/>
      <c r="R929" s="2"/>
    </row>
    <row r="930" spans="12:18" ht="15.75" customHeight="1">
      <c r="L930" s="2"/>
      <c r="R930" s="2"/>
    </row>
    <row r="931" spans="12:18" ht="15.75" customHeight="1">
      <c r="L931" s="2"/>
      <c r="R931" s="2"/>
    </row>
    <row r="932" spans="12:18" ht="15.75" customHeight="1">
      <c r="L932" s="2"/>
      <c r="R932" s="2"/>
    </row>
    <row r="933" spans="12:18" ht="15.75" customHeight="1">
      <c r="L933" s="2"/>
      <c r="R933" s="2"/>
    </row>
    <row r="934" spans="12:18" ht="15.75" customHeight="1">
      <c r="L934" s="2"/>
      <c r="R934" s="2"/>
    </row>
    <row r="935" spans="12:18" ht="15.75" customHeight="1">
      <c r="L935" s="2"/>
      <c r="R935" s="2"/>
    </row>
    <row r="936" spans="12:18" ht="15.75" customHeight="1">
      <c r="L936" s="2"/>
      <c r="R936" s="2"/>
    </row>
    <row r="937" spans="12:18" ht="15.75" customHeight="1">
      <c r="L937" s="2"/>
      <c r="R937" s="2"/>
    </row>
  </sheetData>
  <mergeCells count="720">
    <mergeCell ref="D192:D193"/>
    <mergeCell ref="E192:E193"/>
    <mergeCell ref="A194:A195"/>
    <mergeCell ref="B202:B203"/>
    <mergeCell ref="C202:C203"/>
    <mergeCell ref="A204:A205"/>
    <mergeCell ref="B204:B205"/>
    <mergeCell ref="C204:C205"/>
    <mergeCell ref="D204:D205"/>
    <mergeCell ref="E204:E205"/>
    <mergeCell ref="A188:A189"/>
    <mergeCell ref="B188:B189"/>
    <mergeCell ref="C188:C189"/>
    <mergeCell ref="B190:B191"/>
    <mergeCell ref="C190:C191"/>
    <mergeCell ref="A190:A191"/>
    <mergeCell ref="A192:A193"/>
    <mergeCell ref="B192:B193"/>
    <mergeCell ref="C192:C193"/>
    <mergeCell ref="A182:A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202:D203"/>
    <mergeCell ref="E202:E203"/>
    <mergeCell ref="A198:A199"/>
    <mergeCell ref="A200:A201"/>
    <mergeCell ref="B200:B201"/>
    <mergeCell ref="C200:C201"/>
    <mergeCell ref="D200:D201"/>
    <mergeCell ref="E200:E201"/>
    <mergeCell ref="A202:A203"/>
    <mergeCell ref="D198:D199"/>
    <mergeCell ref="E198:E199"/>
    <mergeCell ref="B194:B195"/>
    <mergeCell ref="C194:C195"/>
    <mergeCell ref="A196:A197"/>
    <mergeCell ref="B196:B197"/>
    <mergeCell ref="C196:C197"/>
    <mergeCell ref="B198:B199"/>
    <mergeCell ref="C198:C199"/>
    <mergeCell ref="A178:A179"/>
    <mergeCell ref="B178:B179"/>
    <mergeCell ref="C178:C179"/>
    <mergeCell ref="D178:D179"/>
    <mergeCell ref="E178:E179"/>
    <mergeCell ref="D194:D195"/>
    <mergeCell ref="E194:E195"/>
    <mergeCell ref="D196:D197"/>
    <mergeCell ref="E196:E197"/>
    <mergeCell ref="C182:C183"/>
    <mergeCell ref="D182:D183"/>
    <mergeCell ref="A180:A181"/>
    <mergeCell ref="B180:B181"/>
    <mergeCell ref="C180:C181"/>
    <mergeCell ref="D180:D181"/>
    <mergeCell ref="E180:E181"/>
    <mergeCell ref="B182:B183"/>
    <mergeCell ref="E182:E183"/>
    <mergeCell ref="D186:D187"/>
    <mergeCell ref="E186:E187"/>
    <mergeCell ref="D188:D189"/>
    <mergeCell ref="E188:E189"/>
    <mergeCell ref="D190:D191"/>
    <mergeCell ref="E190:E191"/>
    <mergeCell ref="A167:A169"/>
    <mergeCell ref="B167:B169"/>
    <mergeCell ref="C167:C169"/>
    <mergeCell ref="D167:D169"/>
    <mergeCell ref="E167:E169"/>
    <mergeCell ref="C172:C173"/>
    <mergeCell ref="D172:D173"/>
    <mergeCell ref="B176:B177"/>
    <mergeCell ref="C176:C177"/>
    <mergeCell ref="D165:D166"/>
    <mergeCell ref="E165:E166"/>
    <mergeCell ref="A160:A161"/>
    <mergeCell ref="A162:A164"/>
    <mergeCell ref="B162:B164"/>
    <mergeCell ref="C162:C164"/>
    <mergeCell ref="D162:D164"/>
    <mergeCell ref="E162:E164"/>
    <mergeCell ref="A165:A166"/>
    <mergeCell ref="B165:B166"/>
    <mergeCell ref="C165:C166"/>
    <mergeCell ref="C160:C161"/>
    <mergeCell ref="D160:D161"/>
    <mergeCell ref="A158:A159"/>
    <mergeCell ref="B158:B159"/>
    <mergeCell ref="C158:C159"/>
    <mergeCell ref="D158:D159"/>
    <mergeCell ref="E158:E159"/>
    <mergeCell ref="B160:B161"/>
    <mergeCell ref="E160:E161"/>
    <mergeCell ref="A170:A171"/>
    <mergeCell ref="B170:B171"/>
    <mergeCell ref="C170:C171"/>
    <mergeCell ref="D170:D171"/>
    <mergeCell ref="E170:E171"/>
    <mergeCell ref="B172:B173"/>
    <mergeCell ref="E172:E173"/>
    <mergeCell ref="D176:D177"/>
    <mergeCell ref="E176:E177"/>
    <mergeCell ref="A172:A173"/>
    <mergeCell ref="A174:A175"/>
    <mergeCell ref="B174:B175"/>
    <mergeCell ref="C174:C175"/>
    <mergeCell ref="D174:D175"/>
    <mergeCell ref="E174:E175"/>
    <mergeCell ref="A176:A177"/>
    <mergeCell ref="A275:A276"/>
    <mergeCell ref="B275:B276"/>
    <mergeCell ref="C275:C276"/>
    <mergeCell ref="D275:D276"/>
    <mergeCell ref="E275:E276"/>
    <mergeCell ref="A277:A278"/>
    <mergeCell ref="B285:B286"/>
    <mergeCell ref="C285:C286"/>
    <mergeCell ref="A287:A288"/>
    <mergeCell ref="B287:B288"/>
    <mergeCell ref="C287:C288"/>
    <mergeCell ref="D287:D288"/>
    <mergeCell ref="E287:E288"/>
    <mergeCell ref="D269:D270"/>
    <mergeCell ref="E269:E270"/>
    <mergeCell ref="D271:D272"/>
    <mergeCell ref="E271:E272"/>
    <mergeCell ref="D273:D274"/>
    <mergeCell ref="E273:E274"/>
    <mergeCell ref="A265:A266"/>
    <mergeCell ref="A267:A268"/>
    <mergeCell ref="B267:B268"/>
    <mergeCell ref="C267:C268"/>
    <mergeCell ref="D267:D268"/>
    <mergeCell ref="E267:E268"/>
    <mergeCell ref="A269:A270"/>
    <mergeCell ref="B269:B270"/>
    <mergeCell ref="C269:C270"/>
    <mergeCell ref="A271:A272"/>
    <mergeCell ref="B271:B272"/>
    <mergeCell ref="C271:C272"/>
    <mergeCell ref="B273:B274"/>
    <mergeCell ref="C273:C274"/>
    <mergeCell ref="A273:A274"/>
    <mergeCell ref="C265:C266"/>
    <mergeCell ref="D265:D266"/>
    <mergeCell ref="A263:A264"/>
    <mergeCell ref="B263:B264"/>
    <mergeCell ref="C263:C264"/>
    <mergeCell ref="D263:D264"/>
    <mergeCell ref="E263:E264"/>
    <mergeCell ref="B265:B266"/>
    <mergeCell ref="E265:E266"/>
    <mergeCell ref="D293:D294"/>
    <mergeCell ref="E293:E294"/>
    <mergeCell ref="A295:A296"/>
    <mergeCell ref="U303:U304"/>
    <mergeCell ref="V303:V304"/>
    <mergeCell ref="D295:D296"/>
    <mergeCell ref="E295:E296"/>
    <mergeCell ref="D297:D298"/>
    <mergeCell ref="E297:E298"/>
    <mergeCell ref="F303:F304"/>
    <mergeCell ref="G303:N303"/>
    <mergeCell ref="O303:T303"/>
    <mergeCell ref="B295:B296"/>
    <mergeCell ref="C295:C296"/>
    <mergeCell ref="A297:A298"/>
    <mergeCell ref="B297:B298"/>
    <mergeCell ref="C297:C298"/>
    <mergeCell ref="A291:A292"/>
    <mergeCell ref="A293:A294"/>
    <mergeCell ref="B293:B294"/>
    <mergeCell ref="C293:C294"/>
    <mergeCell ref="C291:C292"/>
    <mergeCell ref="D291:D292"/>
    <mergeCell ref="A289:A290"/>
    <mergeCell ref="B289:B290"/>
    <mergeCell ref="C289:C290"/>
    <mergeCell ref="D289:D290"/>
    <mergeCell ref="E289:E290"/>
    <mergeCell ref="B291:B292"/>
    <mergeCell ref="E291:E292"/>
    <mergeCell ref="D285:D286"/>
    <mergeCell ref="E285:E286"/>
    <mergeCell ref="A281:A282"/>
    <mergeCell ref="A283:A284"/>
    <mergeCell ref="B283:B284"/>
    <mergeCell ref="C283:C284"/>
    <mergeCell ref="D283:D284"/>
    <mergeCell ref="E283:E284"/>
    <mergeCell ref="A285:A286"/>
    <mergeCell ref="D277:D278"/>
    <mergeCell ref="E277:E278"/>
    <mergeCell ref="D279:D280"/>
    <mergeCell ref="E279:E280"/>
    <mergeCell ref="D281:D282"/>
    <mergeCell ref="E281:E282"/>
    <mergeCell ref="B277:B278"/>
    <mergeCell ref="C277:C278"/>
    <mergeCell ref="A279:A280"/>
    <mergeCell ref="B279:B280"/>
    <mergeCell ref="C279:C280"/>
    <mergeCell ref="B281:B282"/>
    <mergeCell ref="C281:C282"/>
    <mergeCell ref="A245:A246"/>
    <mergeCell ref="B245:B246"/>
    <mergeCell ref="C245:C246"/>
    <mergeCell ref="D245:D246"/>
    <mergeCell ref="E245:E246"/>
    <mergeCell ref="A247:A248"/>
    <mergeCell ref="B259:B260"/>
    <mergeCell ref="C259:C260"/>
    <mergeCell ref="A261:A262"/>
    <mergeCell ref="B261:B262"/>
    <mergeCell ref="C261:C262"/>
    <mergeCell ref="D261:D262"/>
    <mergeCell ref="E261:E262"/>
    <mergeCell ref="C255:C256"/>
    <mergeCell ref="D255:D256"/>
    <mergeCell ref="A253:A254"/>
    <mergeCell ref="B253:B254"/>
    <mergeCell ref="C253:C254"/>
    <mergeCell ref="D253:D254"/>
    <mergeCell ref="E253:E254"/>
    <mergeCell ref="B255:B256"/>
    <mergeCell ref="E255:E256"/>
    <mergeCell ref="D239:D240"/>
    <mergeCell ref="E239:E240"/>
    <mergeCell ref="D241:D242"/>
    <mergeCell ref="E241:E242"/>
    <mergeCell ref="D243:D244"/>
    <mergeCell ref="E243:E244"/>
    <mergeCell ref="A235:A236"/>
    <mergeCell ref="A237:A238"/>
    <mergeCell ref="B237:B238"/>
    <mergeCell ref="C237:C238"/>
    <mergeCell ref="D237:D238"/>
    <mergeCell ref="E237:E238"/>
    <mergeCell ref="A239:A240"/>
    <mergeCell ref="B239:B240"/>
    <mergeCell ref="C239:C240"/>
    <mergeCell ref="A241:A242"/>
    <mergeCell ref="B241:B242"/>
    <mergeCell ref="C241:C242"/>
    <mergeCell ref="B243:B244"/>
    <mergeCell ref="C243:C244"/>
    <mergeCell ref="A243:A244"/>
    <mergeCell ref="C235:C236"/>
    <mergeCell ref="D235:D236"/>
    <mergeCell ref="A233:A234"/>
    <mergeCell ref="B233:B234"/>
    <mergeCell ref="C233:C234"/>
    <mergeCell ref="D233:D234"/>
    <mergeCell ref="E233:E234"/>
    <mergeCell ref="B235:B236"/>
    <mergeCell ref="E235:E236"/>
    <mergeCell ref="D259:D260"/>
    <mergeCell ref="E259:E260"/>
    <mergeCell ref="A255:A256"/>
    <mergeCell ref="A257:A258"/>
    <mergeCell ref="B257:B258"/>
    <mergeCell ref="C257:C258"/>
    <mergeCell ref="D257:D258"/>
    <mergeCell ref="E257:E258"/>
    <mergeCell ref="A259:A260"/>
    <mergeCell ref="D247:D248"/>
    <mergeCell ref="E247:E248"/>
    <mergeCell ref="D249:D250"/>
    <mergeCell ref="E249:E250"/>
    <mergeCell ref="D251:D252"/>
    <mergeCell ref="E251:E252"/>
    <mergeCell ref="B247:B248"/>
    <mergeCell ref="C247:C248"/>
    <mergeCell ref="A249:A250"/>
    <mergeCell ref="B249:B250"/>
    <mergeCell ref="C249:C250"/>
    <mergeCell ref="B251:B252"/>
    <mergeCell ref="C251:C252"/>
    <mergeCell ref="A219:A220"/>
    <mergeCell ref="B219:B220"/>
    <mergeCell ref="C219:C220"/>
    <mergeCell ref="D219:D220"/>
    <mergeCell ref="E219:E220"/>
    <mergeCell ref="A221:A222"/>
    <mergeCell ref="B229:B230"/>
    <mergeCell ref="C229:C230"/>
    <mergeCell ref="A231:A232"/>
    <mergeCell ref="B231:B232"/>
    <mergeCell ref="C231:C232"/>
    <mergeCell ref="D231:D232"/>
    <mergeCell ref="E231:E232"/>
    <mergeCell ref="D221:D222"/>
    <mergeCell ref="E221:E222"/>
    <mergeCell ref="D223:D224"/>
    <mergeCell ref="E223:E224"/>
    <mergeCell ref="D225:D226"/>
    <mergeCell ref="E225:E226"/>
    <mergeCell ref="B221:B222"/>
    <mergeCell ref="C221:C222"/>
    <mergeCell ref="A223:A224"/>
    <mergeCell ref="B223:B224"/>
    <mergeCell ref="C223:C224"/>
    <mergeCell ref="D213:D214"/>
    <mergeCell ref="E213:E214"/>
    <mergeCell ref="D215:D216"/>
    <mergeCell ref="E215:E216"/>
    <mergeCell ref="D217:D218"/>
    <mergeCell ref="E217:E218"/>
    <mergeCell ref="A208:A209"/>
    <mergeCell ref="A210:A212"/>
    <mergeCell ref="B210:B212"/>
    <mergeCell ref="C210:C212"/>
    <mergeCell ref="D210:D212"/>
    <mergeCell ref="E210:E212"/>
    <mergeCell ref="A213:A214"/>
    <mergeCell ref="B213:B214"/>
    <mergeCell ref="C213:C214"/>
    <mergeCell ref="A215:A216"/>
    <mergeCell ref="B215:B216"/>
    <mergeCell ref="C215:C216"/>
    <mergeCell ref="B217:B218"/>
    <mergeCell ref="C217:C218"/>
    <mergeCell ref="A217:A218"/>
    <mergeCell ref="C208:C209"/>
    <mergeCell ref="D208:D209"/>
    <mergeCell ref="A206:A207"/>
    <mergeCell ref="B206:B207"/>
    <mergeCell ref="C206:C207"/>
    <mergeCell ref="D206:D207"/>
    <mergeCell ref="E206:E207"/>
    <mergeCell ref="B208:B209"/>
    <mergeCell ref="E208:E209"/>
    <mergeCell ref="D229:D230"/>
    <mergeCell ref="E229:E230"/>
    <mergeCell ref="A225:A226"/>
    <mergeCell ref="A227:A228"/>
    <mergeCell ref="B227:B228"/>
    <mergeCell ref="C227:C228"/>
    <mergeCell ref="D227:D228"/>
    <mergeCell ref="E227:E228"/>
    <mergeCell ref="A229:A230"/>
    <mergeCell ref="B225:B226"/>
    <mergeCell ref="C225:C226"/>
    <mergeCell ref="D143:D144"/>
    <mergeCell ref="E143:E144"/>
    <mergeCell ref="A145:A146"/>
    <mergeCell ref="B154:B155"/>
    <mergeCell ref="C154:C155"/>
    <mergeCell ref="A156:A157"/>
    <mergeCell ref="B156:B157"/>
    <mergeCell ref="C156:C157"/>
    <mergeCell ref="D156:D157"/>
    <mergeCell ref="E156:E157"/>
    <mergeCell ref="A139:A140"/>
    <mergeCell ref="B139:B140"/>
    <mergeCell ref="C139:C140"/>
    <mergeCell ref="B141:B142"/>
    <mergeCell ref="C141:C142"/>
    <mergeCell ref="A141:A142"/>
    <mergeCell ref="A143:A144"/>
    <mergeCell ref="B143:B144"/>
    <mergeCell ref="C143:C144"/>
    <mergeCell ref="A133:A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54:D155"/>
    <mergeCell ref="E154:E155"/>
    <mergeCell ref="A149:A150"/>
    <mergeCell ref="A151:A153"/>
    <mergeCell ref="B151:B153"/>
    <mergeCell ref="C151:C153"/>
    <mergeCell ref="D151:D153"/>
    <mergeCell ref="E151:E153"/>
    <mergeCell ref="A154:A155"/>
    <mergeCell ref="D147:D148"/>
    <mergeCell ref="E147:E148"/>
    <mergeCell ref="D149:D150"/>
    <mergeCell ref="E149:E150"/>
    <mergeCell ref="B145:B146"/>
    <mergeCell ref="C145:C146"/>
    <mergeCell ref="A147:A148"/>
    <mergeCell ref="B147:B148"/>
    <mergeCell ref="C147:C148"/>
    <mergeCell ref="B149:B150"/>
    <mergeCell ref="C149:C150"/>
    <mergeCell ref="A124:A126"/>
    <mergeCell ref="A127:A128"/>
    <mergeCell ref="B127:B128"/>
    <mergeCell ref="C127:C128"/>
    <mergeCell ref="A129:A130"/>
    <mergeCell ref="B129:B130"/>
    <mergeCell ref="C129:C130"/>
    <mergeCell ref="D145:D146"/>
    <mergeCell ref="E145:E146"/>
    <mergeCell ref="C133:C134"/>
    <mergeCell ref="D133:D134"/>
    <mergeCell ref="A131:A132"/>
    <mergeCell ref="B131:B132"/>
    <mergeCell ref="C131:C132"/>
    <mergeCell ref="D131:D132"/>
    <mergeCell ref="E131:E132"/>
    <mergeCell ref="B133:B134"/>
    <mergeCell ref="E133:E134"/>
    <mergeCell ref="D137:D138"/>
    <mergeCell ref="E137:E138"/>
    <mergeCell ref="D139:D140"/>
    <mergeCell ref="E139:E140"/>
    <mergeCell ref="D141:D142"/>
    <mergeCell ref="E141:E142"/>
    <mergeCell ref="B124:B126"/>
    <mergeCell ref="C124:C126"/>
    <mergeCell ref="D127:D128"/>
    <mergeCell ref="D129:D130"/>
    <mergeCell ref="D120:D121"/>
    <mergeCell ref="E120:E121"/>
    <mergeCell ref="D122:D123"/>
    <mergeCell ref="E122:E123"/>
    <mergeCell ref="D124:D126"/>
    <mergeCell ref="E124:E126"/>
    <mergeCell ref="E127:E128"/>
    <mergeCell ref="E129:E130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A116:A117"/>
    <mergeCell ref="A100:A101"/>
    <mergeCell ref="B100:B101"/>
    <mergeCell ref="C100:C101"/>
    <mergeCell ref="D100:D101"/>
    <mergeCell ref="E100:E101"/>
    <mergeCell ref="A102:A103"/>
    <mergeCell ref="B110:B111"/>
    <mergeCell ref="C110:C111"/>
    <mergeCell ref="A112:A113"/>
    <mergeCell ref="B112:B113"/>
    <mergeCell ref="C112:C113"/>
    <mergeCell ref="D112:D113"/>
    <mergeCell ref="E112:E113"/>
    <mergeCell ref="D94:D95"/>
    <mergeCell ref="E94:E95"/>
    <mergeCell ref="D96:D97"/>
    <mergeCell ref="E96:E97"/>
    <mergeCell ref="D98:D99"/>
    <mergeCell ref="E98:E99"/>
    <mergeCell ref="A90:A91"/>
    <mergeCell ref="A92:A93"/>
    <mergeCell ref="B92:B93"/>
    <mergeCell ref="C92:C93"/>
    <mergeCell ref="D92:D93"/>
    <mergeCell ref="E92:E93"/>
    <mergeCell ref="A94:A95"/>
    <mergeCell ref="B94:B95"/>
    <mergeCell ref="C94:C95"/>
    <mergeCell ref="A96:A97"/>
    <mergeCell ref="B96:B97"/>
    <mergeCell ref="C96:C97"/>
    <mergeCell ref="B98:B99"/>
    <mergeCell ref="C98:C99"/>
    <mergeCell ref="A98:A99"/>
    <mergeCell ref="C90:C91"/>
    <mergeCell ref="D90:D91"/>
    <mergeCell ref="A88:A89"/>
    <mergeCell ref="B88:B89"/>
    <mergeCell ref="C88:C89"/>
    <mergeCell ref="D88:D89"/>
    <mergeCell ref="E88:E89"/>
    <mergeCell ref="B90:B91"/>
    <mergeCell ref="E90:E91"/>
    <mergeCell ref="D110:D111"/>
    <mergeCell ref="E110:E111"/>
    <mergeCell ref="A106:A107"/>
    <mergeCell ref="A108:A109"/>
    <mergeCell ref="B108:B109"/>
    <mergeCell ref="C108:C109"/>
    <mergeCell ref="D108:D109"/>
    <mergeCell ref="E108:E109"/>
    <mergeCell ref="A110:A111"/>
    <mergeCell ref="D102:D103"/>
    <mergeCell ref="E102:E103"/>
    <mergeCell ref="D104:D105"/>
    <mergeCell ref="E104:E105"/>
    <mergeCell ref="D106:D107"/>
    <mergeCell ref="E106:E107"/>
    <mergeCell ref="B102:B103"/>
    <mergeCell ref="C102:C103"/>
    <mergeCell ref="A104:A105"/>
    <mergeCell ref="B104:B105"/>
    <mergeCell ref="C104:C105"/>
    <mergeCell ref="B106:B107"/>
    <mergeCell ref="C106:C107"/>
    <mergeCell ref="D74:D75"/>
    <mergeCell ref="E74:E75"/>
    <mergeCell ref="A76:A77"/>
    <mergeCell ref="B84:B85"/>
    <mergeCell ref="C84:C85"/>
    <mergeCell ref="A86:A87"/>
    <mergeCell ref="B86:B87"/>
    <mergeCell ref="C86:C87"/>
    <mergeCell ref="D86:D87"/>
    <mergeCell ref="E86:E87"/>
    <mergeCell ref="A70:A71"/>
    <mergeCell ref="B70:B71"/>
    <mergeCell ref="C70:C71"/>
    <mergeCell ref="B72:B73"/>
    <mergeCell ref="C72:C73"/>
    <mergeCell ref="A72:A73"/>
    <mergeCell ref="A74:A75"/>
    <mergeCell ref="B74:B75"/>
    <mergeCell ref="C74:C75"/>
    <mergeCell ref="A64:A65"/>
    <mergeCell ref="A66:A67"/>
    <mergeCell ref="B66:B67"/>
    <mergeCell ref="C66:C67"/>
    <mergeCell ref="D66:D67"/>
    <mergeCell ref="E66:E67"/>
    <mergeCell ref="A68:A69"/>
    <mergeCell ref="B68:B69"/>
    <mergeCell ref="C68:C69"/>
    <mergeCell ref="D84:D85"/>
    <mergeCell ref="E84:E85"/>
    <mergeCell ref="A80:A81"/>
    <mergeCell ref="A82:A83"/>
    <mergeCell ref="B82:B83"/>
    <mergeCell ref="C82:C83"/>
    <mergeCell ref="D82:D83"/>
    <mergeCell ref="E82:E83"/>
    <mergeCell ref="A84:A85"/>
    <mergeCell ref="D80:D81"/>
    <mergeCell ref="E80:E81"/>
    <mergeCell ref="B76:B77"/>
    <mergeCell ref="C76:C77"/>
    <mergeCell ref="A78:A79"/>
    <mergeCell ref="B78:B79"/>
    <mergeCell ref="C78:C79"/>
    <mergeCell ref="B80:B81"/>
    <mergeCell ref="C80:C81"/>
    <mergeCell ref="A60:A61"/>
    <mergeCell ref="B60:B61"/>
    <mergeCell ref="C60:C61"/>
    <mergeCell ref="D60:D61"/>
    <mergeCell ref="E60:E61"/>
    <mergeCell ref="D76:D77"/>
    <mergeCell ref="E76:E77"/>
    <mergeCell ref="D78:D79"/>
    <mergeCell ref="E78:E79"/>
    <mergeCell ref="C64:C65"/>
    <mergeCell ref="D64:D65"/>
    <mergeCell ref="A62:A63"/>
    <mergeCell ref="B62:B63"/>
    <mergeCell ref="C62:C63"/>
    <mergeCell ref="D62:D63"/>
    <mergeCell ref="E62:E63"/>
    <mergeCell ref="B64:B65"/>
    <mergeCell ref="E64:E65"/>
    <mergeCell ref="D68:D69"/>
    <mergeCell ref="E68:E69"/>
    <mergeCell ref="D70:D71"/>
    <mergeCell ref="E70:E71"/>
    <mergeCell ref="D72:D73"/>
    <mergeCell ref="E72:E73"/>
    <mergeCell ref="D50:D51"/>
    <mergeCell ref="E50:E51"/>
    <mergeCell ref="D52:D53"/>
    <mergeCell ref="E52:E53"/>
    <mergeCell ref="D54:D55"/>
    <mergeCell ref="E54:E55"/>
    <mergeCell ref="A45:A46"/>
    <mergeCell ref="A47:A49"/>
    <mergeCell ref="B47:B49"/>
    <mergeCell ref="C47:C49"/>
    <mergeCell ref="D47:D49"/>
    <mergeCell ref="E47:E49"/>
    <mergeCell ref="A50:A51"/>
    <mergeCell ref="B50:B51"/>
    <mergeCell ref="C50:C51"/>
    <mergeCell ref="A52:A53"/>
    <mergeCell ref="B52:B53"/>
    <mergeCell ref="C52:C53"/>
    <mergeCell ref="B54:B55"/>
    <mergeCell ref="C54:C55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8:D59"/>
    <mergeCell ref="E58:E59"/>
    <mergeCell ref="A54:A55"/>
    <mergeCell ref="A56:A57"/>
    <mergeCell ref="B56:B57"/>
    <mergeCell ref="C56:C57"/>
    <mergeCell ref="D56:D57"/>
    <mergeCell ref="E56:E57"/>
    <mergeCell ref="A58:A59"/>
    <mergeCell ref="B58:B59"/>
    <mergeCell ref="C58:C59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5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66">
        <v>1</v>
      </c>
      <c r="I10" s="37"/>
      <c r="J10" s="38"/>
      <c r="K10" s="39"/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46"/>
      <c r="G11" s="47" t="s">
        <v>24</v>
      </c>
      <c r="H11" s="48">
        <v>3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4</v>
      </c>
      <c r="Q11" s="30">
        <v>47242.18</v>
      </c>
      <c r="R11" s="27"/>
      <c r="S11" s="26">
        <f t="shared" si="1"/>
        <v>0</v>
      </c>
      <c r="T11" s="26"/>
      <c r="U11" s="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54"/>
      <c r="G12" s="55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60"/>
      <c r="G13" s="23" t="s">
        <v>24</v>
      </c>
      <c r="H13" s="61">
        <v>4</v>
      </c>
      <c r="I13" s="62">
        <v>1</v>
      </c>
      <c r="J13" s="62">
        <v>2</v>
      </c>
      <c r="K13" s="30">
        <v>5049.43</v>
      </c>
      <c r="L13" s="27"/>
      <c r="M13" s="26">
        <f t="shared" si="0"/>
        <v>0</v>
      </c>
      <c r="N13" s="26"/>
      <c r="O13" s="63"/>
      <c r="P13" s="64">
        <v>9</v>
      </c>
      <c r="Q13" s="65">
        <v>27664.82</v>
      </c>
      <c r="R13" s="51"/>
      <c r="S13" s="50">
        <f t="shared" si="1"/>
        <v>0</v>
      </c>
      <c r="T13" s="50"/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35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82"/>
      <c r="B15" s="381" t="s">
        <v>31</v>
      </c>
      <c r="C15" s="381" t="s">
        <v>22</v>
      </c>
      <c r="D15" s="381" t="s">
        <v>32</v>
      </c>
      <c r="E15" s="381" t="s">
        <v>27</v>
      </c>
      <c r="F15" s="46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21" t="s">
        <v>213</v>
      </c>
      <c r="G16" s="101" t="s">
        <v>28</v>
      </c>
      <c r="H16" s="112">
        <v>2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4</v>
      </c>
      <c r="Q16" s="114">
        <v>5186.7</v>
      </c>
      <c r="R16" s="44"/>
      <c r="S16" s="43">
        <f t="shared" si="1"/>
        <v>1344.7</v>
      </c>
      <c r="T16" s="43"/>
      <c r="U16" s="222">
        <v>1344.7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107"/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22</v>
      </c>
      <c r="D21" s="381" t="s">
        <v>36</v>
      </c>
      <c r="E21" s="381" t="s">
        <v>37</v>
      </c>
      <c r="F21" s="110"/>
      <c r="G21" s="47" t="s">
        <v>24</v>
      </c>
      <c r="H21" s="48">
        <v>2</v>
      </c>
      <c r="I21" s="49"/>
      <c r="J21" s="49"/>
      <c r="K21" s="50"/>
      <c r="L21" s="51"/>
      <c r="M21" s="50">
        <f t="shared" si="0"/>
        <v>0</v>
      </c>
      <c r="N21" s="50"/>
      <c r="O21" s="31"/>
      <c r="P21" s="108">
        <v>3</v>
      </c>
      <c r="Q21" s="65">
        <v>3095.69</v>
      </c>
      <c r="R21" s="51"/>
      <c r="S21" s="50">
        <f t="shared" si="1"/>
        <v>0</v>
      </c>
      <c r="T21" s="50"/>
      <c r="U21" s="31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46"/>
      <c r="G23" s="23" t="s">
        <v>24</v>
      </c>
      <c r="H23" s="48">
        <v>2</v>
      </c>
      <c r="I23" s="49"/>
      <c r="J23" s="49"/>
      <c r="K23" s="50"/>
      <c r="L23" s="51"/>
      <c r="M23" s="50">
        <f t="shared" si="0"/>
        <v>0</v>
      </c>
      <c r="N23" s="50"/>
      <c r="O23" s="31"/>
      <c r="P23" s="53">
        <v>3</v>
      </c>
      <c r="Q23" s="30">
        <v>4567.24</v>
      </c>
      <c r="R23" s="27"/>
      <c r="S23" s="26">
        <f t="shared" si="1"/>
        <v>0</v>
      </c>
      <c r="T23" s="26"/>
      <c r="U23" s="100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54"/>
      <c r="G24" s="55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/>
      <c r="D25" s="374"/>
      <c r="E25" s="374"/>
      <c r="F25" s="22"/>
      <c r="G25" s="23" t="s">
        <v>24</v>
      </c>
      <c r="H25" s="61">
        <v>4</v>
      </c>
      <c r="I25" s="25"/>
      <c r="J25" s="25"/>
      <c r="K25" s="25"/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0</v>
      </c>
      <c r="T25" s="26"/>
      <c r="U25" s="31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35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82"/>
      <c r="B27" s="381" t="s">
        <v>44</v>
      </c>
      <c r="C27" s="381" t="s">
        <v>22</v>
      </c>
      <c r="D27" s="381"/>
      <c r="E27" s="381" t="s">
        <v>27</v>
      </c>
      <c r="F27" s="46"/>
      <c r="G27" s="47" t="s">
        <v>24</v>
      </c>
      <c r="H27" s="48">
        <v>4</v>
      </c>
      <c r="I27" s="203">
        <v>3</v>
      </c>
      <c r="J27" s="203">
        <v>3</v>
      </c>
      <c r="K27" s="65">
        <v>5612.01</v>
      </c>
      <c r="L27" s="51"/>
      <c r="M27" s="50">
        <f t="shared" si="0"/>
        <v>0</v>
      </c>
      <c r="N27" s="50"/>
      <c r="O27" s="31"/>
      <c r="P27" s="53">
        <v>8</v>
      </c>
      <c r="Q27" s="30">
        <v>12620.84</v>
      </c>
      <c r="R27" s="27"/>
      <c r="S27" s="26">
        <f t="shared" si="1"/>
        <v>0</v>
      </c>
      <c r="T27" s="26"/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221" t="s">
        <v>216</v>
      </c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59"/>
      <c r="Q28" s="39"/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1" t="s">
        <v>217</v>
      </c>
      <c r="G30" s="55" t="s">
        <v>28</v>
      </c>
      <c r="H30" s="56">
        <v>3</v>
      </c>
      <c r="I30" s="57"/>
      <c r="J30" s="57"/>
      <c r="K30" s="43"/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14247.380000000001</v>
      </c>
      <c r="T30" s="43"/>
      <c r="U30" s="222">
        <f>6563.38+7684</f>
        <v>14247.380000000001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46"/>
      <c r="G33" s="47" t="s">
        <v>24</v>
      </c>
      <c r="H33" s="151">
        <v>2</v>
      </c>
      <c r="I33" s="203">
        <v>1</v>
      </c>
      <c r="J33" s="203">
        <v>1</v>
      </c>
      <c r="K33" s="65">
        <v>1045.98</v>
      </c>
      <c r="L33" s="51"/>
      <c r="M33" s="50">
        <f t="shared" si="0"/>
        <v>0</v>
      </c>
      <c r="N33" s="50"/>
      <c r="O33" s="31"/>
      <c r="P33" s="108">
        <v>8</v>
      </c>
      <c r="Q33" s="65">
        <v>23443.62</v>
      </c>
      <c r="R33" s="51"/>
      <c r="S33" s="50">
        <f t="shared" si="1"/>
        <v>0</v>
      </c>
      <c r="T33" s="50"/>
      <c r="U33" s="31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5</v>
      </c>
      <c r="I34" s="57"/>
      <c r="J34" s="57"/>
      <c r="K34" s="43"/>
      <c r="L34" s="44"/>
      <c r="M34" s="43">
        <f t="shared" si="0"/>
        <v>0</v>
      </c>
      <c r="N34" s="43"/>
      <c r="O34" s="45"/>
      <c r="P34" s="113">
        <v>2</v>
      </c>
      <c r="Q34" s="114">
        <v>2593.35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3</v>
      </c>
      <c r="Q37" s="65">
        <v>8719.3799999999992</v>
      </c>
      <c r="R37" s="51"/>
      <c r="S37" s="50">
        <f t="shared" si="1"/>
        <v>1893.47</v>
      </c>
      <c r="T37" s="50"/>
      <c r="U37" s="225">
        <v>1893.47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35" t="s">
        <v>28</v>
      </c>
      <c r="H38" s="66">
        <v>2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7">
        <v>1</v>
      </c>
      <c r="Q38" s="68">
        <v>1152.5999999999999</v>
      </c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57</v>
      </c>
      <c r="E41" s="381" t="s">
        <v>58</v>
      </c>
      <c r="F41" s="46"/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0</v>
      </c>
      <c r="T41" s="26"/>
      <c r="U41" s="100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46"/>
      <c r="G43" s="23" t="s">
        <v>24</v>
      </c>
      <c r="H43" s="48">
        <v>2</v>
      </c>
      <c r="I43" s="203">
        <v>2</v>
      </c>
      <c r="J43" s="203">
        <v>2</v>
      </c>
      <c r="K43" s="65">
        <v>1537</v>
      </c>
      <c r="L43" s="51"/>
      <c r="M43" s="50">
        <f t="shared" si="0"/>
        <v>0</v>
      </c>
      <c r="N43" s="50"/>
      <c r="O43" s="52"/>
      <c r="P43" s="53">
        <v>16</v>
      </c>
      <c r="Q43" s="30">
        <v>65394.77</v>
      </c>
      <c r="R43" s="27"/>
      <c r="S43" s="26">
        <f t="shared" si="1"/>
        <v>0</v>
      </c>
      <c r="T43" s="26"/>
      <c r="U43" s="2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1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1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2</v>
      </c>
      <c r="Q48" s="68">
        <v>2761.2</v>
      </c>
      <c r="R48" s="40"/>
      <c r="S48" s="39">
        <f t="shared" si="1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226"/>
      <c r="G50" s="227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2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32" t="s">
        <v>222</v>
      </c>
      <c r="G53" s="95" t="s">
        <v>24</v>
      </c>
      <c r="H53" s="61">
        <v>3</v>
      </c>
      <c r="I53" s="62">
        <v>2</v>
      </c>
      <c r="J53" s="62">
        <v>2</v>
      </c>
      <c r="K53" s="30">
        <v>5787.98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7"/>
      <c r="S53" s="26">
        <f t="shared" si="1"/>
        <v>1997.49</v>
      </c>
      <c r="T53" s="26"/>
      <c r="U53" s="225">
        <v>1997.49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34"/>
      <c r="G54" s="35" t="s">
        <v>28</v>
      </c>
      <c r="H54" s="117">
        <v>1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71</v>
      </c>
      <c r="E55" s="381" t="s">
        <v>55</v>
      </c>
      <c r="F55" s="46"/>
      <c r="G55" s="47" t="s">
        <v>24</v>
      </c>
      <c r="H55" s="48">
        <v>5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1"/>
        <v>0</v>
      </c>
      <c r="T55" s="26"/>
      <c r="U55" s="10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2</v>
      </c>
      <c r="I57" s="49"/>
      <c r="J57" s="49"/>
      <c r="K57" s="50"/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233" t="s">
        <v>223</v>
      </c>
      <c r="G58" s="227" t="s">
        <v>28</v>
      </c>
      <c r="H58" s="112">
        <v>1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 t="s">
        <v>22</v>
      </c>
      <c r="D59" s="374"/>
      <c r="E59" s="374" t="s">
        <v>27</v>
      </c>
      <c r="F59" s="204" t="s">
        <v>209</v>
      </c>
      <c r="G59" s="176" t="s">
        <v>24</v>
      </c>
      <c r="H59" s="104"/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9062.41</v>
      </c>
      <c r="T59" s="30">
        <v>9062.41</v>
      </c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74</v>
      </c>
      <c r="C61" s="377" t="s">
        <v>39</v>
      </c>
      <c r="D61" s="377" t="s">
        <v>75</v>
      </c>
      <c r="E61" s="377" t="s">
        <v>27</v>
      </c>
      <c r="F61" s="72"/>
      <c r="G61" s="95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8</v>
      </c>
      <c r="Q61" s="65">
        <v>25479.99</v>
      </c>
      <c r="R61" s="51"/>
      <c r="S61" s="50">
        <f t="shared" si="1"/>
        <v>0</v>
      </c>
      <c r="T61" s="50"/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54"/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1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4</v>
      </c>
      <c r="Q63" s="30">
        <v>2984.28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34"/>
      <c r="G64" s="35" t="s">
        <v>28</v>
      </c>
      <c r="H64" s="117">
        <v>1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203">
        <v>1</v>
      </c>
      <c r="J65" s="203">
        <v>1</v>
      </c>
      <c r="K65" s="65">
        <v>633.92999999999995</v>
      </c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61">
        <v>1</v>
      </c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17">
        <v>1</v>
      </c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48">
        <v>1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4</v>
      </c>
      <c r="Q69" s="65">
        <v>16789.810000000001</v>
      </c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126"/>
      <c r="G70" s="55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 t="s">
        <v>39</v>
      </c>
      <c r="D71" s="374" t="s">
        <v>224</v>
      </c>
      <c r="E71" s="374" t="s">
        <v>65</v>
      </c>
      <c r="F71" s="223" t="s">
        <v>225</v>
      </c>
      <c r="G71" s="23" t="s">
        <v>24</v>
      </c>
      <c r="H71" s="24">
        <v>6</v>
      </c>
      <c r="I71" s="62">
        <v>5</v>
      </c>
      <c r="J71" s="62">
        <v>6</v>
      </c>
      <c r="K71" s="30">
        <v>19717.55</v>
      </c>
      <c r="L71" s="27"/>
      <c r="M71" s="26">
        <f t="shared" si="0"/>
        <v>0</v>
      </c>
      <c r="N71" s="26"/>
      <c r="O71" s="31"/>
      <c r="P71" s="29">
        <v>16</v>
      </c>
      <c r="Q71" s="30">
        <v>45118.13</v>
      </c>
      <c r="R71" s="27"/>
      <c r="S71" s="26">
        <f t="shared" si="1"/>
        <v>10367.34</v>
      </c>
      <c r="T71" s="26"/>
      <c r="U71" s="225">
        <v>10367.34</v>
      </c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28</v>
      </c>
      <c r="H72" s="36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82</v>
      </c>
      <c r="C73" s="381" t="s">
        <v>22</v>
      </c>
      <c r="D73" s="385"/>
      <c r="E73" s="381" t="s">
        <v>83</v>
      </c>
      <c r="F73" s="127"/>
      <c r="G73" s="47" t="s">
        <v>24</v>
      </c>
      <c r="H73" s="151">
        <v>2</v>
      </c>
      <c r="I73" s="203">
        <v>1</v>
      </c>
      <c r="J73" s="203">
        <v>1</v>
      </c>
      <c r="K73" s="65">
        <v>950.9</v>
      </c>
      <c r="L73" s="51"/>
      <c r="M73" s="50">
        <f t="shared" si="0"/>
        <v>0</v>
      </c>
      <c r="N73" s="50"/>
      <c r="O73" s="31"/>
      <c r="P73" s="108">
        <v>1</v>
      </c>
      <c r="Q73" s="65">
        <v>1104.5999999999999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1">
        <v>1</v>
      </c>
      <c r="I74" s="57"/>
      <c r="J74" s="57"/>
      <c r="K74" s="43"/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126"/>
      <c r="G78" s="55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22</v>
      </c>
      <c r="D79" s="374"/>
      <c r="E79" s="374" t="s">
        <v>23</v>
      </c>
      <c r="F79" s="60"/>
      <c r="G79" s="23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53">
        <v>2</v>
      </c>
      <c r="Q79" s="30">
        <v>5673.46</v>
      </c>
      <c r="R79" s="27"/>
      <c r="S79" s="26">
        <f t="shared" si="1"/>
        <v>0</v>
      </c>
      <c r="T79" s="26"/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26"/>
      <c r="G80" s="55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2"/>
      <c r="G81" s="23" t="s">
        <v>24</v>
      </c>
      <c r="H81" s="61">
        <v>2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5</v>
      </c>
      <c r="Q81" s="30">
        <v>14914.91</v>
      </c>
      <c r="R81" s="27"/>
      <c r="S81" s="26">
        <f t="shared" si="1"/>
        <v>0</v>
      </c>
      <c r="T81" s="26"/>
      <c r="U81" s="31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35" t="s">
        <v>25</v>
      </c>
      <c r="H82" s="117">
        <v>3</v>
      </c>
      <c r="I82" s="38"/>
      <c r="J82" s="38"/>
      <c r="K82" s="39"/>
      <c r="L82" s="40"/>
      <c r="M82" s="39">
        <f t="shared" si="0"/>
        <v>0</v>
      </c>
      <c r="N82" s="39"/>
      <c r="O82" s="41"/>
      <c r="P82" s="115">
        <v>5</v>
      </c>
      <c r="Q82" s="68">
        <v>10181.299999999999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90</v>
      </c>
      <c r="C83" s="381" t="s">
        <v>39</v>
      </c>
      <c r="D83" s="381" t="s">
        <v>91</v>
      </c>
      <c r="E83" s="381" t="s">
        <v>27</v>
      </c>
      <c r="F83" s="46"/>
      <c r="G83" s="47" t="s">
        <v>24</v>
      </c>
      <c r="H83" s="48">
        <v>2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2</v>
      </c>
      <c r="Q83" s="65">
        <v>11023.43</v>
      </c>
      <c r="R83" s="51"/>
      <c r="S83" s="50">
        <f t="shared" si="1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75"/>
      <c r="E84" s="380"/>
      <c r="F84" s="221" t="s">
        <v>229</v>
      </c>
      <c r="G84" s="55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2"/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4</v>
      </c>
      <c r="Q85" s="30">
        <v>21628.85</v>
      </c>
      <c r="R85" s="27"/>
      <c r="S85" s="26">
        <f t="shared" si="1"/>
        <v>0</v>
      </c>
      <c r="T85" s="26"/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221" t="s">
        <v>230</v>
      </c>
      <c r="G86" s="55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126"/>
      <c r="G88" s="55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2"/>
      <c r="G89" s="23" t="s">
        <v>24</v>
      </c>
      <c r="H89" s="48">
        <v>2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11</v>
      </c>
      <c r="Q89" s="30">
        <v>22045.33</v>
      </c>
      <c r="R89" s="27"/>
      <c r="S89" s="26">
        <f t="shared" si="1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54"/>
      <c r="G90" s="55" t="s">
        <v>25</v>
      </c>
      <c r="H90" s="112">
        <v>3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134"/>
      <c r="G91" s="23" t="s">
        <v>24</v>
      </c>
      <c r="H91" s="24">
        <v>1</v>
      </c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35"/>
      <c r="G92" s="55" t="s">
        <v>28</v>
      </c>
      <c r="H92" s="207">
        <v>2</v>
      </c>
      <c r="I92" s="208">
        <v>1</v>
      </c>
      <c r="J92" s="208">
        <v>1</v>
      </c>
      <c r="K92" s="209">
        <v>1344.7</v>
      </c>
      <c r="L92" s="210"/>
      <c r="M92" s="211">
        <f t="shared" si="0"/>
        <v>0</v>
      </c>
      <c r="N92" s="211"/>
      <c r="O92" s="212"/>
      <c r="P92" s="103"/>
      <c r="Q92" s="43"/>
      <c r="R92" s="44"/>
      <c r="S92" s="43">
        <f t="shared" si="1"/>
        <v>2209.15</v>
      </c>
      <c r="T92" s="43"/>
      <c r="U92" s="234">
        <v>2209.15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98</v>
      </c>
      <c r="C93" s="374" t="s">
        <v>22</v>
      </c>
      <c r="D93" s="374"/>
      <c r="E93" s="374" t="s">
        <v>99</v>
      </c>
      <c r="F93" s="60"/>
      <c r="G93" s="213" t="s">
        <v>24</v>
      </c>
      <c r="H93" s="24">
        <v>3</v>
      </c>
      <c r="I93" s="62">
        <v>1</v>
      </c>
      <c r="J93" s="62">
        <v>1</v>
      </c>
      <c r="K93" s="30">
        <v>633.92999999999995</v>
      </c>
      <c r="L93" s="27"/>
      <c r="M93" s="26">
        <f t="shared" si="0"/>
        <v>0</v>
      </c>
      <c r="N93" s="26"/>
      <c r="O93" s="100"/>
      <c r="P93" s="214">
        <v>9</v>
      </c>
      <c r="Q93" s="30">
        <v>43393.32</v>
      </c>
      <c r="R93" s="27"/>
      <c r="S93" s="26">
        <f t="shared" si="1"/>
        <v>0</v>
      </c>
      <c r="T93" s="26"/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34"/>
      <c r="G94" s="215" t="s">
        <v>28</v>
      </c>
      <c r="H94" s="133">
        <v>2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0</v>
      </c>
      <c r="T94" s="39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81" t="s">
        <v>22</v>
      </c>
      <c r="D95" s="381" t="s">
        <v>101</v>
      </c>
      <c r="E95" s="381" t="s">
        <v>27</v>
      </c>
      <c r="F95" s="46"/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0</v>
      </c>
      <c r="T95" s="50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33">
        <v>1</v>
      </c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46"/>
      <c r="G97" s="23" t="s">
        <v>24</v>
      </c>
      <c r="H97" s="48">
        <v>2</v>
      </c>
      <c r="I97" s="203">
        <v>1</v>
      </c>
      <c r="J97" s="203">
        <v>1</v>
      </c>
      <c r="K97" s="65">
        <v>966.08</v>
      </c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51"/>
      <c r="S97" s="50">
        <f t="shared" si="1"/>
        <v>0</v>
      </c>
      <c r="T97" s="50"/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54"/>
      <c r="G98" s="55" t="s">
        <v>28</v>
      </c>
      <c r="H98" s="111"/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2</v>
      </c>
      <c r="Q98" s="114">
        <v>8007.8</v>
      </c>
      <c r="R98" s="44"/>
      <c r="S98" s="43">
        <f t="shared" si="1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107"/>
      <c r="I99" s="25"/>
      <c r="J99" s="25"/>
      <c r="K99" s="26"/>
      <c r="L99" s="27"/>
      <c r="M99" s="26">
        <f t="shared" si="0"/>
        <v>0</v>
      </c>
      <c r="N99" s="26"/>
      <c r="O99" s="31"/>
      <c r="P99" s="53">
        <v>4</v>
      </c>
      <c r="Q99" s="30">
        <v>5054.3999999999996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34"/>
      <c r="G100" s="35" t="s">
        <v>28</v>
      </c>
      <c r="H100" s="116"/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105</v>
      </c>
      <c r="E101" s="381" t="s">
        <v>27</v>
      </c>
      <c r="F101" s="46"/>
      <c r="G101" s="23" t="s">
        <v>24</v>
      </c>
      <c r="H101" s="48">
        <v>3</v>
      </c>
      <c r="I101" s="49"/>
      <c r="J101" s="49"/>
      <c r="K101" s="50"/>
      <c r="L101" s="51"/>
      <c r="M101" s="50">
        <f t="shared" si="0"/>
        <v>0</v>
      </c>
      <c r="N101" s="50"/>
      <c r="O101" s="31"/>
      <c r="P101" s="108">
        <v>7</v>
      </c>
      <c r="Q101" s="65">
        <v>18298</v>
      </c>
      <c r="R101" s="51"/>
      <c r="S101" s="50">
        <f t="shared" si="1"/>
        <v>0</v>
      </c>
      <c r="T101" s="50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107"/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16534.97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21" t="s">
        <v>233</v>
      </c>
      <c r="G104" s="55" t="s">
        <v>28</v>
      </c>
      <c r="H104" s="153">
        <v>1</v>
      </c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60"/>
      <c r="G105" s="23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4</v>
      </c>
      <c r="Q105" s="30">
        <v>14334.39</v>
      </c>
      <c r="R105" s="27"/>
      <c r="S105" s="26">
        <f t="shared" si="1"/>
        <v>0</v>
      </c>
      <c r="T105" s="26"/>
      <c r="U105" s="31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235" t="s">
        <v>234</v>
      </c>
      <c r="G106" s="141" t="s">
        <v>28</v>
      </c>
      <c r="H106" s="48">
        <v>1</v>
      </c>
      <c r="I106" s="139"/>
      <c r="J106" s="139"/>
      <c r="K106" s="142"/>
      <c r="L106" s="143"/>
      <c r="M106" s="142">
        <f t="shared" si="0"/>
        <v>0</v>
      </c>
      <c r="N106" s="142"/>
      <c r="O106" s="45"/>
      <c r="P106" s="144"/>
      <c r="Q106" s="142"/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146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2"/>
      <c r="B108" s="381" t="s">
        <v>110</v>
      </c>
      <c r="C108" s="381" t="s">
        <v>22</v>
      </c>
      <c r="D108" s="381"/>
      <c r="E108" s="381" t="s">
        <v>67</v>
      </c>
      <c r="F108" s="127"/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0</v>
      </c>
      <c r="T108" s="50"/>
      <c r="U108" s="31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53">
        <v>2</v>
      </c>
      <c r="Q110" s="30">
        <v>1306.28</v>
      </c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221" t="s">
        <v>235</v>
      </c>
      <c r="G111" s="55" t="s">
        <v>28</v>
      </c>
      <c r="H111" s="116"/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22</v>
      </c>
      <c r="D112" s="374" t="s">
        <v>114</v>
      </c>
      <c r="E112" s="374" t="s">
        <v>27</v>
      </c>
      <c r="F112" s="60"/>
      <c r="G112" s="23" t="s">
        <v>24</v>
      </c>
      <c r="H112" s="48">
        <v>3</v>
      </c>
      <c r="I112" s="62">
        <v>1</v>
      </c>
      <c r="J112" s="62">
        <v>1</v>
      </c>
      <c r="K112" s="30">
        <v>950.9</v>
      </c>
      <c r="L112" s="27"/>
      <c r="M112" s="26">
        <f t="shared" si="0"/>
        <v>0</v>
      </c>
      <c r="N112" s="26"/>
      <c r="O112" s="31"/>
      <c r="P112" s="53">
        <v>7</v>
      </c>
      <c r="Q112" s="30">
        <v>17784.37</v>
      </c>
      <c r="R112" s="27"/>
      <c r="S112" s="26">
        <f t="shared" si="1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54"/>
      <c r="G113" s="55" t="s">
        <v>28</v>
      </c>
      <c r="H113" s="56">
        <v>1</v>
      </c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46"/>
      <c r="G116" s="47" t="s">
        <v>24</v>
      </c>
      <c r="H116" s="61">
        <v>2</v>
      </c>
      <c r="I116" s="25"/>
      <c r="J116" s="25"/>
      <c r="K116" s="26"/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0</v>
      </c>
      <c r="T116" s="50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46"/>
      <c r="G118" s="23" t="s">
        <v>24</v>
      </c>
      <c r="H118" s="48">
        <v>4</v>
      </c>
      <c r="I118" s="203">
        <v>3</v>
      </c>
      <c r="J118" s="203">
        <v>3</v>
      </c>
      <c r="K118" s="65">
        <v>5224.55</v>
      </c>
      <c r="L118" s="51"/>
      <c r="M118" s="50">
        <f t="shared" si="0"/>
        <v>0</v>
      </c>
      <c r="N118" s="50"/>
      <c r="O118" s="31"/>
      <c r="P118" s="108">
        <v>17</v>
      </c>
      <c r="Q118" s="65">
        <v>55736.83</v>
      </c>
      <c r="R118" s="51"/>
      <c r="S118" s="50">
        <f t="shared" si="1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126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22</v>
      </c>
      <c r="D120" s="374"/>
      <c r="E120" s="374" t="s">
        <v>27</v>
      </c>
      <c r="F120" s="150"/>
      <c r="G120" s="23" t="s">
        <v>24</v>
      </c>
      <c r="H120" s="151">
        <v>2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6</v>
      </c>
      <c r="Q120" s="30">
        <v>21153.67</v>
      </c>
      <c r="R120" s="27"/>
      <c r="S120" s="26">
        <f t="shared" si="1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120</v>
      </c>
      <c r="E122" s="374" t="s">
        <v>121</v>
      </c>
      <c r="F122" s="22"/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17</v>
      </c>
      <c r="Q122" s="30">
        <v>25859.26</v>
      </c>
      <c r="R122" s="27"/>
      <c r="S122" s="26">
        <f t="shared" si="1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54"/>
      <c r="G123" s="55" t="s">
        <v>25</v>
      </c>
      <c r="H123" s="15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39</v>
      </c>
      <c r="D124" s="374" t="s">
        <v>123</v>
      </c>
      <c r="E124" s="374" t="s">
        <v>55</v>
      </c>
      <c r="F124" s="223" t="s">
        <v>236</v>
      </c>
      <c r="G124" s="23" t="s">
        <v>24</v>
      </c>
      <c r="H124" s="48">
        <v>3</v>
      </c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9</v>
      </c>
      <c r="Q124" s="30">
        <v>35007.79</v>
      </c>
      <c r="R124" s="27"/>
      <c r="S124" s="26">
        <f t="shared" si="1"/>
        <v>15352.72</v>
      </c>
      <c r="T124" s="26"/>
      <c r="U124" s="225">
        <v>15352.72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124</v>
      </c>
      <c r="C126" s="381" t="s">
        <v>39</v>
      </c>
      <c r="D126" s="381" t="s">
        <v>125</v>
      </c>
      <c r="E126" s="381" t="s">
        <v>27</v>
      </c>
      <c r="F126" s="223" t="s">
        <v>237</v>
      </c>
      <c r="G126" s="23" t="s">
        <v>24</v>
      </c>
      <c r="H126" s="48">
        <v>6</v>
      </c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28</v>
      </c>
      <c r="Q126" s="65">
        <v>179329.47</v>
      </c>
      <c r="R126" s="51"/>
      <c r="S126" s="50">
        <f t="shared" si="1"/>
        <v>50185.66</v>
      </c>
      <c r="T126" s="50"/>
      <c r="U126" s="225">
        <v>50185.66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129"/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152"/>
      <c r="G130" s="35" t="s">
        <v>28</v>
      </c>
      <c r="H130" s="153">
        <v>2</v>
      </c>
      <c r="I130" s="37">
        <v>2</v>
      </c>
      <c r="J130" s="37">
        <v>2</v>
      </c>
      <c r="K130" s="68">
        <v>2305.1999999999998</v>
      </c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48">
        <v>1</v>
      </c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3</v>
      </c>
      <c r="Q131" s="65">
        <v>9508.6200000000008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54"/>
      <c r="G132" s="55" t="s">
        <v>28</v>
      </c>
      <c r="H132" s="153">
        <v>1</v>
      </c>
      <c r="I132" s="37">
        <v>1</v>
      </c>
      <c r="J132" s="37">
        <v>1</v>
      </c>
      <c r="K132" s="68">
        <v>1578.8</v>
      </c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25</v>
      </c>
      <c r="H134" s="153">
        <v>1</v>
      </c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23" t="s">
        <v>24</v>
      </c>
      <c r="H135" s="48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1</v>
      </c>
      <c r="Q135" s="30">
        <v>2466.56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12">
        <v>3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 t="s">
        <v>39</v>
      </c>
      <c r="D137" s="374" t="s">
        <v>238</v>
      </c>
      <c r="E137" s="381" t="s">
        <v>136</v>
      </c>
      <c r="F137" s="223" t="s">
        <v>239</v>
      </c>
      <c r="G137" s="23" t="s">
        <v>24</v>
      </c>
      <c r="H137" s="61">
        <v>1</v>
      </c>
      <c r="I137" s="62">
        <v>1</v>
      </c>
      <c r="J137" s="62">
        <v>1</v>
      </c>
      <c r="K137" s="30">
        <v>1210.23</v>
      </c>
      <c r="L137" s="27"/>
      <c r="M137" s="26">
        <f t="shared" si="0"/>
        <v>0</v>
      </c>
      <c r="N137" s="26"/>
      <c r="O137" s="31"/>
      <c r="P137" s="53">
        <v>8</v>
      </c>
      <c r="Q137" s="30">
        <v>18419.52</v>
      </c>
      <c r="R137" s="27"/>
      <c r="S137" s="26">
        <f t="shared" si="1"/>
        <v>2697.08</v>
      </c>
      <c r="T137" s="26"/>
      <c r="U137" s="225">
        <v>2697.08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237" t="s">
        <v>240</v>
      </c>
      <c r="G138" s="154" t="s">
        <v>28</v>
      </c>
      <c r="H138" s="112">
        <v>2</v>
      </c>
      <c r="I138" s="155"/>
      <c r="J138" s="155"/>
      <c r="K138" s="129"/>
      <c r="L138" s="128"/>
      <c r="M138" s="129">
        <f t="shared" si="0"/>
        <v>0</v>
      </c>
      <c r="N138" s="129"/>
      <c r="O138" s="45"/>
      <c r="P138" s="238">
        <v>4</v>
      </c>
      <c r="Q138" s="239">
        <v>2919.92</v>
      </c>
      <c r="R138" s="128"/>
      <c r="S138" s="129">
        <f t="shared" si="1"/>
        <v>0</v>
      </c>
      <c r="T138" s="129"/>
      <c r="U138" s="45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74"/>
      <c r="F140" s="22"/>
      <c r="G140" s="23" t="s">
        <v>24</v>
      </c>
      <c r="H140" s="61">
        <v>5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2"/>
      <c r="B142" s="381" t="s">
        <v>134</v>
      </c>
      <c r="C142" s="381" t="s">
        <v>39</v>
      </c>
      <c r="D142" s="381" t="s">
        <v>135</v>
      </c>
      <c r="E142" s="381" t="s">
        <v>136</v>
      </c>
      <c r="F142" s="46"/>
      <c r="G142" s="47" t="s">
        <v>24</v>
      </c>
      <c r="H142" s="48">
        <v>2</v>
      </c>
      <c r="I142" s="203">
        <v>1</v>
      </c>
      <c r="J142" s="203">
        <v>1</v>
      </c>
      <c r="K142" s="65">
        <v>2904.55</v>
      </c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51"/>
      <c r="S142" s="50">
        <f t="shared" si="1"/>
        <v>0</v>
      </c>
      <c r="T142" s="50"/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140"/>
      <c r="G143" s="141" t="s">
        <v>28</v>
      </c>
      <c r="H143" s="151">
        <v>1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0</v>
      </c>
      <c r="T143" s="142"/>
      <c r="U143" s="4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54"/>
      <c r="G144" s="55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4"/>
      <c r="D145" s="374"/>
      <c r="E145" s="374"/>
      <c r="F145" s="22"/>
      <c r="G145" s="23" t="s">
        <v>24</v>
      </c>
      <c r="H145" s="24">
        <v>1</v>
      </c>
      <c r="I145" s="25"/>
      <c r="J145" s="25"/>
      <c r="K145" s="26"/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0</v>
      </c>
      <c r="T145" s="26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20" t="s">
        <v>241</v>
      </c>
      <c r="G146" s="35" t="s">
        <v>28</v>
      </c>
      <c r="H146" s="66">
        <v>2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2"/>
      <c r="B147" s="381" t="s">
        <v>138</v>
      </c>
      <c r="C147" s="381" t="s">
        <v>22</v>
      </c>
      <c r="D147" s="381"/>
      <c r="E147" s="381" t="s">
        <v>27</v>
      </c>
      <c r="F147" s="46"/>
      <c r="G147" s="47" t="s">
        <v>24</v>
      </c>
      <c r="H147" s="151">
        <v>1</v>
      </c>
      <c r="I147" s="49"/>
      <c r="J147" s="49"/>
      <c r="K147" s="50"/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9"/>
      <c r="B148" s="380"/>
      <c r="C148" s="380"/>
      <c r="D148" s="380"/>
      <c r="E148" s="380"/>
      <c r="F148" s="221" t="s">
        <v>242</v>
      </c>
      <c r="G148" s="55" t="s">
        <v>28</v>
      </c>
      <c r="H148" s="133">
        <v>1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2</v>
      </c>
      <c r="Q148" s="114">
        <v>5859.05</v>
      </c>
      <c r="R148" s="44"/>
      <c r="S148" s="43">
        <f t="shared" si="1"/>
        <v>4802.5</v>
      </c>
      <c r="T148" s="43"/>
      <c r="U148" s="41">
        <f>4802.5</f>
        <v>4802.5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2"/>
      <c r="G149" s="23" t="s">
        <v>24</v>
      </c>
      <c r="H149" s="151">
        <v>4</v>
      </c>
      <c r="I149" s="62">
        <v>2</v>
      </c>
      <c r="J149" s="62">
        <v>2</v>
      </c>
      <c r="K149" s="30">
        <v>4045.04</v>
      </c>
      <c r="L149" s="27"/>
      <c r="M149" s="26">
        <f t="shared" si="0"/>
        <v>0</v>
      </c>
      <c r="N149" s="26"/>
      <c r="O149" s="31"/>
      <c r="P149" s="53">
        <v>7</v>
      </c>
      <c r="Q149" s="30">
        <v>15149.34</v>
      </c>
      <c r="R149" s="27"/>
      <c r="S149" s="26">
        <f t="shared" si="1"/>
        <v>0</v>
      </c>
      <c r="T149" s="26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54"/>
      <c r="G150" s="55" t="s">
        <v>28</v>
      </c>
      <c r="H150" s="112">
        <v>1</v>
      </c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2</v>
      </c>
      <c r="Q150" s="114">
        <v>3976.1</v>
      </c>
      <c r="R150" s="44"/>
      <c r="S150" s="43">
        <f t="shared" si="1"/>
        <v>3876.4</v>
      </c>
      <c r="T150" s="43"/>
      <c r="U150" s="45">
        <f>3876.4</f>
        <v>3876.4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20981.75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243</v>
      </c>
      <c r="G152" s="35" t="s">
        <v>28</v>
      </c>
      <c r="H152" s="66">
        <v>1</v>
      </c>
      <c r="I152" s="37">
        <v>1</v>
      </c>
      <c r="J152" s="37">
        <v>1</v>
      </c>
      <c r="K152" s="68">
        <v>1728</v>
      </c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2</v>
      </c>
      <c r="I155" s="62">
        <v>2</v>
      </c>
      <c r="J155" s="62">
        <v>2</v>
      </c>
      <c r="K155" s="30">
        <v>524.91</v>
      </c>
      <c r="L155" s="27"/>
      <c r="M155" s="26">
        <f t="shared" si="0"/>
        <v>0</v>
      </c>
      <c r="N155" s="26"/>
      <c r="O155" s="28"/>
      <c r="P155" s="99"/>
      <c r="Q155" s="26"/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144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8</v>
      </c>
      <c r="Q157" s="65">
        <v>27662.38</v>
      </c>
      <c r="R157" s="224">
        <v>4</v>
      </c>
      <c r="S157" s="50">
        <f t="shared" si="1"/>
        <v>14714.18</v>
      </c>
      <c r="T157" s="65">
        <v>14714.18</v>
      </c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221" t="s">
        <v>244</v>
      </c>
      <c r="G158" s="55" t="s">
        <v>28</v>
      </c>
      <c r="H158" s="133">
        <v>2</v>
      </c>
      <c r="I158" s="57"/>
      <c r="J158" s="57"/>
      <c r="K158" s="43"/>
      <c r="L158" s="128"/>
      <c r="M158" s="50">
        <f t="shared" si="0"/>
        <v>0</v>
      </c>
      <c r="N158" s="43"/>
      <c r="O158" s="41"/>
      <c r="P158" s="103"/>
      <c r="Q158" s="43"/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147</v>
      </c>
      <c r="E159" s="374" t="s">
        <v>27</v>
      </c>
      <c r="F159" s="22"/>
      <c r="G159" s="23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8</v>
      </c>
      <c r="Q159" s="30">
        <v>17730.189999999999</v>
      </c>
      <c r="R159" s="27"/>
      <c r="S159" s="26">
        <f t="shared" si="1"/>
        <v>0</v>
      </c>
      <c r="T159" s="26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1"/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3</v>
      </c>
      <c r="Q160" s="68">
        <v>16520.599999999999</v>
      </c>
      <c r="R160" s="40"/>
      <c r="S160" s="39">
        <f t="shared" si="1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23" t="s">
        <v>218</v>
      </c>
      <c r="G161" s="23" t="s">
        <v>24</v>
      </c>
      <c r="H161" s="48">
        <v>7</v>
      </c>
      <c r="I161" s="62">
        <v>3</v>
      </c>
      <c r="J161" s="204">
        <v>3</v>
      </c>
      <c r="K161" s="30">
        <v>3379.04</v>
      </c>
      <c r="L161" s="27"/>
      <c r="M161" s="26">
        <f t="shared" si="0"/>
        <v>0</v>
      </c>
      <c r="N161" s="26"/>
      <c r="O161" s="31"/>
      <c r="P161" s="108">
        <v>15</v>
      </c>
      <c r="Q161" s="65">
        <v>47053.26</v>
      </c>
      <c r="R161" s="224">
        <v>2</v>
      </c>
      <c r="S161" s="50">
        <f t="shared" si="1"/>
        <v>17249.09</v>
      </c>
      <c r="T161" s="65">
        <v>14024.29</v>
      </c>
      <c r="U161" s="225">
        <v>3224.8</v>
      </c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34"/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7">
        <v>3</v>
      </c>
      <c r="Q164" s="68">
        <v>10841.33</v>
      </c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81" t="s">
        <v>22</v>
      </c>
      <c r="D165" s="381" t="s">
        <v>154</v>
      </c>
      <c r="E165" s="381" t="s">
        <v>27</v>
      </c>
      <c r="F165" s="46"/>
      <c r="G165" s="47" t="s">
        <v>24</v>
      </c>
      <c r="H165" s="48">
        <v>2</v>
      </c>
      <c r="I165" s="203">
        <v>1</v>
      </c>
      <c r="J165" s="203">
        <v>1</v>
      </c>
      <c r="K165" s="242">
        <v>950.9</v>
      </c>
      <c r="L165" s="167"/>
      <c r="M165" s="166">
        <f t="shared" si="0"/>
        <v>0</v>
      </c>
      <c r="N165" s="166"/>
      <c r="O165" s="31"/>
      <c r="P165" s="108">
        <v>4</v>
      </c>
      <c r="Q165" s="65">
        <v>15452.64</v>
      </c>
      <c r="R165" s="51"/>
      <c r="S165" s="50">
        <f t="shared" si="1"/>
        <v>0</v>
      </c>
      <c r="T165" s="50"/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223" t="s">
        <v>245</v>
      </c>
      <c r="G167" s="23" t="s">
        <v>24</v>
      </c>
      <c r="H167" s="48">
        <v>1</v>
      </c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2</v>
      </c>
      <c r="Q167" s="30">
        <v>7187.89</v>
      </c>
      <c r="R167" s="27"/>
      <c r="S167" s="26">
        <f t="shared" si="1"/>
        <v>3759.09</v>
      </c>
      <c r="T167" s="26"/>
      <c r="U167" s="225">
        <v>3759.09</v>
      </c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158</v>
      </c>
      <c r="C173" s="391"/>
      <c r="D173" s="381"/>
      <c r="E173" s="381"/>
      <c r="F173" s="46"/>
      <c r="G173" s="47" t="s">
        <v>24</v>
      </c>
      <c r="H173" s="48">
        <v>3</v>
      </c>
      <c r="I173" s="203">
        <v>1</v>
      </c>
      <c r="J173" s="203">
        <v>1</v>
      </c>
      <c r="K173" s="65">
        <v>576.29999999999995</v>
      </c>
      <c r="L173" s="51"/>
      <c r="M173" s="50">
        <f t="shared" si="0"/>
        <v>0</v>
      </c>
      <c r="N173" s="50"/>
      <c r="O173" s="31"/>
      <c r="P173" s="108">
        <v>3</v>
      </c>
      <c r="Q173" s="65">
        <v>4741.03</v>
      </c>
      <c r="R173" s="51"/>
      <c r="S173" s="50">
        <f t="shared" si="1"/>
        <v>0</v>
      </c>
      <c r="T173" s="50"/>
      <c r="U173" s="31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105"/>
      <c r="G174" s="35" t="s">
        <v>28</v>
      </c>
      <c r="H174" s="106"/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159</v>
      </c>
      <c r="C175" s="381" t="s">
        <v>22</v>
      </c>
      <c r="D175" s="381"/>
      <c r="E175" s="381" t="s">
        <v>160</v>
      </c>
      <c r="F175" s="223" t="s">
        <v>246</v>
      </c>
      <c r="G175" s="47" t="s">
        <v>24</v>
      </c>
      <c r="H175" s="48">
        <v>1</v>
      </c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17</v>
      </c>
      <c r="Q175" s="65">
        <v>22103.35</v>
      </c>
      <c r="R175" s="51"/>
      <c r="S175" s="50">
        <f t="shared" si="1"/>
        <v>12661.42</v>
      </c>
      <c r="T175" s="50"/>
      <c r="U175" s="225">
        <v>12661.42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12">
        <v>1</v>
      </c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24">
        <v>2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4602.5</v>
      </c>
      <c r="T181" s="43"/>
      <c r="U181" s="234">
        <f>4602.5</f>
        <v>4602.5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54"/>
      <c r="G183" s="55" t="s">
        <v>28</v>
      </c>
      <c r="H183" s="56">
        <v>1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3</v>
      </c>
      <c r="Q183" s="114">
        <v>4898.55</v>
      </c>
      <c r="R183" s="44"/>
      <c r="S183" s="43">
        <f t="shared" si="1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23"/>
      <c r="Q186" s="50"/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24">
        <v>1</v>
      </c>
      <c r="I188" s="25"/>
      <c r="J188" s="25"/>
      <c r="K188" s="26"/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240" t="s">
        <v>247</v>
      </c>
      <c r="G189" s="35" t="s">
        <v>28</v>
      </c>
      <c r="H189" s="66">
        <v>1</v>
      </c>
      <c r="I189" s="37"/>
      <c r="J189" s="37"/>
      <c r="K189" s="39"/>
      <c r="L189" s="40"/>
      <c r="M189" s="39">
        <f t="shared" si="0"/>
        <v>0</v>
      </c>
      <c r="N189" s="39"/>
      <c r="O189" s="58"/>
      <c r="P189" s="244">
        <v>2</v>
      </c>
      <c r="Q189" s="245">
        <v>5186.7</v>
      </c>
      <c r="R189" s="40"/>
      <c r="S189" s="39">
        <f t="shared" si="1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169</v>
      </c>
      <c r="C190" s="381" t="s">
        <v>22</v>
      </c>
      <c r="D190" s="381"/>
      <c r="E190" s="381" t="s">
        <v>27</v>
      </c>
      <c r="F190" s="46"/>
      <c r="G190" s="47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1"/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23" t="s">
        <v>248</v>
      </c>
      <c r="G192" s="23" t="s">
        <v>24</v>
      </c>
      <c r="H192" s="48">
        <v>1</v>
      </c>
      <c r="I192" s="62">
        <v>1</v>
      </c>
      <c r="J192" s="62">
        <v>1</v>
      </c>
      <c r="K192" s="30">
        <v>1233.28</v>
      </c>
      <c r="L192" s="27"/>
      <c r="M192" s="26">
        <f t="shared" si="0"/>
        <v>0</v>
      </c>
      <c r="N192" s="26"/>
      <c r="O192" s="31"/>
      <c r="P192" s="53">
        <v>11</v>
      </c>
      <c r="Q192" s="30">
        <v>29205.8</v>
      </c>
      <c r="R192" s="27"/>
      <c r="S192" s="26">
        <f t="shared" si="1"/>
        <v>5534.4</v>
      </c>
      <c r="T192" s="26"/>
      <c r="U192" s="225">
        <v>5534.4</v>
      </c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171</v>
      </c>
      <c r="C194" s="381" t="s">
        <v>22</v>
      </c>
      <c r="D194" s="381"/>
      <c r="E194" s="381" t="s">
        <v>27</v>
      </c>
      <c r="F194" s="46"/>
      <c r="G194" s="23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221" t="s">
        <v>249</v>
      </c>
      <c r="G195" s="55" t="s">
        <v>28</v>
      </c>
      <c r="H195" s="133">
        <v>1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4" t="s">
        <v>22</v>
      </c>
      <c r="D196" s="374"/>
      <c r="E196" s="374" t="s">
        <v>121</v>
      </c>
      <c r="F196" s="22"/>
      <c r="G196" s="23" t="s">
        <v>24</v>
      </c>
      <c r="H196" s="48">
        <v>2</v>
      </c>
      <c r="I196" s="25"/>
      <c r="J196" s="25"/>
      <c r="K196" s="26"/>
      <c r="L196" s="27"/>
      <c r="M196" s="26">
        <f t="shared" si="0"/>
        <v>0</v>
      </c>
      <c r="N196" s="26"/>
      <c r="O196" s="31"/>
      <c r="P196" s="53">
        <v>23</v>
      </c>
      <c r="Q196" s="30">
        <v>30692.35</v>
      </c>
      <c r="R196" s="27"/>
      <c r="S196" s="26">
        <f t="shared" si="1"/>
        <v>0</v>
      </c>
      <c r="T196" s="26"/>
      <c r="U196" s="31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75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/>
      <c r="E198" s="25"/>
      <c r="F198" s="22"/>
      <c r="G198" s="23" t="s">
        <v>24</v>
      </c>
      <c r="H198" s="61">
        <v>5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8"/>
      <c r="F199" s="34"/>
      <c r="G199" s="35" t="s">
        <v>25</v>
      </c>
      <c r="H199" s="117">
        <v>4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174</v>
      </c>
      <c r="C200" s="381" t="s">
        <v>39</v>
      </c>
      <c r="D200" s="381" t="s">
        <v>175</v>
      </c>
      <c r="E200" s="381" t="s">
        <v>176</v>
      </c>
      <c r="F200" s="46"/>
      <c r="G200" s="47" t="s">
        <v>24</v>
      </c>
      <c r="H200" s="48">
        <v>1</v>
      </c>
      <c r="I200" s="49"/>
      <c r="J200" s="49"/>
      <c r="K200" s="50"/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1</v>
      </c>
      <c r="Q201" s="114">
        <v>10929.7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81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14</v>
      </c>
      <c r="Q202" s="30">
        <v>45235.79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2</v>
      </c>
      <c r="I208" s="203">
        <v>1</v>
      </c>
      <c r="J208" s="203">
        <v>1</v>
      </c>
      <c r="K208" s="65">
        <v>950.9</v>
      </c>
      <c r="L208" s="51"/>
      <c r="M208" s="50">
        <f t="shared" si="0"/>
        <v>0</v>
      </c>
      <c r="N208" s="50"/>
      <c r="O208" s="31"/>
      <c r="P208" s="108">
        <v>10</v>
      </c>
      <c r="Q208" s="65">
        <v>31753.040000000001</v>
      </c>
      <c r="R208" s="224">
        <v>8</v>
      </c>
      <c r="S208" s="50">
        <f t="shared" si="1"/>
        <v>28968.84</v>
      </c>
      <c r="T208" s="65">
        <v>28968.84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0</v>
      </c>
      <c r="T209" s="43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4</v>
      </c>
      <c r="I210" s="62">
        <v>3</v>
      </c>
      <c r="J210" s="62">
        <v>3</v>
      </c>
      <c r="K210" s="30">
        <v>3878.12</v>
      </c>
      <c r="L210" s="27"/>
      <c r="M210" s="26">
        <f t="shared" si="0"/>
        <v>0</v>
      </c>
      <c r="N210" s="26"/>
      <c r="O210" s="31"/>
      <c r="P210" s="53">
        <v>6</v>
      </c>
      <c r="Q210" s="30">
        <v>31478.57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107"/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221" t="s">
        <v>252</v>
      </c>
      <c r="G213" s="55" t="s">
        <v>28</v>
      </c>
      <c r="H213" s="133">
        <v>2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221" t="s">
        <v>253</v>
      </c>
      <c r="G215" s="55" t="s">
        <v>28</v>
      </c>
      <c r="H215" s="153">
        <v>1</v>
      </c>
      <c r="I215" s="57"/>
      <c r="J215" s="57"/>
      <c r="K215" s="43"/>
      <c r="L215" s="44"/>
      <c r="M215" s="43">
        <f t="shared" si="0"/>
        <v>0</v>
      </c>
      <c r="N215" s="43"/>
      <c r="O215" s="41"/>
      <c r="P215" s="113">
        <v>2</v>
      </c>
      <c r="Q215" s="114">
        <v>2958.34</v>
      </c>
      <c r="R215" s="44"/>
      <c r="S215" s="43">
        <f t="shared" si="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2"/>
      <c r="G216" s="23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03"/>
      <c r="Q217" s="43"/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60"/>
      <c r="G218" s="23" t="s">
        <v>24</v>
      </c>
      <c r="H218" s="107"/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9</v>
      </c>
      <c r="Q218" s="30">
        <v>16989.849999999999</v>
      </c>
      <c r="R218" s="27"/>
      <c r="S218" s="26">
        <f t="shared" si="1"/>
        <v>0</v>
      </c>
      <c r="T218" s="26"/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254</v>
      </c>
      <c r="G219" s="35" t="s">
        <v>28</v>
      </c>
      <c r="H219" s="153">
        <v>3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46"/>
      <c r="G220" s="23" t="s">
        <v>24</v>
      </c>
      <c r="H220" s="48">
        <v>3</v>
      </c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12</v>
      </c>
      <c r="Q220" s="65">
        <v>27009.49</v>
      </c>
      <c r="R220" s="51"/>
      <c r="S220" s="50">
        <f t="shared" si="1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54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4050.2</v>
      </c>
      <c r="T223" s="43"/>
      <c r="U223" s="222">
        <v>4050.2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24">
        <v>1</v>
      </c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256</v>
      </c>
      <c r="G225" s="35" t="s">
        <v>28</v>
      </c>
      <c r="H225" s="66">
        <v>1</v>
      </c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4"/>
      <c r="G227" s="35" t="s">
        <v>28</v>
      </c>
      <c r="H227" s="112">
        <v>1</v>
      </c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1897</v>
      </c>
      <c r="T227" s="39"/>
      <c r="U227" s="41">
        <f>1897</f>
        <v>1897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192</v>
      </c>
      <c r="C228" s="381" t="s">
        <v>22</v>
      </c>
      <c r="D228" s="381"/>
      <c r="E228" s="381" t="s">
        <v>193</v>
      </c>
      <c r="F228" s="46"/>
      <c r="G228" s="23" t="s">
        <v>24</v>
      </c>
      <c r="H228" s="61">
        <v>2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51"/>
      <c r="S228" s="50">
        <f t="shared" si="1"/>
        <v>0</v>
      </c>
      <c r="T228" s="50"/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4" t="s">
        <v>22</v>
      </c>
      <c r="D230" s="374"/>
      <c r="E230" s="374" t="s">
        <v>160</v>
      </c>
      <c r="F230" s="22"/>
      <c r="G230" s="23" t="s">
        <v>24</v>
      </c>
      <c r="H230" s="48">
        <v>1</v>
      </c>
      <c r="I230" s="203">
        <v>1</v>
      </c>
      <c r="J230" s="203">
        <v>1</v>
      </c>
      <c r="K230" s="65">
        <v>288.14999999999998</v>
      </c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0</v>
      </c>
      <c r="T230" s="26"/>
      <c r="U230" s="31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34"/>
      <c r="G231" s="35" t="s">
        <v>28</v>
      </c>
      <c r="H231" s="106"/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81" t="s">
        <v>39</v>
      </c>
      <c r="D232" s="381" t="s">
        <v>231</v>
      </c>
      <c r="E232" s="381" t="s">
        <v>27</v>
      </c>
      <c r="F232" s="204" t="s">
        <v>232</v>
      </c>
      <c r="G232" s="47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5</v>
      </c>
      <c r="Q232" s="65">
        <v>42908.57</v>
      </c>
      <c r="R232" s="224">
        <v>3</v>
      </c>
      <c r="S232" s="50">
        <f t="shared" si="1"/>
        <v>35948.410000000003</v>
      </c>
      <c r="T232" s="65">
        <v>35948.410000000003</v>
      </c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1" t="s">
        <v>260</v>
      </c>
      <c r="G233" s="55" t="s">
        <v>28</v>
      </c>
      <c r="H233" s="178">
        <v>3</v>
      </c>
      <c r="I233" s="130">
        <v>1</v>
      </c>
      <c r="J233" s="130">
        <v>1</v>
      </c>
      <c r="K233" s="114">
        <v>1152.5999999999999</v>
      </c>
      <c r="L233" s="44"/>
      <c r="M233" s="43">
        <f t="shared" si="0"/>
        <v>0</v>
      </c>
      <c r="N233" s="43"/>
      <c r="O233" s="45"/>
      <c r="P233" s="130">
        <v>3</v>
      </c>
      <c r="Q233" s="130">
        <v>8188.85</v>
      </c>
      <c r="R233" s="44"/>
      <c r="S233" s="43">
        <f t="shared" si="1"/>
        <v>4994.6000000000004</v>
      </c>
      <c r="T233" s="43"/>
      <c r="U233" s="222">
        <v>4994.6000000000004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34"/>
      <c r="G235" s="35" t="s">
        <v>28</v>
      </c>
      <c r="H235" s="66">
        <v>2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748.27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54"/>
      <c r="G237" s="55" t="s">
        <v>28</v>
      </c>
      <c r="H237" s="153">
        <v>2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2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6</v>
      </c>
      <c r="Q238" s="30">
        <v>25021.41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34"/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54"/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0</v>
      </c>
      <c r="T243" s="43"/>
      <c r="U243" s="45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48">
        <v>1</v>
      </c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1" t="s">
        <v>262</v>
      </c>
      <c r="G247" s="55" t="s">
        <v>28</v>
      </c>
      <c r="H247" s="112">
        <v>1</v>
      </c>
      <c r="I247" s="57"/>
      <c r="J247" s="57"/>
      <c r="K247" s="43"/>
      <c r="L247" s="128"/>
      <c r="M247" s="129">
        <f t="shared" si="0"/>
        <v>0</v>
      </c>
      <c r="N247" s="43"/>
      <c r="O247" s="45"/>
      <c r="P247" s="113">
        <v>1</v>
      </c>
      <c r="Q247" s="114">
        <v>1344.7</v>
      </c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6</v>
      </c>
      <c r="I250" s="49"/>
      <c r="J250" s="49"/>
      <c r="K250" s="50"/>
      <c r="L250" s="51"/>
      <c r="M250" s="50">
        <f t="shared" si="0"/>
        <v>0</v>
      </c>
      <c r="N250" s="50"/>
      <c r="O250" s="31"/>
      <c r="P250" s="108">
        <v>3</v>
      </c>
      <c r="Q250" s="65">
        <v>2472.64</v>
      </c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242</v>
      </c>
      <c r="I252" s="183">
        <f t="shared" si="2"/>
        <v>51</v>
      </c>
      <c r="J252" s="183">
        <f t="shared" si="2"/>
        <v>53</v>
      </c>
      <c r="K252" s="184">
        <f t="shared" si="2"/>
        <v>83426.179999999993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633</v>
      </c>
      <c r="Q252" s="188">
        <f t="shared" si="2"/>
        <v>1857855.5000000002</v>
      </c>
      <c r="R252" s="185">
        <f t="shared" si="2"/>
        <v>25</v>
      </c>
      <c r="S252" s="188">
        <f t="shared" si="2"/>
        <v>259497.90000000002</v>
      </c>
      <c r="T252" s="188">
        <f t="shared" si="2"/>
        <v>109800.00000000001</v>
      </c>
      <c r="U252" s="189">
        <f t="shared" si="2"/>
        <v>149697.90000000002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160</v>
      </c>
      <c r="H258" s="193">
        <f t="shared" si="3"/>
        <v>43</v>
      </c>
      <c r="I258" s="193">
        <f t="shared" si="3"/>
        <v>45</v>
      </c>
      <c r="J258" s="194">
        <f t="shared" ref="J258:J260" si="4">SUMIF($G$9:$G$251,F258,$K$9:$K$251)</f>
        <v>72819.58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562</v>
      </c>
      <c r="P258" s="194">
        <f t="shared" ref="P258:P260" si="8">SUMIF($G$9:$G$251,F258,$Q$9:$Q$251)</f>
        <v>1680818.0299999996</v>
      </c>
      <c r="Q258" s="195">
        <f t="shared" ref="Q258:Q260" si="9">SUMIF($G$9:$G$251,F258,$R$9:$R$251)</f>
        <v>25</v>
      </c>
      <c r="R258" s="194">
        <f t="shared" ref="R258:R260" si="10">SUMIF($G$9:$G$251,F258,$S$9:$S$251)</f>
        <v>217473.47</v>
      </c>
      <c r="S258" s="194">
        <f t="shared" ref="S258:T258" si="11">SUMIF($G$9:$G$251,$F$258,T9:T251)</f>
        <v>109800.00000000001</v>
      </c>
      <c r="T258" s="194">
        <f t="shared" si="11"/>
        <v>107673.46999999999</v>
      </c>
      <c r="U258" s="194">
        <f t="shared" ref="U258:U260" si="12">S258+M258</f>
        <v>109800.00000000001</v>
      </c>
      <c r="V258" s="196">
        <f t="shared" ref="V258:V260" si="13">J258-M258+P258-S258</f>
        <v>1643837.6099999996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59</v>
      </c>
      <c r="H259" s="193">
        <f t="shared" si="14"/>
        <v>8</v>
      </c>
      <c r="I259" s="193">
        <f t="shared" si="14"/>
        <v>8</v>
      </c>
      <c r="J259" s="194">
        <f t="shared" si="4"/>
        <v>10606.6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57</v>
      </c>
      <c r="P259" s="194">
        <f t="shared" si="8"/>
        <v>135095.94</v>
      </c>
      <c r="Q259" s="195">
        <f t="shared" si="9"/>
        <v>0</v>
      </c>
      <c r="R259" s="194">
        <f t="shared" si="10"/>
        <v>42024.43</v>
      </c>
      <c r="S259" s="194">
        <f t="shared" ref="S259:T259" si="16">SUMIF($G$9:$G$251,$F$259,T9:T251)</f>
        <v>0</v>
      </c>
      <c r="T259" s="194">
        <f t="shared" si="16"/>
        <v>42024.43</v>
      </c>
      <c r="U259" s="194">
        <f t="shared" si="12"/>
        <v>0</v>
      </c>
      <c r="V259" s="196">
        <f t="shared" si="13"/>
        <v>145702.54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23</v>
      </c>
      <c r="H260" s="193">
        <f t="shared" si="17"/>
        <v>0</v>
      </c>
      <c r="I260" s="193">
        <f t="shared" si="17"/>
        <v>0</v>
      </c>
      <c r="J260" s="194">
        <f t="shared" si="4"/>
        <v>0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14</v>
      </c>
      <c r="P260" s="194">
        <f t="shared" si="8"/>
        <v>41941.530000000006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41941.530000000006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242</v>
      </c>
      <c r="H261" s="197">
        <f t="shared" si="20"/>
        <v>51</v>
      </c>
      <c r="I261" s="197">
        <f t="shared" si="20"/>
        <v>53</v>
      </c>
      <c r="J261" s="198">
        <f t="shared" si="20"/>
        <v>83426.180000000008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633</v>
      </c>
      <c r="P261" s="198">
        <f t="shared" si="20"/>
        <v>1857855.4999999995</v>
      </c>
      <c r="Q261" s="200">
        <f t="shared" si="20"/>
        <v>25</v>
      </c>
      <c r="R261" s="198">
        <f t="shared" si="20"/>
        <v>259497.9</v>
      </c>
      <c r="S261" s="198">
        <f t="shared" si="20"/>
        <v>109800.00000000001</v>
      </c>
      <c r="T261" s="198">
        <f t="shared" si="20"/>
        <v>149697.9</v>
      </c>
      <c r="U261" s="198">
        <f t="shared" si="20"/>
        <v>109800.00000000001</v>
      </c>
      <c r="V261" s="198">
        <f t="shared" si="20"/>
        <v>1831481.6799999997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2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6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34"/>
      <c r="G10" s="35" t="s">
        <v>25</v>
      </c>
      <c r="H10" s="66">
        <v>1</v>
      </c>
      <c r="I10" s="37"/>
      <c r="J10" s="38"/>
      <c r="K10" s="39"/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223" t="s">
        <v>250</v>
      </c>
      <c r="G11" s="47" t="s">
        <v>24</v>
      </c>
      <c r="H11" s="48">
        <v>3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7</v>
      </c>
      <c r="Q11" s="30">
        <v>59615.02</v>
      </c>
      <c r="R11" s="27"/>
      <c r="S11" s="26">
        <f t="shared" si="1"/>
        <v>34359</v>
      </c>
      <c r="T11" s="26"/>
      <c r="U11" s="241">
        <v>34359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54"/>
      <c r="G12" s="55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23" t="s">
        <v>251</v>
      </c>
      <c r="G13" s="23" t="s">
        <v>24</v>
      </c>
      <c r="H13" s="61">
        <v>5</v>
      </c>
      <c r="I13" s="62">
        <v>2</v>
      </c>
      <c r="J13" s="62">
        <v>3</v>
      </c>
      <c r="K13" s="30">
        <v>7022.3</v>
      </c>
      <c r="L13" s="27"/>
      <c r="M13" s="26">
        <f t="shared" si="0"/>
        <v>0</v>
      </c>
      <c r="N13" s="26"/>
      <c r="O13" s="63"/>
      <c r="P13" s="64">
        <v>12</v>
      </c>
      <c r="Q13" s="65">
        <v>50049.94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35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82"/>
      <c r="B15" s="381" t="s">
        <v>31</v>
      </c>
      <c r="C15" s="381" t="s">
        <v>22</v>
      </c>
      <c r="D15" s="381" t="s">
        <v>32</v>
      </c>
      <c r="E15" s="381" t="s">
        <v>27</v>
      </c>
      <c r="F15" s="46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21" t="s">
        <v>213</v>
      </c>
      <c r="G16" s="101" t="s">
        <v>28</v>
      </c>
      <c r="H16" s="112">
        <v>2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4</v>
      </c>
      <c r="Q16" s="114">
        <v>5186.7</v>
      </c>
      <c r="R16" s="44"/>
      <c r="S16" s="43">
        <f t="shared" si="1"/>
        <v>1344.7</v>
      </c>
      <c r="T16" s="43"/>
      <c r="U16" s="222">
        <v>1344.7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107"/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22</v>
      </c>
      <c r="D21" s="381" t="s">
        <v>36</v>
      </c>
      <c r="E21" s="381" t="s">
        <v>37</v>
      </c>
      <c r="F21" s="110"/>
      <c r="G21" s="47" t="s">
        <v>24</v>
      </c>
      <c r="H21" s="48">
        <v>2</v>
      </c>
      <c r="I21" s="49"/>
      <c r="J21" s="49"/>
      <c r="K21" s="50"/>
      <c r="L21" s="51"/>
      <c r="M21" s="50">
        <f t="shared" si="0"/>
        <v>0</v>
      </c>
      <c r="N21" s="50"/>
      <c r="O21" s="31"/>
      <c r="P21" s="108">
        <v>3</v>
      </c>
      <c r="Q21" s="65">
        <v>3095.69</v>
      </c>
      <c r="R21" s="51"/>
      <c r="S21" s="50">
        <f t="shared" si="1"/>
        <v>0</v>
      </c>
      <c r="T21" s="50"/>
      <c r="U21" s="31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223" t="s">
        <v>255</v>
      </c>
      <c r="G23" s="23" t="s">
        <v>24</v>
      </c>
      <c r="H23" s="48">
        <v>2</v>
      </c>
      <c r="I23" s="203">
        <v>1</v>
      </c>
      <c r="J23" s="203">
        <v>1</v>
      </c>
      <c r="K23" s="65">
        <v>760.72</v>
      </c>
      <c r="L23" s="51"/>
      <c r="M23" s="50">
        <f t="shared" si="0"/>
        <v>0</v>
      </c>
      <c r="N23" s="50"/>
      <c r="O23" s="31"/>
      <c r="P23" s="53">
        <v>11</v>
      </c>
      <c r="Q23" s="30">
        <v>15782.91</v>
      </c>
      <c r="R23" s="27"/>
      <c r="S23" s="26">
        <f t="shared" si="1"/>
        <v>3564.82</v>
      </c>
      <c r="T23" s="26"/>
      <c r="U23" s="243">
        <v>3564.82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54"/>
      <c r="G24" s="55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81" t="s">
        <v>22</v>
      </c>
      <c r="D25" s="374"/>
      <c r="E25" s="381" t="s">
        <v>27</v>
      </c>
      <c r="F25" s="223" t="s">
        <v>257</v>
      </c>
      <c r="G25" s="23" t="s">
        <v>24</v>
      </c>
      <c r="H25" s="61">
        <v>4</v>
      </c>
      <c r="I25" s="62">
        <v>3</v>
      </c>
      <c r="J25" s="62">
        <v>3</v>
      </c>
      <c r="K25" s="62">
        <v>2554.9299999999998</v>
      </c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1979.72</v>
      </c>
      <c r="T25" s="26"/>
      <c r="U25" s="225">
        <v>1979.72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80"/>
      <c r="F26" s="220" t="s">
        <v>214</v>
      </c>
      <c r="G26" s="35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82"/>
      <c r="B27" s="381" t="s">
        <v>44</v>
      </c>
      <c r="C27" s="381" t="s">
        <v>39</v>
      </c>
      <c r="D27" s="381" t="s">
        <v>258</v>
      </c>
      <c r="E27" s="381" t="s">
        <v>27</v>
      </c>
      <c r="F27" s="223" t="s">
        <v>259</v>
      </c>
      <c r="G27" s="47" t="s">
        <v>24</v>
      </c>
      <c r="H27" s="48">
        <v>4</v>
      </c>
      <c r="I27" s="203">
        <v>3</v>
      </c>
      <c r="J27" s="203">
        <v>3</v>
      </c>
      <c r="K27" s="65">
        <v>5612.01</v>
      </c>
      <c r="L27" s="51"/>
      <c r="M27" s="50">
        <f t="shared" si="0"/>
        <v>0</v>
      </c>
      <c r="N27" s="50"/>
      <c r="O27" s="31"/>
      <c r="P27" s="53">
        <v>8</v>
      </c>
      <c r="Q27" s="30">
        <v>12812.3</v>
      </c>
      <c r="R27" s="205">
        <v>4</v>
      </c>
      <c r="S27" s="26">
        <f t="shared" si="1"/>
        <v>6437.97</v>
      </c>
      <c r="T27" s="30">
        <v>6437.97</v>
      </c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221" t="s">
        <v>216</v>
      </c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59"/>
      <c r="Q28" s="39"/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1" t="s">
        <v>217</v>
      </c>
      <c r="G30" s="55" t="s">
        <v>28</v>
      </c>
      <c r="H30" s="56">
        <v>3</v>
      </c>
      <c r="I30" s="57"/>
      <c r="J30" s="57"/>
      <c r="K30" s="43"/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14247.380000000001</v>
      </c>
      <c r="T30" s="43"/>
      <c r="U30" s="222">
        <f>6563.38+7684</f>
        <v>14247.380000000001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46"/>
      <c r="G33" s="47" t="s">
        <v>24</v>
      </c>
      <c r="H33" s="151">
        <v>2</v>
      </c>
      <c r="I33" s="203">
        <v>1</v>
      </c>
      <c r="J33" s="203">
        <v>1</v>
      </c>
      <c r="K33" s="65">
        <v>1045.98</v>
      </c>
      <c r="L33" s="51"/>
      <c r="M33" s="50">
        <f t="shared" si="0"/>
        <v>0</v>
      </c>
      <c r="N33" s="50"/>
      <c r="O33" s="31"/>
      <c r="P33" s="108">
        <v>8</v>
      </c>
      <c r="Q33" s="65">
        <v>22873.08</v>
      </c>
      <c r="R33" s="51"/>
      <c r="S33" s="50">
        <f t="shared" si="1"/>
        <v>0</v>
      </c>
      <c r="T33" s="50"/>
      <c r="U33" s="31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6</v>
      </c>
      <c r="I34" s="57"/>
      <c r="J34" s="57"/>
      <c r="K34" s="43"/>
      <c r="L34" s="44"/>
      <c r="M34" s="43">
        <f t="shared" si="0"/>
        <v>0</v>
      </c>
      <c r="N34" s="43"/>
      <c r="O34" s="45"/>
      <c r="P34" s="113">
        <v>2</v>
      </c>
      <c r="Q34" s="114">
        <v>2593.35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3</v>
      </c>
      <c r="Q37" s="65">
        <v>8719.3799999999992</v>
      </c>
      <c r="R37" s="224">
        <v>1</v>
      </c>
      <c r="S37" s="50">
        <f t="shared" si="1"/>
        <v>1893.47</v>
      </c>
      <c r="T37" s="65">
        <v>1893.47</v>
      </c>
      <c r="U37" s="225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35" t="s">
        <v>28</v>
      </c>
      <c r="H38" s="66">
        <v>2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7">
        <v>1</v>
      </c>
      <c r="Q38" s="68">
        <v>1152.5999999999999</v>
      </c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57</v>
      </c>
      <c r="E41" s="381" t="s">
        <v>58</v>
      </c>
      <c r="F41" s="46"/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0</v>
      </c>
      <c r="T41" s="26"/>
      <c r="U41" s="100"/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4</v>
      </c>
      <c r="I43" s="203">
        <v>2</v>
      </c>
      <c r="J43" s="203">
        <v>2</v>
      </c>
      <c r="K43" s="65">
        <v>1537</v>
      </c>
      <c r="L43" s="51"/>
      <c r="M43" s="50">
        <f t="shared" si="0"/>
        <v>0</v>
      </c>
      <c r="N43" s="50"/>
      <c r="O43" s="52"/>
      <c r="P43" s="53">
        <v>17</v>
      </c>
      <c r="Q43" s="30">
        <v>66697.78</v>
      </c>
      <c r="R43" s="27"/>
      <c r="S43" s="26">
        <f t="shared" si="1"/>
        <v>44991.43</v>
      </c>
      <c r="T43" s="26"/>
      <c r="U43" s="241">
        <v>44991.43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2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1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3</v>
      </c>
      <c r="Q48" s="68">
        <v>4105.8999999999996</v>
      </c>
      <c r="R48" s="40"/>
      <c r="S48" s="39">
        <f t="shared" si="1"/>
        <v>0</v>
      </c>
      <c r="T48" s="39"/>
      <c r="U48" s="4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226"/>
      <c r="G50" s="227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2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4</v>
      </c>
      <c r="I53" s="62">
        <v>3</v>
      </c>
      <c r="J53" s="62">
        <v>3</v>
      </c>
      <c r="K53" s="30">
        <v>6785.75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05">
        <v>1</v>
      </c>
      <c r="S53" s="26">
        <f t="shared" si="1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1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71</v>
      </c>
      <c r="E55" s="381" t="s">
        <v>55</v>
      </c>
      <c r="F55" s="46"/>
      <c r="G55" s="47" t="s">
        <v>24</v>
      </c>
      <c r="H55" s="48">
        <v>5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1"/>
        <v>0</v>
      </c>
      <c r="T55" s="26"/>
      <c r="U55" s="10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2</v>
      </c>
      <c r="I57" s="203">
        <v>1</v>
      </c>
      <c r="J57" s="203">
        <v>1</v>
      </c>
      <c r="K57" s="65">
        <v>768.4</v>
      </c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233" t="s">
        <v>223</v>
      </c>
      <c r="G58" s="227" t="s">
        <v>28</v>
      </c>
      <c r="H58" s="112">
        <v>2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 t="s">
        <v>22</v>
      </c>
      <c r="D59" s="374"/>
      <c r="E59" s="374" t="s">
        <v>27</v>
      </c>
      <c r="F59" s="204" t="s">
        <v>209</v>
      </c>
      <c r="G59" s="176" t="s">
        <v>24</v>
      </c>
      <c r="H59" s="61">
        <v>1</v>
      </c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9062.41</v>
      </c>
      <c r="T59" s="30">
        <v>9062.41</v>
      </c>
      <c r="U59" s="2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74</v>
      </c>
      <c r="C61" s="377" t="s">
        <v>39</v>
      </c>
      <c r="D61" s="377" t="s">
        <v>264</v>
      </c>
      <c r="E61" s="377" t="s">
        <v>27</v>
      </c>
      <c r="F61" s="223" t="s">
        <v>265</v>
      </c>
      <c r="G61" s="95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11</v>
      </c>
      <c r="Q61" s="65">
        <v>37889.65</v>
      </c>
      <c r="R61" s="224">
        <v>5</v>
      </c>
      <c r="S61" s="50">
        <f t="shared" si="1"/>
        <v>19918.689999999999</v>
      </c>
      <c r="T61" s="65">
        <v>19918.689999999999</v>
      </c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54"/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1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4</v>
      </c>
      <c r="Q63" s="30">
        <v>2984.28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34"/>
      <c r="G64" s="35" t="s">
        <v>28</v>
      </c>
      <c r="H64" s="117">
        <v>3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203">
        <v>1</v>
      </c>
      <c r="J65" s="203">
        <v>1</v>
      </c>
      <c r="K65" s="65">
        <v>633.92999999999995</v>
      </c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61">
        <v>1</v>
      </c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17">
        <v>1</v>
      </c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48">
        <v>1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4</v>
      </c>
      <c r="Q69" s="65">
        <v>16789.810000000001</v>
      </c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126"/>
      <c r="G70" s="55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 t="s">
        <v>39</v>
      </c>
      <c r="D71" s="374" t="s">
        <v>224</v>
      </c>
      <c r="E71" s="374" t="s">
        <v>65</v>
      </c>
      <c r="F71" s="223" t="s">
        <v>225</v>
      </c>
      <c r="G71" s="23" t="s">
        <v>24</v>
      </c>
      <c r="H71" s="24">
        <v>8</v>
      </c>
      <c r="I71" s="62">
        <v>5</v>
      </c>
      <c r="J71" s="62">
        <v>6</v>
      </c>
      <c r="K71" s="30">
        <v>19717.55</v>
      </c>
      <c r="L71" s="27"/>
      <c r="M71" s="26">
        <f t="shared" si="0"/>
        <v>0</v>
      </c>
      <c r="N71" s="26"/>
      <c r="O71" s="31"/>
      <c r="P71" s="29">
        <v>20</v>
      </c>
      <c r="Q71" s="30">
        <v>57526.63</v>
      </c>
      <c r="R71" s="205">
        <v>5</v>
      </c>
      <c r="S71" s="26">
        <f t="shared" si="1"/>
        <v>10367.34</v>
      </c>
      <c r="T71" s="30">
        <v>10367.34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35" t="s">
        <v>28</v>
      </c>
      <c r="H72" s="36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82"/>
      <c r="B73" s="381" t="s">
        <v>82</v>
      </c>
      <c r="C73" s="381" t="s">
        <v>22</v>
      </c>
      <c r="D73" s="385"/>
      <c r="E73" s="381" t="s">
        <v>83</v>
      </c>
      <c r="F73" s="127"/>
      <c r="G73" s="47" t="s">
        <v>24</v>
      </c>
      <c r="H73" s="151">
        <v>3</v>
      </c>
      <c r="I73" s="203">
        <v>1</v>
      </c>
      <c r="J73" s="203">
        <v>1</v>
      </c>
      <c r="K73" s="65">
        <v>950.9</v>
      </c>
      <c r="L73" s="51"/>
      <c r="M73" s="50">
        <f t="shared" si="0"/>
        <v>0</v>
      </c>
      <c r="N73" s="50"/>
      <c r="O73" s="31"/>
      <c r="P73" s="108">
        <v>7</v>
      </c>
      <c r="Q73" s="65">
        <v>9577.4699999999993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1">
        <v>1</v>
      </c>
      <c r="I74" s="130">
        <v>1</v>
      </c>
      <c r="J74" s="130">
        <v>1</v>
      </c>
      <c r="K74" s="114">
        <v>1344.7</v>
      </c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126"/>
      <c r="G78" s="55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39</v>
      </c>
      <c r="D79" s="374" t="s">
        <v>266</v>
      </c>
      <c r="E79" s="374" t="s">
        <v>23</v>
      </c>
      <c r="F79" s="223" t="s">
        <v>267</v>
      </c>
      <c r="G79" s="23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53">
        <v>2</v>
      </c>
      <c r="Q79" s="30">
        <v>5673.46</v>
      </c>
      <c r="R79" s="205">
        <v>2</v>
      </c>
      <c r="S79" s="26">
        <f t="shared" si="1"/>
        <v>5673.46</v>
      </c>
      <c r="T79" s="30">
        <v>5673.46</v>
      </c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26"/>
      <c r="G80" s="55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23" t="s">
        <v>268</v>
      </c>
      <c r="G81" s="23" t="s">
        <v>24</v>
      </c>
      <c r="H81" s="61">
        <v>3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5</v>
      </c>
      <c r="Q81" s="30">
        <v>14914.91</v>
      </c>
      <c r="R81" s="27"/>
      <c r="S81" s="26">
        <f t="shared" si="1"/>
        <v>5094.8</v>
      </c>
      <c r="T81" s="26"/>
      <c r="U81" s="225">
        <v>5094.8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34"/>
      <c r="G82" s="35" t="s">
        <v>25</v>
      </c>
      <c r="H82" s="117">
        <v>3</v>
      </c>
      <c r="I82" s="38"/>
      <c r="J82" s="38"/>
      <c r="K82" s="39"/>
      <c r="L82" s="40"/>
      <c r="M82" s="39">
        <f t="shared" si="0"/>
        <v>0</v>
      </c>
      <c r="N82" s="39"/>
      <c r="O82" s="41"/>
      <c r="P82" s="115">
        <v>5</v>
      </c>
      <c r="Q82" s="68">
        <v>10181.299999999999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82"/>
      <c r="B83" s="381" t="s">
        <v>90</v>
      </c>
      <c r="C83" s="381" t="s">
        <v>39</v>
      </c>
      <c r="D83" s="381" t="s">
        <v>91</v>
      </c>
      <c r="E83" s="381" t="s">
        <v>27</v>
      </c>
      <c r="F83" s="46"/>
      <c r="G83" s="47" t="s">
        <v>24</v>
      </c>
      <c r="H83" s="48">
        <v>2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3</v>
      </c>
      <c r="Q83" s="65">
        <v>32117.38</v>
      </c>
      <c r="R83" s="51"/>
      <c r="S83" s="50">
        <f t="shared" si="1"/>
        <v>0</v>
      </c>
      <c r="T83" s="50"/>
      <c r="U83" s="3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9"/>
      <c r="B84" s="380"/>
      <c r="C84" s="380"/>
      <c r="D84" s="375"/>
      <c r="E84" s="380"/>
      <c r="F84" s="221" t="s">
        <v>229</v>
      </c>
      <c r="G84" s="55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23" t="s">
        <v>269</v>
      </c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5</v>
      </c>
      <c r="Q85" s="30">
        <v>29354.959999999999</v>
      </c>
      <c r="R85" s="205">
        <v>2</v>
      </c>
      <c r="S85" s="26">
        <f t="shared" si="1"/>
        <v>3751.96</v>
      </c>
      <c r="T85" s="30">
        <v>3751.96</v>
      </c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221" t="s">
        <v>230</v>
      </c>
      <c r="G86" s="55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23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9"/>
      <c r="B88" s="380"/>
      <c r="C88" s="380"/>
      <c r="D88" s="380"/>
      <c r="E88" s="380"/>
      <c r="F88" s="126"/>
      <c r="G88" s="55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2"/>
      <c r="G89" s="23" t="s">
        <v>24</v>
      </c>
      <c r="H89" s="48">
        <v>3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14</v>
      </c>
      <c r="Q89" s="30">
        <v>30413.21</v>
      </c>
      <c r="R89" s="27"/>
      <c r="S89" s="26">
        <f t="shared" si="1"/>
        <v>0</v>
      </c>
      <c r="T89" s="26"/>
      <c r="U89" s="31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54"/>
      <c r="G90" s="55" t="s">
        <v>25</v>
      </c>
      <c r="H90" s="112">
        <v>3</v>
      </c>
      <c r="I90" s="57"/>
      <c r="J90" s="57"/>
      <c r="K90" s="43"/>
      <c r="L90" s="44"/>
      <c r="M90" s="43">
        <f t="shared" si="0"/>
        <v>0</v>
      </c>
      <c r="N90" s="43"/>
      <c r="O90" s="41"/>
      <c r="P90" s="103"/>
      <c r="Q90" s="43"/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134"/>
      <c r="G91" s="23" t="s">
        <v>24</v>
      </c>
      <c r="H91" s="24">
        <v>1</v>
      </c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135"/>
      <c r="G92" s="55" t="s">
        <v>28</v>
      </c>
      <c r="H92" s="207">
        <v>2</v>
      </c>
      <c r="I92" s="208">
        <v>1</v>
      </c>
      <c r="J92" s="208">
        <v>1</v>
      </c>
      <c r="K92" s="209">
        <v>1344.7</v>
      </c>
      <c r="L92" s="210"/>
      <c r="M92" s="211">
        <f t="shared" si="0"/>
        <v>0</v>
      </c>
      <c r="N92" s="211"/>
      <c r="O92" s="212"/>
      <c r="P92" s="103"/>
      <c r="Q92" s="43"/>
      <c r="R92" s="44"/>
      <c r="S92" s="43">
        <f t="shared" si="1"/>
        <v>2209.15</v>
      </c>
      <c r="T92" s="43"/>
      <c r="U92" s="234">
        <v>2209.15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2"/>
      <c r="B93" s="374" t="s">
        <v>98</v>
      </c>
      <c r="C93" s="374" t="s">
        <v>39</v>
      </c>
      <c r="D93" s="374" t="s">
        <v>270</v>
      </c>
      <c r="E93" s="374" t="s">
        <v>99</v>
      </c>
      <c r="F93" s="223" t="s">
        <v>271</v>
      </c>
      <c r="G93" s="213" t="s">
        <v>24</v>
      </c>
      <c r="H93" s="24">
        <v>4</v>
      </c>
      <c r="I93" s="62">
        <v>1</v>
      </c>
      <c r="J93" s="62">
        <v>1</v>
      </c>
      <c r="K93" s="30">
        <v>633.92999999999995</v>
      </c>
      <c r="L93" s="27"/>
      <c r="M93" s="26">
        <f t="shared" si="0"/>
        <v>0</v>
      </c>
      <c r="N93" s="26"/>
      <c r="O93" s="100"/>
      <c r="P93" s="214">
        <v>9</v>
      </c>
      <c r="Q93" s="30">
        <v>44129.72</v>
      </c>
      <c r="R93" s="205">
        <v>2</v>
      </c>
      <c r="S93" s="26">
        <f t="shared" si="1"/>
        <v>1456.12</v>
      </c>
      <c r="T93" s="30">
        <v>1456.12</v>
      </c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34"/>
      <c r="G94" s="215" t="s">
        <v>28</v>
      </c>
      <c r="H94" s="133">
        <v>2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0</v>
      </c>
      <c r="T94" s="39"/>
      <c r="U94" s="41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81" t="s">
        <v>22</v>
      </c>
      <c r="D95" s="381" t="s">
        <v>101</v>
      </c>
      <c r="E95" s="381" t="s">
        <v>27</v>
      </c>
      <c r="F95" s="46"/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0</v>
      </c>
      <c r="T95" s="50"/>
      <c r="U95" s="31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34"/>
      <c r="G96" s="35" t="s">
        <v>28</v>
      </c>
      <c r="H96" s="133">
        <v>1</v>
      </c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223" t="s">
        <v>272</v>
      </c>
      <c r="G97" s="23" t="s">
        <v>24</v>
      </c>
      <c r="H97" s="48">
        <v>2</v>
      </c>
      <c r="I97" s="203">
        <v>1</v>
      </c>
      <c r="J97" s="203">
        <v>1</v>
      </c>
      <c r="K97" s="65">
        <v>966.08</v>
      </c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224">
        <v>2</v>
      </c>
      <c r="S97" s="50">
        <f t="shared" si="1"/>
        <v>2175.5100000000002</v>
      </c>
      <c r="T97" s="65">
        <v>2175.5100000000002</v>
      </c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54"/>
      <c r="G98" s="55" t="s">
        <v>28</v>
      </c>
      <c r="H98" s="111"/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2</v>
      </c>
      <c r="Q98" s="114">
        <v>8007.8</v>
      </c>
      <c r="R98" s="44"/>
      <c r="S98" s="43">
        <f t="shared" si="1"/>
        <v>0</v>
      </c>
      <c r="T98" s="43"/>
      <c r="U98" s="41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107"/>
      <c r="I99" s="25"/>
      <c r="J99" s="25"/>
      <c r="K99" s="26"/>
      <c r="L99" s="27"/>
      <c r="M99" s="26">
        <f t="shared" si="0"/>
        <v>0</v>
      </c>
      <c r="N99" s="26"/>
      <c r="O99" s="31"/>
      <c r="P99" s="53">
        <v>5</v>
      </c>
      <c r="Q99" s="30">
        <v>7208.15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34"/>
      <c r="G100" s="35" t="s">
        <v>28</v>
      </c>
      <c r="H100" s="116"/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105</v>
      </c>
      <c r="E101" s="381" t="s">
        <v>27</v>
      </c>
      <c r="F101" s="46"/>
      <c r="G101" s="23" t="s">
        <v>24</v>
      </c>
      <c r="H101" s="48">
        <v>4</v>
      </c>
      <c r="I101" s="49"/>
      <c r="J101" s="49"/>
      <c r="K101" s="50"/>
      <c r="L101" s="51"/>
      <c r="M101" s="50">
        <f t="shared" si="0"/>
        <v>0</v>
      </c>
      <c r="N101" s="50"/>
      <c r="O101" s="31"/>
      <c r="P101" s="108">
        <v>7</v>
      </c>
      <c r="Q101" s="65">
        <v>18298</v>
      </c>
      <c r="R101" s="51"/>
      <c r="S101" s="50">
        <f t="shared" si="1"/>
        <v>0</v>
      </c>
      <c r="T101" s="50"/>
      <c r="U101" s="31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107"/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16534.97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21" t="s">
        <v>233</v>
      </c>
      <c r="G104" s="55" t="s">
        <v>28</v>
      </c>
      <c r="H104" s="153">
        <v>1</v>
      </c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223" t="s">
        <v>273</v>
      </c>
      <c r="G105" s="23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4</v>
      </c>
      <c r="Q105" s="30">
        <v>14334.39</v>
      </c>
      <c r="R105" s="27"/>
      <c r="S105" s="26">
        <f t="shared" si="1"/>
        <v>13277.84</v>
      </c>
      <c r="T105" s="26"/>
      <c r="U105" s="225">
        <v>13277.84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235" t="s">
        <v>234</v>
      </c>
      <c r="G106" s="141" t="s">
        <v>28</v>
      </c>
      <c r="H106" s="48">
        <v>2</v>
      </c>
      <c r="I106" s="246">
        <v>1</v>
      </c>
      <c r="J106" s="246">
        <v>1</v>
      </c>
      <c r="K106" s="158">
        <v>576.29999999999995</v>
      </c>
      <c r="L106" s="143"/>
      <c r="M106" s="142">
        <f t="shared" si="0"/>
        <v>0</v>
      </c>
      <c r="N106" s="142"/>
      <c r="O106" s="45"/>
      <c r="P106" s="157">
        <v>1</v>
      </c>
      <c r="Q106" s="158">
        <v>288.14999999999998</v>
      </c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146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82"/>
      <c r="B108" s="381" t="s">
        <v>110</v>
      </c>
      <c r="C108" s="381" t="s">
        <v>22</v>
      </c>
      <c r="D108" s="381"/>
      <c r="E108" s="381" t="s">
        <v>67</v>
      </c>
      <c r="F108" s="223" t="s">
        <v>274</v>
      </c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3034.34</v>
      </c>
      <c r="T108" s="50"/>
      <c r="U108" s="225">
        <v>3034.34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53">
        <v>2</v>
      </c>
      <c r="Q110" s="30">
        <v>1306.28</v>
      </c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221" t="s">
        <v>235</v>
      </c>
      <c r="G111" s="55" t="s">
        <v>28</v>
      </c>
      <c r="H111" s="116"/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22</v>
      </c>
      <c r="D112" s="374" t="s">
        <v>114</v>
      </c>
      <c r="E112" s="374" t="s">
        <v>27</v>
      </c>
      <c r="F112" s="60"/>
      <c r="G112" s="23" t="s">
        <v>24</v>
      </c>
      <c r="H112" s="48">
        <v>3</v>
      </c>
      <c r="I112" s="62">
        <v>2</v>
      </c>
      <c r="J112" s="62">
        <v>3</v>
      </c>
      <c r="K112" s="30">
        <v>3350.71</v>
      </c>
      <c r="L112" s="27"/>
      <c r="M112" s="26">
        <f t="shared" si="0"/>
        <v>0</v>
      </c>
      <c r="N112" s="26"/>
      <c r="O112" s="31"/>
      <c r="P112" s="53">
        <v>7</v>
      </c>
      <c r="Q112" s="30">
        <v>18129.560000000001</v>
      </c>
      <c r="R112" s="27"/>
      <c r="S112" s="26">
        <f t="shared" si="1"/>
        <v>0</v>
      </c>
      <c r="T112" s="26"/>
      <c r="U112" s="31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54"/>
      <c r="G113" s="55" t="s">
        <v>28</v>
      </c>
      <c r="H113" s="56">
        <v>1</v>
      </c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46"/>
      <c r="G116" s="47" t="s">
        <v>24</v>
      </c>
      <c r="H116" s="61">
        <v>3</v>
      </c>
      <c r="I116" s="25"/>
      <c r="J116" s="25"/>
      <c r="K116" s="26"/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0</v>
      </c>
      <c r="T116" s="50"/>
      <c r="U116" s="31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46"/>
      <c r="G118" s="23" t="s">
        <v>24</v>
      </c>
      <c r="H118" s="48">
        <v>5</v>
      </c>
      <c r="I118" s="203">
        <v>3</v>
      </c>
      <c r="J118" s="203">
        <v>3</v>
      </c>
      <c r="K118" s="65">
        <v>5224.55</v>
      </c>
      <c r="L118" s="51"/>
      <c r="M118" s="50">
        <f t="shared" si="0"/>
        <v>0</v>
      </c>
      <c r="N118" s="50"/>
      <c r="O118" s="31"/>
      <c r="P118" s="108">
        <v>18</v>
      </c>
      <c r="Q118" s="65">
        <v>59578.83</v>
      </c>
      <c r="R118" s="51"/>
      <c r="S118" s="50">
        <f t="shared" si="1"/>
        <v>0</v>
      </c>
      <c r="T118" s="50"/>
      <c r="U118" s="31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126"/>
      <c r="G119" s="55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22</v>
      </c>
      <c r="D120" s="374"/>
      <c r="E120" s="374" t="s">
        <v>27</v>
      </c>
      <c r="F120" s="150"/>
      <c r="G120" s="23" t="s">
        <v>24</v>
      </c>
      <c r="H120" s="151">
        <v>2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6</v>
      </c>
      <c r="Q120" s="30">
        <v>21153.67</v>
      </c>
      <c r="R120" s="27"/>
      <c r="S120" s="26">
        <f t="shared" si="1"/>
        <v>0</v>
      </c>
      <c r="T120" s="26"/>
      <c r="U120" s="31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35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120</v>
      </c>
      <c r="E122" s="374" t="s">
        <v>121</v>
      </c>
      <c r="F122" s="22"/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19</v>
      </c>
      <c r="Q122" s="30">
        <v>28164.47</v>
      </c>
      <c r="R122" s="27"/>
      <c r="S122" s="26">
        <f t="shared" si="1"/>
        <v>0</v>
      </c>
      <c r="T122" s="26"/>
      <c r="U122" s="31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54"/>
      <c r="G123" s="55" t="s">
        <v>25</v>
      </c>
      <c r="H123" s="153">
        <v>1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39</v>
      </c>
      <c r="D124" s="374" t="s">
        <v>123</v>
      </c>
      <c r="E124" s="374" t="s">
        <v>55</v>
      </c>
      <c r="F124" s="223" t="s">
        <v>236</v>
      </c>
      <c r="G124" s="23" t="s">
        <v>24</v>
      </c>
      <c r="H124" s="48">
        <v>3</v>
      </c>
      <c r="I124" s="25"/>
      <c r="J124" s="25"/>
      <c r="K124" s="26"/>
      <c r="L124" s="27"/>
      <c r="M124" s="26">
        <f t="shared" si="0"/>
        <v>0</v>
      </c>
      <c r="N124" s="26"/>
      <c r="O124" s="31"/>
      <c r="P124" s="53">
        <v>9</v>
      </c>
      <c r="Q124" s="30">
        <v>35007.79</v>
      </c>
      <c r="R124" s="205">
        <v>6</v>
      </c>
      <c r="S124" s="26">
        <f t="shared" si="1"/>
        <v>15352.72</v>
      </c>
      <c r="T124" s="30">
        <v>15352.72</v>
      </c>
      <c r="U124" s="225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35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82"/>
      <c r="B126" s="381" t="s">
        <v>124</v>
      </c>
      <c r="C126" s="381" t="s">
        <v>39</v>
      </c>
      <c r="D126" s="381" t="s">
        <v>125</v>
      </c>
      <c r="E126" s="381" t="s">
        <v>27</v>
      </c>
      <c r="F126" s="223" t="s">
        <v>237</v>
      </c>
      <c r="G126" s="23" t="s">
        <v>24</v>
      </c>
      <c r="H126" s="48">
        <v>7</v>
      </c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30</v>
      </c>
      <c r="Q126" s="65">
        <v>179411.92</v>
      </c>
      <c r="R126" s="224">
        <v>7</v>
      </c>
      <c r="S126" s="50">
        <f t="shared" si="1"/>
        <v>50185.66</v>
      </c>
      <c r="T126" s="65">
        <v>50185.66</v>
      </c>
      <c r="U126" s="225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129"/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152"/>
      <c r="G130" s="35" t="s">
        <v>28</v>
      </c>
      <c r="H130" s="153">
        <v>2</v>
      </c>
      <c r="I130" s="37">
        <v>2</v>
      </c>
      <c r="J130" s="37">
        <v>2</v>
      </c>
      <c r="K130" s="68">
        <v>2305.1999999999998</v>
      </c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48">
        <v>1</v>
      </c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4</v>
      </c>
      <c r="Q131" s="65">
        <v>16831.23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54"/>
      <c r="G132" s="55" t="s">
        <v>28</v>
      </c>
      <c r="H132" s="153">
        <v>1</v>
      </c>
      <c r="I132" s="37">
        <v>1</v>
      </c>
      <c r="J132" s="37">
        <v>1</v>
      </c>
      <c r="K132" s="68">
        <v>1578.8</v>
      </c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54"/>
      <c r="G134" s="55" t="s">
        <v>25</v>
      </c>
      <c r="H134" s="153">
        <v>1</v>
      </c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23" t="s">
        <v>24</v>
      </c>
      <c r="H135" s="48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1</v>
      </c>
      <c r="Q135" s="30">
        <v>2466.56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9"/>
      <c r="B136" s="380"/>
      <c r="C136" s="380"/>
      <c r="D136" s="380"/>
      <c r="E136" s="380"/>
      <c r="F136" s="54"/>
      <c r="G136" s="55" t="s">
        <v>25</v>
      </c>
      <c r="H136" s="112">
        <v>4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 t="s">
        <v>39</v>
      </c>
      <c r="D137" s="374" t="s">
        <v>238</v>
      </c>
      <c r="E137" s="381" t="s">
        <v>136</v>
      </c>
      <c r="F137" s="223" t="s">
        <v>239</v>
      </c>
      <c r="G137" s="23" t="s">
        <v>24</v>
      </c>
      <c r="H137" s="61">
        <v>1</v>
      </c>
      <c r="I137" s="62">
        <v>1</v>
      </c>
      <c r="J137" s="62">
        <v>1</v>
      </c>
      <c r="K137" s="30">
        <v>1210.23</v>
      </c>
      <c r="L137" s="27"/>
      <c r="M137" s="26">
        <f t="shared" si="0"/>
        <v>0</v>
      </c>
      <c r="N137" s="26"/>
      <c r="O137" s="31"/>
      <c r="P137" s="53">
        <v>8</v>
      </c>
      <c r="Q137" s="30">
        <v>23459.74</v>
      </c>
      <c r="R137" s="205">
        <v>1</v>
      </c>
      <c r="S137" s="26">
        <f t="shared" si="1"/>
        <v>2697.08</v>
      </c>
      <c r="T137" s="30">
        <v>2697.08</v>
      </c>
      <c r="U137" s="225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237" t="s">
        <v>240</v>
      </c>
      <c r="G138" s="154" t="s">
        <v>28</v>
      </c>
      <c r="H138" s="112">
        <v>3</v>
      </c>
      <c r="I138" s="155"/>
      <c r="J138" s="155"/>
      <c r="K138" s="129"/>
      <c r="L138" s="128"/>
      <c r="M138" s="129">
        <f t="shared" si="0"/>
        <v>0</v>
      </c>
      <c r="N138" s="129"/>
      <c r="O138" s="45"/>
      <c r="P138" s="238">
        <v>4</v>
      </c>
      <c r="Q138" s="239">
        <v>2919.92</v>
      </c>
      <c r="R138" s="128"/>
      <c r="S138" s="129">
        <f t="shared" si="1"/>
        <v>0</v>
      </c>
      <c r="T138" s="129"/>
      <c r="U138" s="45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74"/>
      <c r="F140" s="22"/>
      <c r="G140" s="23" t="s">
        <v>24</v>
      </c>
      <c r="H140" s="61">
        <v>5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82"/>
      <c r="B142" s="381" t="s">
        <v>134</v>
      </c>
      <c r="C142" s="381" t="s">
        <v>39</v>
      </c>
      <c r="D142" s="381" t="s">
        <v>280</v>
      </c>
      <c r="E142" s="381" t="s">
        <v>136</v>
      </c>
      <c r="F142" s="223" t="s">
        <v>282</v>
      </c>
      <c r="G142" s="47" t="s">
        <v>24</v>
      </c>
      <c r="H142" s="48">
        <v>3</v>
      </c>
      <c r="I142" s="203">
        <v>1</v>
      </c>
      <c r="J142" s="203">
        <v>1</v>
      </c>
      <c r="K142" s="65">
        <v>2904.55</v>
      </c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224">
        <v>2</v>
      </c>
      <c r="S142" s="50">
        <f t="shared" si="1"/>
        <v>3694.33</v>
      </c>
      <c r="T142" s="65">
        <v>3694.33</v>
      </c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140"/>
      <c r="G143" s="141" t="s">
        <v>28</v>
      </c>
      <c r="H143" s="151">
        <v>3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0</v>
      </c>
      <c r="T143" s="142"/>
      <c r="U143" s="45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54"/>
      <c r="G144" s="55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4"/>
      <c r="D145" s="374"/>
      <c r="E145" s="374"/>
      <c r="F145" s="22"/>
      <c r="G145" s="23" t="s">
        <v>24</v>
      </c>
      <c r="H145" s="24">
        <v>2</v>
      </c>
      <c r="I145" s="25"/>
      <c r="J145" s="25"/>
      <c r="K145" s="26"/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0</v>
      </c>
      <c r="T145" s="26"/>
      <c r="U145" s="31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75"/>
      <c r="F146" s="220" t="s">
        <v>241</v>
      </c>
      <c r="G146" s="35" t="s">
        <v>28</v>
      </c>
      <c r="H146" s="66">
        <v>2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82"/>
      <c r="B147" s="381" t="s">
        <v>138</v>
      </c>
      <c r="C147" s="381" t="s">
        <v>22</v>
      </c>
      <c r="D147" s="381"/>
      <c r="E147" s="381" t="s">
        <v>27</v>
      </c>
      <c r="F147" s="46"/>
      <c r="G147" s="47" t="s">
        <v>24</v>
      </c>
      <c r="H147" s="151">
        <v>1</v>
      </c>
      <c r="I147" s="49"/>
      <c r="J147" s="49"/>
      <c r="K147" s="50"/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0</v>
      </c>
      <c r="T147" s="50"/>
      <c r="U147" s="31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9"/>
      <c r="B148" s="380"/>
      <c r="C148" s="380"/>
      <c r="D148" s="380"/>
      <c r="E148" s="380"/>
      <c r="F148" s="221" t="s">
        <v>242</v>
      </c>
      <c r="G148" s="55" t="s">
        <v>28</v>
      </c>
      <c r="H148" s="133">
        <v>2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2</v>
      </c>
      <c r="Q148" s="114">
        <v>5859.05</v>
      </c>
      <c r="R148" s="44"/>
      <c r="S148" s="43">
        <f t="shared" si="1"/>
        <v>4802.5</v>
      </c>
      <c r="T148" s="43"/>
      <c r="U148" s="41">
        <f>4802.5</f>
        <v>4802.5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2"/>
      <c r="G149" s="23" t="s">
        <v>24</v>
      </c>
      <c r="H149" s="151">
        <v>4</v>
      </c>
      <c r="I149" s="62">
        <v>2</v>
      </c>
      <c r="J149" s="62">
        <v>2</v>
      </c>
      <c r="K149" s="30">
        <v>4045.04</v>
      </c>
      <c r="L149" s="27"/>
      <c r="M149" s="26">
        <f t="shared" si="0"/>
        <v>0</v>
      </c>
      <c r="N149" s="26"/>
      <c r="O149" s="31"/>
      <c r="P149" s="53">
        <v>9</v>
      </c>
      <c r="Q149" s="30">
        <v>20468.02</v>
      </c>
      <c r="R149" s="27"/>
      <c r="S149" s="26">
        <f t="shared" si="1"/>
        <v>0</v>
      </c>
      <c r="T149" s="26"/>
      <c r="U149" s="31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54"/>
      <c r="G150" s="55" t="s">
        <v>28</v>
      </c>
      <c r="H150" s="112">
        <v>1</v>
      </c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2</v>
      </c>
      <c r="Q150" s="114">
        <v>3976.1</v>
      </c>
      <c r="R150" s="44"/>
      <c r="S150" s="43">
        <f t="shared" si="1"/>
        <v>3876.4</v>
      </c>
      <c r="T150" s="43"/>
      <c r="U150" s="45">
        <f>3876.4</f>
        <v>3876.4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20168.78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243</v>
      </c>
      <c r="G152" s="35" t="s">
        <v>28</v>
      </c>
      <c r="H152" s="66">
        <v>2</v>
      </c>
      <c r="I152" s="37">
        <v>1</v>
      </c>
      <c r="J152" s="37">
        <v>1</v>
      </c>
      <c r="K152" s="68">
        <v>1728</v>
      </c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2</v>
      </c>
      <c r="I155" s="62">
        <v>2</v>
      </c>
      <c r="J155" s="62">
        <v>2</v>
      </c>
      <c r="K155" s="30">
        <v>524.91</v>
      </c>
      <c r="L155" s="27"/>
      <c r="M155" s="26">
        <f t="shared" si="0"/>
        <v>0</v>
      </c>
      <c r="N155" s="26"/>
      <c r="O155" s="28"/>
      <c r="P155" s="53">
        <v>1</v>
      </c>
      <c r="Q155" s="30">
        <v>412.05</v>
      </c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144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8</v>
      </c>
      <c r="Q157" s="65">
        <v>27662.38</v>
      </c>
      <c r="R157" s="224">
        <v>4</v>
      </c>
      <c r="S157" s="50">
        <f t="shared" si="1"/>
        <v>14714.18</v>
      </c>
      <c r="T157" s="65">
        <v>14714.18</v>
      </c>
      <c r="U157" s="31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221" t="s">
        <v>244</v>
      </c>
      <c r="G158" s="55" t="s">
        <v>28</v>
      </c>
      <c r="H158" s="133">
        <v>3</v>
      </c>
      <c r="I158" s="57"/>
      <c r="J158" s="57"/>
      <c r="K158" s="43"/>
      <c r="L158" s="128"/>
      <c r="M158" s="50">
        <f t="shared" si="0"/>
        <v>0</v>
      </c>
      <c r="N158" s="43"/>
      <c r="O158" s="41"/>
      <c r="P158" s="103"/>
      <c r="Q158" s="43"/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147</v>
      </c>
      <c r="E159" s="374" t="s">
        <v>27</v>
      </c>
      <c r="F159" s="22"/>
      <c r="G159" s="23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8</v>
      </c>
      <c r="Q159" s="30">
        <v>17730.189999999999</v>
      </c>
      <c r="R159" s="27"/>
      <c r="S159" s="26">
        <f t="shared" si="1"/>
        <v>0</v>
      </c>
      <c r="T159" s="26"/>
      <c r="U159" s="31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9"/>
      <c r="B160" s="380"/>
      <c r="C160" s="380"/>
      <c r="D160" s="380"/>
      <c r="E160" s="380"/>
      <c r="F160" s="54"/>
      <c r="G160" s="55" t="s">
        <v>28</v>
      </c>
      <c r="H160" s="111"/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3</v>
      </c>
      <c r="Q160" s="68">
        <v>16520.599999999999</v>
      </c>
      <c r="R160" s="40"/>
      <c r="S160" s="39">
        <f t="shared" si="1"/>
        <v>0</v>
      </c>
      <c r="T160" s="39"/>
      <c r="U160" s="41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23" t="s">
        <v>218</v>
      </c>
      <c r="G161" s="23" t="s">
        <v>24</v>
      </c>
      <c r="H161" s="48">
        <v>7</v>
      </c>
      <c r="I161" s="62">
        <v>3</v>
      </c>
      <c r="J161" s="204">
        <v>3</v>
      </c>
      <c r="K161" s="30">
        <v>3379.04</v>
      </c>
      <c r="L161" s="27"/>
      <c r="M161" s="26">
        <f t="shared" si="0"/>
        <v>0</v>
      </c>
      <c r="N161" s="26"/>
      <c r="O161" s="31"/>
      <c r="P161" s="108">
        <v>15</v>
      </c>
      <c r="Q161" s="65">
        <v>47053.26</v>
      </c>
      <c r="R161" s="224">
        <v>5</v>
      </c>
      <c r="S161" s="50">
        <f t="shared" si="1"/>
        <v>17249.09</v>
      </c>
      <c r="T161" s="65">
        <v>17249.09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0</v>
      </c>
      <c r="T162" s="43"/>
      <c r="U162" s="45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34"/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7">
        <v>3</v>
      </c>
      <c r="Q164" s="68">
        <v>10841.33</v>
      </c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81" t="s">
        <v>22</v>
      </c>
      <c r="D165" s="381" t="s">
        <v>154</v>
      </c>
      <c r="E165" s="381" t="s">
        <v>27</v>
      </c>
      <c r="F165" s="46"/>
      <c r="G165" s="47" t="s">
        <v>24</v>
      </c>
      <c r="H165" s="48">
        <v>3</v>
      </c>
      <c r="I165" s="203">
        <v>1</v>
      </c>
      <c r="J165" s="203">
        <v>1</v>
      </c>
      <c r="K165" s="242">
        <v>950.9</v>
      </c>
      <c r="L165" s="167"/>
      <c r="M165" s="166">
        <f t="shared" si="0"/>
        <v>0</v>
      </c>
      <c r="N165" s="166"/>
      <c r="O165" s="31"/>
      <c r="P165" s="108">
        <v>4</v>
      </c>
      <c r="Q165" s="65">
        <v>15452.64</v>
      </c>
      <c r="R165" s="51"/>
      <c r="S165" s="50">
        <f t="shared" si="1"/>
        <v>0</v>
      </c>
      <c r="T165" s="50"/>
      <c r="U165" s="31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80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223" t="s">
        <v>245</v>
      </c>
      <c r="G167" s="23" t="s">
        <v>24</v>
      </c>
      <c r="H167" s="48">
        <v>1</v>
      </c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4</v>
      </c>
      <c r="Q167" s="30">
        <v>10125.48</v>
      </c>
      <c r="R167" s="205">
        <v>1</v>
      </c>
      <c r="S167" s="26">
        <f t="shared" si="1"/>
        <v>3759.09</v>
      </c>
      <c r="T167" s="30">
        <v>3759.09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82"/>
      <c r="B173" s="381" t="s">
        <v>158</v>
      </c>
      <c r="C173" s="381" t="s">
        <v>39</v>
      </c>
      <c r="D173" s="381" t="s">
        <v>288</v>
      </c>
      <c r="E173" s="381" t="s">
        <v>27</v>
      </c>
      <c r="F173" s="223" t="s">
        <v>289</v>
      </c>
      <c r="G173" s="47" t="s">
        <v>24</v>
      </c>
      <c r="H173" s="48">
        <v>4</v>
      </c>
      <c r="I173" s="203">
        <v>2</v>
      </c>
      <c r="J173" s="203">
        <v>2</v>
      </c>
      <c r="K173" s="65">
        <v>979.71</v>
      </c>
      <c r="L173" s="51"/>
      <c r="M173" s="50">
        <f t="shared" si="0"/>
        <v>0</v>
      </c>
      <c r="N173" s="50"/>
      <c r="O173" s="31"/>
      <c r="P173" s="108">
        <v>4</v>
      </c>
      <c r="Q173" s="65">
        <v>7345.91</v>
      </c>
      <c r="R173" s="51"/>
      <c r="S173" s="50">
        <f t="shared" si="1"/>
        <v>2627.93</v>
      </c>
      <c r="T173" s="50"/>
      <c r="U173" s="225">
        <v>2627.93</v>
      </c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80"/>
      <c r="D174" s="375"/>
      <c r="E174" s="380"/>
      <c r="F174" s="105"/>
      <c r="G174" s="35" t="s">
        <v>28</v>
      </c>
      <c r="H174" s="117">
        <v>1</v>
      </c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0</v>
      </c>
      <c r="T174" s="39"/>
      <c r="U174" s="41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82"/>
      <c r="B175" s="381" t="s">
        <v>159</v>
      </c>
      <c r="C175" s="381" t="s">
        <v>22</v>
      </c>
      <c r="D175" s="381"/>
      <c r="E175" s="381" t="s">
        <v>160</v>
      </c>
      <c r="F175" s="223" t="s">
        <v>246</v>
      </c>
      <c r="G175" s="47" t="s">
        <v>24</v>
      </c>
      <c r="H175" s="48">
        <v>1</v>
      </c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18</v>
      </c>
      <c r="Q175" s="65">
        <v>26506.29</v>
      </c>
      <c r="R175" s="224">
        <v>9</v>
      </c>
      <c r="S175" s="50">
        <f t="shared" si="1"/>
        <v>12661.42</v>
      </c>
      <c r="T175" s="65">
        <v>12661.42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12">
        <v>1</v>
      </c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24">
        <v>2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4602.5</v>
      </c>
      <c r="T181" s="43"/>
      <c r="U181" s="234">
        <f>4602.5</f>
        <v>4602.5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54"/>
      <c r="G183" s="55" t="s">
        <v>28</v>
      </c>
      <c r="H183" s="56">
        <v>1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3</v>
      </c>
      <c r="Q183" s="114">
        <v>4898.55</v>
      </c>
      <c r="R183" s="44"/>
      <c r="S183" s="43">
        <f t="shared" si="1"/>
        <v>0</v>
      </c>
      <c r="T183" s="43"/>
      <c r="U183" s="41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23"/>
      <c r="Q186" s="50"/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24">
        <v>1</v>
      </c>
      <c r="I188" s="62">
        <v>1</v>
      </c>
      <c r="J188" s="62">
        <v>1</v>
      </c>
      <c r="K188" s="30">
        <v>576.29999999999995</v>
      </c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240" t="s">
        <v>247</v>
      </c>
      <c r="G189" s="35" t="s">
        <v>28</v>
      </c>
      <c r="H189" s="66">
        <v>1</v>
      </c>
      <c r="I189" s="37"/>
      <c r="J189" s="37"/>
      <c r="K189" s="39"/>
      <c r="L189" s="40"/>
      <c r="M189" s="39">
        <f t="shared" si="0"/>
        <v>0</v>
      </c>
      <c r="N189" s="39"/>
      <c r="O189" s="58"/>
      <c r="P189" s="244">
        <v>2</v>
      </c>
      <c r="Q189" s="245">
        <v>5186.7</v>
      </c>
      <c r="R189" s="40"/>
      <c r="S189" s="39">
        <f t="shared" si="1"/>
        <v>0</v>
      </c>
      <c r="T189" s="39"/>
      <c r="U189" s="41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82"/>
      <c r="B190" s="381" t="s">
        <v>169</v>
      </c>
      <c r="C190" s="381" t="s">
        <v>22</v>
      </c>
      <c r="D190" s="381"/>
      <c r="E190" s="381" t="s">
        <v>27</v>
      </c>
      <c r="F190" s="46"/>
      <c r="G190" s="47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9"/>
      <c r="B191" s="380"/>
      <c r="C191" s="380"/>
      <c r="D191" s="380"/>
      <c r="E191" s="380"/>
      <c r="F191" s="54"/>
      <c r="G191" s="55" t="s">
        <v>28</v>
      </c>
      <c r="H191" s="111"/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23" t="s">
        <v>248</v>
      </c>
      <c r="G192" s="23" t="s">
        <v>24</v>
      </c>
      <c r="H192" s="48">
        <v>2</v>
      </c>
      <c r="I192" s="62">
        <v>1</v>
      </c>
      <c r="J192" s="62">
        <v>1</v>
      </c>
      <c r="K192" s="30">
        <v>1233.28</v>
      </c>
      <c r="L192" s="27"/>
      <c r="M192" s="26">
        <f t="shared" si="0"/>
        <v>0</v>
      </c>
      <c r="N192" s="26"/>
      <c r="O192" s="31"/>
      <c r="P192" s="53">
        <v>13</v>
      </c>
      <c r="Q192" s="30">
        <v>34299.050000000003</v>
      </c>
      <c r="R192" s="205">
        <v>2</v>
      </c>
      <c r="S192" s="26">
        <f t="shared" si="1"/>
        <v>5534.4</v>
      </c>
      <c r="T192" s="30">
        <v>5534.4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82"/>
      <c r="B194" s="381" t="s">
        <v>171</v>
      </c>
      <c r="C194" s="381" t="s">
        <v>22</v>
      </c>
      <c r="D194" s="381"/>
      <c r="E194" s="381" t="s">
        <v>27</v>
      </c>
      <c r="F194" s="46"/>
      <c r="G194" s="23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9"/>
      <c r="B195" s="380"/>
      <c r="C195" s="380"/>
      <c r="D195" s="380"/>
      <c r="E195" s="380"/>
      <c r="F195" s="221" t="s">
        <v>249</v>
      </c>
      <c r="G195" s="55" t="s">
        <v>28</v>
      </c>
      <c r="H195" s="133">
        <v>1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81" t="s">
        <v>39</v>
      </c>
      <c r="D196" s="374" t="s">
        <v>303</v>
      </c>
      <c r="E196" s="374" t="s">
        <v>121</v>
      </c>
      <c r="F196" s="223" t="s">
        <v>304</v>
      </c>
      <c r="G196" s="23" t="s">
        <v>24</v>
      </c>
      <c r="H196" s="48">
        <v>2</v>
      </c>
      <c r="I196" s="62">
        <v>2</v>
      </c>
      <c r="J196" s="62">
        <v>2</v>
      </c>
      <c r="K196" s="30">
        <v>806.82</v>
      </c>
      <c r="L196" s="27"/>
      <c r="M196" s="26">
        <f t="shared" si="0"/>
        <v>0</v>
      </c>
      <c r="N196" s="26"/>
      <c r="O196" s="31"/>
      <c r="P196" s="53">
        <v>25</v>
      </c>
      <c r="Q196" s="30">
        <v>34901.07</v>
      </c>
      <c r="R196" s="27"/>
      <c r="S196" s="26">
        <f t="shared" si="1"/>
        <v>6109.65</v>
      </c>
      <c r="T196" s="30"/>
      <c r="U196" s="30">
        <v>6109.65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80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/>
      <c r="E198" s="25"/>
      <c r="F198" s="22"/>
      <c r="G198" s="23" t="s">
        <v>24</v>
      </c>
      <c r="H198" s="61">
        <v>5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8"/>
      <c r="F199" s="34"/>
      <c r="G199" s="35" t="s">
        <v>25</v>
      </c>
      <c r="H199" s="117">
        <v>4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82"/>
      <c r="B200" s="381" t="s">
        <v>174</v>
      </c>
      <c r="C200" s="381" t="s">
        <v>39</v>
      </c>
      <c r="D200" s="381" t="s">
        <v>175</v>
      </c>
      <c r="E200" s="381" t="s">
        <v>176</v>
      </c>
      <c r="F200" s="46"/>
      <c r="G200" s="47" t="s">
        <v>24</v>
      </c>
      <c r="H200" s="48">
        <v>2</v>
      </c>
      <c r="I200" s="203">
        <v>2</v>
      </c>
      <c r="J200" s="203">
        <v>2</v>
      </c>
      <c r="K200" s="65">
        <v>2579.9</v>
      </c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9"/>
      <c r="B201" s="380"/>
      <c r="C201" s="380"/>
      <c r="D201" s="380"/>
      <c r="E201" s="380"/>
      <c r="F201" s="54"/>
      <c r="G201" s="55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3</v>
      </c>
      <c r="Q201" s="114">
        <v>19142.64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81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14</v>
      </c>
      <c r="Q202" s="30">
        <v>45509.18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3</v>
      </c>
      <c r="I208" s="203">
        <v>1</v>
      </c>
      <c r="J208" s="203">
        <v>1</v>
      </c>
      <c r="K208" s="65">
        <v>950.9</v>
      </c>
      <c r="L208" s="51"/>
      <c r="M208" s="50">
        <f t="shared" si="0"/>
        <v>0</v>
      </c>
      <c r="N208" s="50"/>
      <c r="O208" s="31"/>
      <c r="P208" s="108">
        <v>10</v>
      </c>
      <c r="Q208" s="65">
        <v>31753.040000000001</v>
      </c>
      <c r="R208" s="224">
        <v>8</v>
      </c>
      <c r="S208" s="50">
        <f t="shared" si="1"/>
        <v>28968.84</v>
      </c>
      <c r="T208" s="65">
        <v>28968.84</v>
      </c>
      <c r="U208" s="31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0</v>
      </c>
      <c r="T209" s="43"/>
      <c r="U209" s="45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6</v>
      </c>
      <c r="I210" s="62">
        <v>3</v>
      </c>
      <c r="J210" s="62">
        <v>3</v>
      </c>
      <c r="K210" s="30">
        <v>3878.12</v>
      </c>
      <c r="L210" s="27"/>
      <c r="M210" s="26">
        <f t="shared" si="0"/>
        <v>0</v>
      </c>
      <c r="N210" s="26"/>
      <c r="O210" s="31"/>
      <c r="P210" s="53">
        <v>6</v>
      </c>
      <c r="Q210" s="30">
        <v>31478.57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107"/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221" t="s">
        <v>252</v>
      </c>
      <c r="G213" s="55" t="s">
        <v>28</v>
      </c>
      <c r="H213" s="133">
        <v>3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221" t="s">
        <v>253</v>
      </c>
      <c r="G215" s="55" t="s">
        <v>28</v>
      </c>
      <c r="H215" s="153">
        <v>1</v>
      </c>
      <c r="I215" s="57"/>
      <c r="J215" s="57"/>
      <c r="K215" s="43"/>
      <c r="L215" s="44"/>
      <c r="M215" s="43">
        <f t="shared" si="0"/>
        <v>0</v>
      </c>
      <c r="N215" s="43"/>
      <c r="O215" s="41"/>
      <c r="P215" s="113">
        <v>2</v>
      </c>
      <c r="Q215" s="114">
        <v>2958.34</v>
      </c>
      <c r="R215" s="44"/>
      <c r="S215" s="43">
        <f t="shared" si="1"/>
        <v>0</v>
      </c>
      <c r="T215" s="43"/>
      <c r="U215" s="41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2"/>
      <c r="G216" s="23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0</v>
      </c>
      <c r="T216" s="26"/>
      <c r="U216" s="31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9"/>
      <c r="B217" s="380"/>
      <c r="C217" s="380"/>
      <c r="D217" s="380"/>
      <c r="E217" s="380"/>
      <c r="F217" s="54"/>
      <c r="G217" s="55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2994.47</v>
      </c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223" t="s">
        <v>315</v>
      </c>
      <c r="G218" s="23" t="s">
        <v>24</v>
      </c>
      <c r="H218" s="107"/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9</v>
      </c>
      <c r="Q218" s="30">
        <v>16989.849999999999</v>
      </c>
      <c r="R218" s="205">
        <v>3</v>
      </c>
      <c r="S218" s="26">
        <f t="shared" si="1"/>
        <v>6447.76</v>
      </c>
      <c r="T218" s="30">
        <v>6447.76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254</v>
      </c>
      <c r="G219" s="35" t="s">
        <v>28</v>
      </c>
      <c r="H219" s="153">
        <v>3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46"/>
      <c r="G220" s="23" t="s">
        <v>24</v>
      </c>
      <c r="H220" s="48">
        <v>4</v>
      </c>
      <c r="I220" s="49"/>
      <c r="J220" s="49"/>
      <c r="K220" s="50"/>
      <c r="L220" s="51"/>
      <c r="M220" s="50">
        <f t="shared" si="0"/>
        <v>0</v>
      </c>
      <c r="N220" s="50"/>
      <c r="O220" s="31"/>
      <c r="P220" s="108">
        <v>12</v>
      </c>
      <c r="Q220" s="65">
        <v>27009.49</v>
      </c>
      <c r="R220" s="51"/>
      <c r="S220" s="50">
        <f t="shared" si="1"/>
        <v>0</v>
      </c>
      <c r="T220" s="50"/>
      <c r="U220" s="31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54"/>
      <c r="G223" s="55" t="s">
        <v>28</v>
      </c>
      <c r="H223" s="118"/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4050.2</v>
      </c>
      <c r="T223" s="43"/>
      <c r="U223" s="222">
        <v>4050.2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24">
        <v>2</v>
      </c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256</v>
      </c>
      <c r="G225" s="35" t="s">
        <v>28</v>
      </c>
      <c r="H225" s="66">
        <v>1</v>
      </c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34"/>
      <c r="G227" s="35" t="s">
        <v>28</v>
      </c>
      <c r="H227" s="112">
        <v>1</v>
      </c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1897</v>
      </c>
      <c r="T227" s="39"/>
      <c r="U227" s="41">
        <f>1897</f>
        <v>1897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82"/>
      <c r="B228" s="381" t="s">
        <v>192</v>
      </c>
      <c r="C228" s="381" t="s">
        <v>22</v>
      </c>
      <c r="D228" s="381"/>
      <c r="E228" s="381" t="s">
        <v>193</v>
      </c>
      <c r="F228" s="223" t="s">
        <v>318</v>
      </c>
      <c r="G228" s="23" t="s">
        <v>24</v>
      </c>
      <c r="H228" s="61">
        <v>3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224">
        <v>9</v>
      </c>
      <c r="S228" s="50">
        <f t="shared" si="1"/>
        <v>15520.42</v>
      </c>
      <c r="T228" s="65">
        <v>15520.42</v>
      </c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9"/>
      <c r="B229" s="380"/>
      <c r="C229" s="380"/>
      <c r="D229" s="380"/>
      <c r="E229" s="380"/>
      <c r="F229" s="54"/>
      <c r="G229" s="55" t="s">
        <v>28</v>
      </c>
      <c r="H229" s="116"/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7" t="s">
        <v>39</v>
      </c>
      <c r="D230" s="377" t="s">
        <v>319</v>
      </c>
      <c r="E230" s="374" t="s">
        <v>160</v>
      </c>
      <c r="F230" s="223" t="s">
        <v>320</v>
      </c>
      <c r="G230" s="23" t="s">
        <v>24</v>
      </c>
      <c r="H230" s="48">
        <v>1</v>
      </c>
      <c r="I230" s="203">
        <v>1</v>
      </c>
      <c r="J230" s="203">
        <v>1</v>
      </c>
      <c r="K230" s="65">
        <v>288.14999999999998</v>
      </c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2951.62</v>
      </c>
      <c r="T230" s="26"/>
      <c r="U230" s="225">
        <v>2951.62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34"/>
      <c r="G231" s="35" t="s">
        <v>28</v>
      </c>
      <c r="H231" s="117">
        <v>1</v>
      </c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0</v>
      </c>
      <c r="T231" s="39"/>
      <c r="U231" s="41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77" t="s">
        <v>39</v>
      </c>
      <c r="D232" s="377" t="s">
        <v>231</v>
      </c>
      <c r="E232" s="381" t="s">
        <v>27</v>
      </c>
      <c r="F232" s="204" t="s">
        <v>232</v>
      </c>
      <c r="G232" s="47" t="s">
        <v>24</v>
      </c>
      <c r="H232" s="104"/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5</v>
      </c>
      <c r="Q232" s="65">
        <v>42908.57</v>
      </c>
      <c r="R232" s="224">
        <v>3</v>
      </c>
      <c r="S232" s="50">
        <f t="shared" si="1"/>
        <v>35948.410000000003</v>
      </c>
      <c r="T232" s="65">
        <v>35948.410000000003</v>
      </c>
      <c r="U232" s="31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1" t="s">
        <v>260</v>
      </c>
      <c r="G233" s="55" t="s">
        <v>28</v>
      </c>
      <c r="H233" s="178">
        <v>3</v>
      </c>
      <c r="I233" s="130">
        <v>1</v>
      </c>
      <c r="J233" s="130">
        <v>1</v>
      </c>
      <c r="K233" s="114">
        <v>1152.5999999999999</v>
      </c>
      <c r="L233" s="44"/>
      <c r="M233" s="43">
        <f t="shared" si="0"/>
        <v>0</v>
      </c>
      <c r="N233" s="43"/>
      <c r="O233" s="45"/>
      <c r="P233" s="130">
        <v>3</v>
      </c>
      <c r="Q233" s="130">
        <v>8188.85</v>
      </c>
      <c r="R233" s="44"/>
      <c r="S233" s="43">
        <f t="shared" si="1"/>
        <v>4994.6000000000004</v>
      </c>
      <c r="T233" s="43"/>
      <c r="U233" s="222">
        <v>4994.6000000000004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34"/>
      <c r="G235" s="35" t="s">
        <v>28</v>
      </c>
      <c r="H235" s="66">
        <v>3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748.27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54"/>
      <c r="G237" s="55" t="s">
        <v>28</v>
      </c>
      <c r="H237" s="153">
        <v>2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2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6</v>
      </c>
      <c r="Q238" s="30">
        <v>25021.41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34"/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54"/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0</v>
      </c>
      <c r="T243" s="43"/>
      <c r="U243" s="45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1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48">
        <v>1</v>
      </c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1" t="s">
        <v>262</v>
      </c>
      <c r="G247" s="55" t="s">
        <v>28</v>
      </c>
      <c r="H247" s="112">
        <v>1</v>
      </c>
      <c r="I247" s="57"/>
      <c r="J247" s="57"/>
      <c r="K247" s="43"/>
      <c r="L247" s="128"/>
      <c r="M247" s="129">
        <f t="shared" si="0"/>
        <v>0</v>
      </c>
      <c r="N247" s="43"/>
      <c r="O247" s="45"/>
      <c r="P247" s="113">
        <v>1</v>
      </c>
      <c r="Q247" s="114">
        <v>1344.7</v>
      </c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6</v>
      </c>
      <c r="I250" s="203">
        <v>1</v>
      </c>
      <c r="J250" s="203">
        <v>1</v>
      </c>
      <c r="K250" s="65">
        <v>384.2</v>
      </c>
      <c r="L250" s="51"/>
      <c r="M250" s="50">
        <f t="shared" si="0"/>
        <v>0</v>
      </c>
      <c r="N250" s="50"/>
      <c r="O250" s="31"/>
      <c r="P250" s="108">
        <v>4</v>
      </c>
      <c r="Q250" s="65">
        <v>3363.11</v>
      </c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287</v>
      </c>
      <c r="I252" s="183">
        <f t="shared" si="2"/>
        <v>68</v>
      </c>
      <c r="J252" s="183">
        <f t="shared" si="2"/>
        <v>71</v>
      </c>
      <c r="K252" s="184">
        <f t="shared" si="2"/>
        <v>99552.309999999983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690</v>
      </c>
      <c r="Q252" s="188">
        <f t="shared" si="2"/>
        <v>2035229.1199999999</v>
      </c>
      <c r="R252" s="185">
        <f t="shared" si="2"/>
        <v>98</v>
      </c>
      <c r="S252" s="188">
        <f t="shared" si="2"/>
        <v>456303.1100000001</v>
      </c>
      <c r="T252" s="188">
        <f t="shared" si="2"/>
        <v>296287.53000000003</v>
      </c>
      <c r="U252" s="189">
        <f t="shared" si="2"/>
        <v>160015.57999999999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189</v>
      </c>
      <c r="H258" s="193">
        <f t="shared" si="3"/>
        <v>58</v>
      </c>
      <c r="I258" s="193">
        <f t="shared" si="3"/>
        <v>61</v>
      </c>
      <c r="J258" s="194">
        <f t="shared" ref="J258:J260" si="4">SUMIF($G$9:$G$251,F258,$K$9:$K$251)</f>
        <v>87024.709999999992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614</v>
      </c>
      <c r="P258" s="194">
        <f t="shared" ref="P258:P260" si="8">SUMIF($G$9:$G$251,F258,$Q$9:$Q$251)</f>
        <v>1845351.3899999997</v>
      </c>
      <c r="Q258" s="195">
        <f t="shared" ref="Q258:Q260" si="9">SUMIF($G$9:$G$251,F258,$R$9:$R$251)</f>
        <v>98</v>
      </c>
      <c r="R258" s="194">
        <f t="shared" ref="R258:R260" si="10">SUMIF($G$9:$G$251,F258,$S$9:$S$251)</f>
        <v>414278.68000000005</v>
      </c>
      <c r="S258" s="194">
        <f t="shared" ref="S258:T258" si="11">SUMIF($G$9:$G$251,$F$258,T9:T251)</f>
        <v>296287.53000000003</v>
      </c>
      <c r="T258" s="194">
        <f t="shared" si="11"/>
        <v>117991.14999999998</v>
      </c>
      <c r="U258" s="194">
        <f t="shared" ref="U258:U260" si="12">S258+M258</f>
        <v>296287.53000000003</v>
      </c>
      <c r="V258" s="196">
        <f t="shared" ref="V258:V260" si="13">J258-M258+P258-S258</f>
        <v>1636088.5699999996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73</v>
      </c>
      <c r="H259" s="193">
        <f t="shared" si="14"/>
        <v>9</v>
      </c>
      <c r="I259" s="193">
        <f t="shared" si="14"/>
        <v>9</v>
      </c>
      <c r="J259" s="194">
        <f t="shared" si="4"/>
        <v>11182.900000000001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60</v>
      </c>
      <c r="P259" s="194">
        <f t="shared" si="8"/>
        <v>139723.26</v>
      </c>
      <c r="Q259" s="195">
        <f t="shared" si="9"/>
        <v>0</v>
      </c>
      <c r="R259" s="194">
        <f t="shared" si="10"/>
        <v>42024.43</v>
      </c>
      <c r="S259" s="194">
        <f t="shared" ref="S259:T259" si="16">SUMIF($G$9:$G$251,$F$259,T9:T251)</f>
        <v>0</v>
      </c>
      <c r="T259" s="194">
        <f t="shared" si="16"/>
        <v>42024.43</v>
      </c>
      <c r="U259" s="194">
        <f t="shared" si="12"/>
        <v>0</v>
      </c>
      <c r="V259" s="196">
        <f t="shared" si="13"/>
        <v>150906.16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25</v>
      </c>
      <c r="H260" s="193">
        <f t="shared" si="17"/>
        <v>1</v>
      </c>
      <c r="I260" s="193">
        <f t="shared" si="17"/>
        <v>1</v>
      </c>
      <c r="J260" s="194">
        <f t="shared" si="4"/>
        <v>1344.7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16</v>
      </c>
      <c r="P260" s="194">
        <f t="shared" si="8"/>
        <v>50154.47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51499.17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287</v>
      </c>
      <c r="H261" s="197">
        <f t="shared" si="20"/>
        <v>68</v>
      </c>
      <c r="I261" s="197">
        <f t="shared" si="20"/>
        <v>71</v>
      </c>
      <c r="J261" s="198">
        <f t="shared" si="20"/>
        <v>99552.31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690</v>
      </c>
      <c r="P261" s="198">
        <f t="shared" si="20"/>
        <v>2035229.1199999996</v>
      </c>
      <c r="Q261" s="200">
        <f t="shared" si="20"/>
        <v>98</v>
      </c>
      <c r="R261" s="198">
        <f t="shared" si="20"/>
        <v>456303.11000000004</v>
      </c>
      <c r="S261" s="198">
        <f t="shared" si="20"/>
        <v>296287.53000000003</v>
      </c>
      <c r="T261" s="198">
        <f t="shared" si="20"/>
        <v>160015.57999999999</v>
      </c>
      <c r="U261" s="198">
        <f t="shared" si="20"/>
        <v>296287.53000000003</v>
      </c>
      <c r="V261" s="198">
        <f t="shared" si="20"/>
        <v>1838493.8999999997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2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6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5</v>
      </c>
      <c r="Q9" s="30">
        <v>14852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35" t="s">
        <v>25</v>
      </c>
      <c r="H10" s="66">
        <v>1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223" t="s">
        <v>250</v>
      </c>
      <c r="G11" s="47" t="s">
        <v>24</v>
      </c>
      <c r="H11" s="48">
        <v>3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7</v>
      </c>
      <c r="Q11" s="30">
        <v>59615.02</v>
      </c>
      <c r="R11" s="27"/>
      <c r="S11" s="26">
        <f t="shared" si="1"/>
        <v>34359</v>
      </c>
      <c r="T11" s="26"/>
      <c r="U11" s="241">
        <v>34359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5</v>
      </c>
      <c r="I13" s="62">
        <v>3</v>
      </c>
      <c r="J13" s="62">
        <v>4</v>
      </c>
      <c r="K13" s="30">
        <v>8982.8700000000008</v>
      </c>
      <c r="L13" s="27"/>
      <c r="M13" s="26">
        <f t="shared" si="0"/>
        <v>0</v>
      </c>
      <c r="N13" s="26"/>
      <c r="O13" s="63"/>
      <c r="P13" s="64">
        <v>12</v>
      </c>
      <c r="Q13" s="65">
        <v>50049.94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0</v>
      </c>
      <c r="T14" s="39"/>
      <c r="U14" s="4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6"/>
      <c r="B15" s="377" t="s">
        <v>31</v>
      </c>
      <c r="C15" s="377" t="s">
        <v>22</v>
      </c>
      <c r="D15" s="377" t="s">
        <v>32</v>
      </c>
      <c r="E15" s="377" t="s">
        <v>27</v>
      </c>
      <c r="F15" s="72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21" t="s">
        <v>213</v>
      </c>
      <c r="G16" s="101" t="s">
        <v>28</v>
      </c>
      <c r="H16" s="112">
        <v>2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4</v>
      </c>
      <c r="Q16" s="114">
        <v>5186.7</v>
      </c>
      <c r="R16" s="44"/>
      <c r="S16" s="43">
        <f t="shared" si="1"/>
        <v>5106.7</v>
      </c>
      <c r="T16" s="43"/>
      <c r="U16" s="222">
        <f>5106.7</f>
        <v>5106.7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48">
        <v>2</v>
      </c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19999.830000000002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39</v>
      </c>
      <c r="D21" s="381" t="s">
        <v>277</v>
      </c>
      <c r="E21" s="381" t="s">
        <v>37</v>
      </c>
      <c r="F21" s="223" t="s">
        <v>278</v>
      </c>
      <c r="G21" s="47" t="s">
        <v>24</v>
      </c>
      <c r="H21" s="48">
        <v>2</v>
      </c>
      <c r="I21" s="203">
        <v>1</v>
      </c>
      <c r="J21" s="203">
        <v>1</v>
      </c>
      <c r="K21" s="65">
        <v>633.92999999999995</v>
      </c>
      <c r="L21" s="51"/>
      <c r="M21" s="50">
        <f t="shared" si="0"/>
        <v>0</v>
      </c>
      <c r="N21" s="50"/>
      <c r="O21" s="31"/>
      <c r="P21" s="108">
        <v>5</v>
      </c>
      <c r="Q21" s="65">
        <v>7296.52</v>
      </c>
      <c r="R21" s="51"/>
      <c r="S21" s="50">
        <f t="shared" si="1"/>
        <v>1045.98</v>
      </c>
      <c r="T21" s="50"/>
      <c r="U21" s="225">
        <v>1045.98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11"/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223" t="s">
        <v>255</v>
      </c>
      <c r="G23" s="23" t="s">
        <v>24</v>
      </c>
      <c r="H23" s="48">
        <v>2</v>
      </c>
      <c r="I23" s="203">
        <v>1</v>
      </c>
      <c r="J23" s="203">
        <v>1</v>
      </c>
      <c r="K23" s="65">
        <v>760.72</v>
      </c>
      <c r="L23" s="51"/>
      <c r="M23" s="50">
        <f t="shared" si="0"/>
        <v>0</v>
      </c>
      <c r="N23" s="50"/>
      <c r="O23" s="31"/>
      <c r="P23" s="53">
        <v>11</v>
      </c>
      <c r="Q23" s="30">
        <v>15782.91</v>
      </c>
      <c r="R23" s="27"/>
      <c r="S23" s="26">
        <f t="shared" si="1"/>
        <v>3564.82</v>
      </c>
      <c r="T23" s="26"/>
      <c r="U23" s="243">
        <v>3564.82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4</v>
      </c>
      <c r="I25" s="62">
        <v>3</v>
      </c>
      <c r="J25" s="62">
        <v>3</v>
      </c>
      <c r="K25" s="62">
        <v>2554.9299999999998</v>
      </c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1979.72</v>
      </c>
      <c r="T25" s="26"/>
      <c r="U25" s="225">
        <v>1979.72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59"/>
      <c r="Q26" s="39"/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6"/>
      <c r="B27" s="377" t="s">
        <v>44</v>
      </c>
      <c r="C27" s="377" t="s">
        <v>39</v>
      </c>
      <c r="D27" s="377" t="s">
        <v>258</v>
      </c>
      <c r="E27" s="377" t="s">
        <v>27</v>
      </c>
      <c r="F27" s="232" t="s">
        <v>259</v>
      </c>
      <c r="G27" s="95" t="s">
        <v>24</v>
      </c>
      <c r="H27" s="48">
        <v>6</v>
      </c>
      <c r="I27" s="203">
        <v>3</v>
      </c>
      <c r="J27" s="203">
        <v>4</v>
      </c>
      <c r="K27" s="65">
        <v>6668.56</v>
      </c>
      <c r="L27" s="51"/>
      <c r="M27" s="50">
        <f t="shared" si="0"/>
        <v>0</v>
      </c>
      <c r="N27" s="50"/>
      <c r="O27" s="31"/>
      <c r="P27" s="53">
        <v>10</v>
      </c>
      <c r="Q27" s="30">
        <v>15426.2</v>
      </c>
      <c r="R27" s="205">
        <v>4</v>
      </c>
      <c r="S27" s="26">
        <f t="shared" si="1"/>
        <v>6437.97</v>
      </c>
      <c r="T27" s="30">
        <v>6437.97</v>
      </c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221" t="s">
        <v>216</v>
      </c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115">
        <v>1</v>
      </c>
      <c r="Q28" s="68">
        <v>960.5</v>
      </c>
      <c r="R28" s="40"/>
      <c r="S28" s="39">
        <f t="shared" si="1"/>
        <v>0</v>
      </c>
      <c r="T28" s="39"/>
      <c r="U28" s="41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1" t="s">
        <v>217</v>
      </c>
      <c r="G30" s="55" t="s">
        <v>28</v>
      </c>
      <c r="H30" s="56">
        <v>3</v>
      </c>
      <c r="I30" s="57"/>
      <c r="J30" s="57"/>
      <c r="K30" s="43"/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14247.380000000001</v>
      </c>
      <c r="T30" s="43"/>
      <c r="U30" s="222">
        <f>6563.38+7684</f>
        <v>14247.380000000001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2</v>
      </c>
      <c r="I33" s="203">
        <v>2</v>
      </c>
      <c r="J33" s="203">
        <v>2</v>
      </c>
      <c r="K33" s="65">
        <v>2091.96</v>
      </c>
      <c r="L33" s="51"/>
      <c r="M33" s="50">
        <f t="shared" si="0"/>
        <v>0</v>
      </c>
      <c r="N33" s="50"/>
      <c r="O33" s="31"/>
      <c r="P33" s="108">
        <v>8</v>
      </c>
      <c r="Q33" s="65">
        <v>22873.08</v>
      </c>
      <c r="R33" s="51"/>
      <c r="S33" s="50">
        <f t="shared" si="1"/>
        <v>19258.7</v>
      </c>
      <c r="T33" s="50"/>
      <c r="U33" s="225">
        <v>19258.7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6</v>
      </c>
      <c r="I34" s="57"/>
      <c r="J34" s="57"/>
      <c r="K34" s="43"/>
      <c r="L34" s="44"/>
      <c r="M34" s="43">
        <f t="shared" si="0"/>
        <v>0</v>
      </c>
      <c r="N34" s="43"/>
      <c r="O34" s="45"/>
      <c r="P34" s="113">
        <v>2</v>
      </c>
      <c r="Q34" s="114">
        <v>2593.35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98"/>
      <c r="I37" s="49"/>
      <c r="J37" s="49"/>
      <c r="K37" s="50"/>
      <c r="L37" s="51"/>
      <c r="M37" s="50">
        <f t="shared" si="0"/>
        <v>0</v>
      </c>
      <c r="N37" s="50"/>
      <c r="O37" s="31"/>
      <c r="P37" s="64">
        <v>3</v>
      </c>
      <c r="Q37" s="65">
        <v>8719.3799999999992</v>
      </c>
      <c r="R37" s="224">
        <v>1</v>
      </c>
      <c r="S37" s="50">
        <f t="shared" si="1"/>
        <v>3647.94</v>
      </c>
      <c r="T37" s="65">
        <v>1893.47</v>
      </c>
      <c r="U37" s="225">
        <v>1754.47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35" t="s">
        <v>28</v>
      </c>
      <c r="H38" s="66">
        <v>3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7">
        <v>1</v>
      </c>
      <c r="Q38" s="68">
        <v>1152.5999999999999</v>
      </c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281</v>
      </c>
      <c r="E41" s="381" t="s">
        <v>58</v>
      </c>
      <c r="F41" s="223" t="s">
        <v>283</v>
      </c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2055.75</v>
      </c>
      <c r="T41" s="26"/>
      <c r="U41" s="243">
        <v>2055.75</v>
      </c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5</v>
      </c>
      <c r="I43" s="203">
        <v>2</v>
      </c>
      <c r="J43" s="203">
        <v>2</v>
      </c>
      <c r="K43" s="65">
        <v>1537</v>
      </c>
      <c r="L43" s="51"/>
      <c r="M43" s="50">
        <f t="shared" si="0"/>
        <v>0</v>
      </c>
      <c r="N43" s="50"/>
      <c r="O43" s="52"/>
      <c r="P43" s="53">
        <v>17</v>
      </c>
      <c r="Q43" s="30">
        <v>66697.78</v>
      </c>
      <c r="R43" s="27"/>
      <c r="S43" s="26">
        <f t="shared" si="1"/>
        <v>44991.43</v>
      </c>
      <c r="T43" s="26"/>
      <c r="U43" s="241">
        <v>44991.43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2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1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3</v>
      </c>
      <c r="Q48" s="68">
        <v>4105.8999999999996</v>
      </c>
      <c r="R48" s="40"/>
      <c r="S48" s="39">
        <f t="shared" si="1"/>
        <v>2209.1999999999998</v>
      </c>
      <c r="T48" s="39"/>
      <c r="U48" s="41">
        <f>2209.2</f>
        <v>2209.1999999999998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226"/>
      <c r="G50" s="227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2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5</v>
      </c>
      <c r="I53" s="62">
        <v>4</v>
      </c>
      <c r="J53" s="62">
        <v>4</v>
      </c>
      <c r="K53" s="30">
        <v>7602.18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05">
        <v>1</v>
      </c>
      <c r="S53" s="26">
        <f t="shared" si="1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1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284</v>
      </c>
      <c r="E55" s="381" t="s">
        <v>55</v>
      </c>
      <c r="F55" s="223" t="s">
        <v>285</v>
      </c>
      <c r="G55" s="47" t="s">
        <v>24</v>
      </c>
      <c r="H55" s="48">
        <v>5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1"/>
        <v>26448.86</v>
      </c>
      <c r="T55" s="26"/>
      <c r="U55" s="243">
        <v>26448.86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2</v>
      </c>
      <c r="I57" s="203">
        <v>1</v>
      </c>
      <c r="J57" s="203">
        <v>1</v>
      </c>
      <c r="K57" s="65">
        <v>768.4</v>
      </c>
      <c r="L57" s="51"/>
      <c r="M57" s="50">
        <f t="shared" si="0"/>
        <v>0</v>
      </c>
      <c r="N57" s="50"/>
      <c r="O57" s="31"/>
      <c r="P57" s="108">
        <v>3</v>
      </c>
      <c r="Q57" s="65">
        <v>3669.81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233" t="s">
        <v>223</v>
      </c>
      <c r="G58" s="227" t="s">
        <v>28</v>
      </c>
      <c r="H58" s="112">
        <v>2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 t="s">
        <v>22</v>
      </c>
      <c r="D59" s="374"/>
      <c r="E59" s="374" t="s">
        <v>27</v>
      </c>
      <c r="F59" s="204" t="s">
        <v>209</v>
      </c>
      <c r="G59" s="176" t="s">
        <v>24</v>
      </c>
      <c r="H59" s="61">
        <v>2</v>
      </c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13580.02</v>
      </c>
      <c r="T59" s="30">
        <v>9062.41</v>
      </c>
      <c r="U59" s="241">
        <v>4517.6099999999997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74</v>
      </c>
      <c r="C61" s="377" t="s">
        <v>39</v>
      </c>
      <c r="D61" s="377" t="s">
        <v>264</v>
      </c>
      <c r="E61" s="377" t="s">
        <v>27</v>
      </c>
      <c r="F61" s="223" t="s">
        <v>265</v>
      </c>
      <c r="G61" s="95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12</v>
      </c>
      <c r="Q61" s="65">
        <v>44651.57</v>
      </c>
      <c r="R61" s="224">
        <v>5</v>
      </c>
      <c r="S61" s="50">
        <f t="shared" si="1"/>
        <v>19918.689999999999</v>
      </c>
      <c r="T61" s="65">
        <v>19918.689999999999</v>
      </c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221" t="s">
        <v>286</v>
      </c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2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4</v>
      </c>
      <c r="Q63" s="30">
        <v>2984.28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220" t="s">
        <v>287</v>
      </c>
      <c r="G64" s="35" t="s">
        <v>28</v>
      </c>
      <c r="H64" s="117">
        <v>3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203">
        <v>1</v>
      </c>
      <c r="J65" s="203">
        <v>1</v>
      </c>
      <c r="K65" s="65">
        <v>633.92999999999995</v>
      </c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61">
        <v>1</v>
      </c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17">
        <v>1</v>
      </c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48">
        <v>4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4</v>
      </c>
      <c r="Q69" s="65">
        <v>16789.810000000001</v>
      </c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226"/>
      <c r="G70" s="227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 t="s">
        <v>39</v>
      </c>
      <c r="D71" s="374" t="s">
        <v>224</v>
      </c>
      <c r="E71" s="374" t="s">
        <v>65</v>
      </c>
      <c r="F71" s="204" t="s">
        <v>225</v>
      </c>
      <c r="G71" s="176" t="s">
        <v>24</v>
      </c>
      <c r="H71" s="248">
        <v>10</v>
      </c>
      <c r="I71" s="62">
        <v>5</v>
      </c>
      <c r="J71" s="62">
        <v>6</v>
      </c>
      <c r="K71" s="30">
        <v>19717.55</v>
      </c>
      <c r="L71" s="27"/>
      <c r="M71" s="26">
        <f t="shared" si="0"/>
        <v>0</v>
      </c>
      <c r="N71" s="26"/>
      <c r="O71" s="31"/>
      <c r="P71" s="29">
        <v>20</v>
      </c>
      <c r="Q71" s="30">
        <v>57526.63</v>
      </c>
      <c r="R71" s="205">
        <v>5</v>
      </c>
      <c r="S71" s="26">
        <f t="shared" si="1"/>
        <v>10367.34</v>
      </c>
      <c r="T71" s="30">
        <v>10367.34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229" t="s">
        <v>28</v>
      </c>
      <c r="H72" s="249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6"/>
      <c r="B73" s="377" t="s">
        <v>82</v>
      </c>
      <c r="C73" s="377" t="s">
        <v>22</v>
      </c>
      <c r="D73" s="400"/>
      <c r="E73" s="377" t="s">
        <v>83</v>
      </c>
      <c r="F73" s="76"/>
      <c r="G73" s="95" t="s">
        <v>24</v>
      </c>
      <c r="H73" s="151">
        <v>5</v>
      </c>
      <c r="I73" s="203">
        <v>1</v>
      </c>
      <c r="J73" s="203">
        <v>1</v>
      </c>
      <c r="K73" s="65">
        <v>950.9</v>
      </c>
      <c r="L73" s="51"/>
      <c r="M73" s="50">
        <f t="shared" si="0"/>
        <v>0</v>
      </c>
      <c r="N73" s="50"/>
      <c r="O73" s="31"/>
      <c r="P73" s="108">
        <v>7</v>
      </c>
      <c r="Q73" s="65">
        <v>9577.4699999999993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1">
        <v>1</v>
      </c>
      <c r="I74" s="130">
        <v>1</v>
      </c>
      <c r="J74" s="130">
        <v>1</v>
      </c>
      <c r="K74" s="114">
        <v>1344.7</v>
      </c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39</v>
      </c>
      <c r="D79" s="374" t="s">
        <v>266</v>
      </c>
      <c r="E79" s="374" t="s">
        <v>23</v>
      </c>
      <c r="F79" s="204" t="s">
        <v>267</v>
      </c>
      <c r="G79" s="176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53">
        <v>2</v>
      </c>
      <c r="Q79" s="30">
        <v>5673.46</v>
      </c>
      <c r="R79" s="205">
        <v>2</v>
      </c>
      <c r="S79" s="26">
        <f t="shared" si="1"/>
        <v>5673.46</v>
      </c>
      <c r="T79" s="30">
        <v>5673.46</v>
      </c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05"/>
      <c r="G80" s="229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32" t="s">
        <v>268</v>
      </c>
      <c r="G81" s="23" t="s">
        <v>24</v>
      </c>
      <c r="H81" s="61">
        <v>4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5</v>
      </c>
      <c r="Q81" s="30">
        <v>14914.91</v>
      </c>
      <c r="R81" s="27"/>
      <c r="S81" s="26">
        <f t="shared" si="1"/>
        <v>5094.8</v>
      </c>
      <c r="T81" s="26"/>
      <c r="U81" s="225">
        <v>5094.8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20" t="s">
        <v>290</v>
      </c>
      <c r="G82" s="35" t="s">
        <v>25</v>
      </c>
      <c r="H82" s="117">
        <v>4</v>
      </c>
      <c r="I82" s="38"/>
      <c r="J82" s="38"/>
      <c r="K82" s="39"/>
      <c r="L82" s="40"/>
      <c r="M82" s="39">
        <f t="shared" si="0"/>
        <v>0</v>
      </c>
      <c r="N82" s="39"/>
      <c r="O82" s="41"/>
      <c r="P82" s="115">
        <v>6</v>
      </c>
      <c r="Q82" s="68">
        <v>11910.2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90</v>
      </c>
      <c r="C83" s="374" t="s">
        <v>39</v>
      </c>
      <c r="D83" s="374" t="s">
        <v>91</v>
      </c>
      <c r="E83" s="374" t="s">
        <v>27</v>
      </c>
      <c r="F83" s="204" t="s">
        <v>291</v>
      </c>
      <c r="G83" s="176" t="s">
        <v>24</v>
      </c>
      <c r="H83" s="48">
        <v>2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3</v>
      </c>
      <c r="Q83" s="65">
        <v>32117.38</v>
      </c>
      <c r="R83" s="51"/>
      <c r="S83" s="50">
        <f t="shared" si="1"/>
        <v>4050.2</v>
      </c>
      <c r="T83" s="50"/>
      <c r="U83" s="225">
        <v>4050.2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20" t="s">
        <v>229</v>
      </c>
      <c r="G84" s="229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32" t="s">
        <v>269</v>
      </c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5</v>
      </c>
      <c r="Q85" s="30">
        <v>29354.959999999999</v>
      </c>
      <c r="R85" s="205">
        <v>2</v>
      </c>
      <c r="S85" s="26">
        <f t="shared" si="1"/>
        <v>3751.96</v>
      </c>
      <c r="T85" s="30">
        <v>3751.96</v>
      </c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233" t="s">
        <v>230</v>
      </c>
      <c r="G86" s="227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176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05"/>
      <c r="G88" s="229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32" t="s">
        <v>292</v>
      </c>
      <c r="G89" s="23" t="s">
        <v>24</v>
      </c>
      <c r="H89" s="48">
        <v>4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14</v>
      </c>
      <c r="Q89" s="30">
        <v>30413.21</v>
      </c>
      <c r="R89" s="27"/>
      <c r="S89" s="26">
        <f t="shared" si="1"/>
        <v>9997.9500000000007</v>
      </c>
      <c r="T89" s="26"/>
      <c r="U89" s="225">
        <v>9997.9500000000007</v>
      </c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233" t="s">
        <v>293</v>
      </c>
      <c r="G90" s="250" t="s">
        <v>25</v>
      </c>
      <c r="H90" s="112">
        <v>3</v>
      </c>
      <c r="I90" s="130">
        <v>2</v>
      </c>
      <c r="J90" s="130">
        <v>2</v>
      </c>
      <c r="K90" s="114">
        <v>2305.1999999999998</v>
      </c>
      <c r="L90" s="44"/>
      <c r="M90" s="43">
        <f t="shared" si="0"/>
        <v>0</v>
      </c>
      <c r="N90" s="43"/>
      <c r="O90" s="41"/>
      <c r="P90" s="113">
        <v>3</v>
      </c>
      <c r="Q90" s="114">
        <v>7159.3</v>
      </c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60"/>
      <c r="G91" s="176" t="s">
        <v>24</v>
      </c>
      <c r="H91" s="248">
        <v>2</v>
      </c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220" t="s">
        <v>294</v>
      </c>
      <c r="G92" s="229" t="s">
        <v>28</v>
      </c>
      <c r="H92" s="251">
        <v>4</v>
      </c>
      <c r="I92" s="208">
        <v>1</v>
      </c>
      <c r="J92" s="208">
        <v>1</v>
      </c>
      <c r="K92" s="209">
        <v>1344.7</v>
      </c>
      <c r="L92" s="210"/>
      <c r="M92" s="211">
        <f t="shared" si="0"/>
        <v>0</v>
      </c>
      <c r="N92" s="211"/>
      <c r="O92" s="212"/>
      <c r="P92" s="103"/>
      <c r="Q92" s="43"/>
      <c r="R92" s="44"/>
      <c r="S92" s="43">
        <f t="shared" si="1"/>
        <v>2209.15</v>
      </c>
      <c r="T92" s="43"/>
      <c r="U92" s="234">
        <v>2209.15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6"/>
      <c r="B93" s="377" t="s">
        <v>98</v>
      </c>
      <c r="C93" s="377" t="s">
        <v>39</v>
      </c>
      <c r="D93" s="377" t="s">
        <v>270</v>
      </c>
      <c r="E93" s="377" t="s">
        <v>99</v>
      </c>
      <c r="F93" s="232" t="s">
        <v>271</v>
      </c>
      <c r="G93" s="73" t="s">
        <v>24</v>
      </c>
      <c r="H93" s="24">
        <v>5</v>
      </c>
      <c r="I93" s="62">
        <v>1</v>
      </c>
      <c r="J93" s="62">
        <v>1</v>
      </c>
      <c r="K93" s="30">
        <v>633.92999999999995</v>
      </c>
      <c r="L93" s="27"/>
      <c r="M93" s="26">
        <f t="shared" si="0"/>
        <v>0</v>
      </c>
      <c r="N93" s="26"/>
      <c r="O93" s="100"/>
      <c r="P93" s="214">
        <v>9</v>
      </c>
      <c r="Q93" s="30">
        <v>44129.72</v>
      </c>
      <c r="R93" s="205">
        <v>2</v>
      </c>
      <c r="S93" s="26">
        <f t="shared" si="1"/>
        <v>1456.12</v>
      </c>
      <c r="T93" s="30">
        <v>1456.12</v>
      </c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295</v>
      </c>
      <c r="G94" s="215" t="s">
        <v>28</v>
      </c>
      <c r="H94" s="133">
        <v>3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1056.55</v>
      </c>
      <c r="T94" s="39"/>
      <c r="U94" s="41">
        <f>1056.55</f>
        <v>1056.55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74" t="s">
        <v>39</v>
      </c>
      <c r="D95" s="381" t="s">
        <v>296</v>
      </c>
      <c r="E95" s="381" t="s">
        <v>27</v>
      </c>
      <c r="F95" s="223" t="s">
        <v>297</v>
      </c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7049.72</v>
      </c>
      <c r="T95" s="50"/>
      <c r="U95" s="225">
        <v>7049.72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298</v>
      </c>
      <c r="G96" s="35" t="s">
        <v>28</v>
      </c>
      <c r="H96" s="133">
        <v>2</v>
      </c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223" t="s">
        <v>272</v>
      </c>
      <c r="G97" s="23" t="s">
        <v>24</v>
      </c>
      <c r="H97" s="48">
        <v>2</v>
      </c>
      <c r="I97" s="203">
        <v>1</v>
      </c>
      <c r="J97" s="203">
        <v>1</v>
      </c>
      <c r="K97" s="65">
        <v>966.08</v>
      </c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224">
        <v>2</v>
      </c>
      <c r="S97" s="50">
        <f t="shared" si="1"/>
        <v>2175.5100000000002</v>
      </c>
      <c r="T97" s="65">
        <v>2175.5100000000002</v>
      </c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21" t="s">
        <v>299</v>
      </c>
      <c r="G98" s="55" t="s">
        <v>28</v>
      </c>
      <c r="H98" s="153">
        <v>6</v>
      </c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2</v>
      </c>
      <c r="Q98" s="114">
        <v>8007.8</v>
      </c>
      <c r="R98" s="44"/>
      <c r="S98" s="43">
        <f t="shared" si="1"/>
        <v>4358.2</v>
      </c>
      <c r="T98" s="43"/>
      <c r="U98" s="41">
        <f>4358.2</f>
        <v>4358.2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48">
        <v>2</v>
      </c>
      <c r="I99" s="25"/>
      <c r="J99" s="25"/>
      <c r="K99" s="26"/>
      <c r="L99" s="27"/>
      <c r="M99" s="26">
        <f t="shared" si="0"/>
        <v>0</v>
      </c>
      <c r="N99" s="26"/>
      <c r="O99" s="31"/>
      <c r="P99" s="53">
        <v>5</v>
      </c>
      <c r="Q99" s="30">
        <v>7208.15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20" t="s">
        <v>300</v>
      </c>
      <c r="G100" s="35" t="s">
        <v>28</v>
      </c>
      <c r="H100" s="133">
        <v>1</v>
      </c>
      <c r="I100" s="38"/>
      <c r="J100" s="38"/>
      <c r="K100" s="39"/>
      <c r="L100" s="40"/>
      <c r="M100" s="39">
        <f t="shared" si="0"/>
        <v>0</v>
      </c>
      <c r="N100" s="39"/>
      <c r="O100" s="41"/>
      <c r="P100" s="59"/>
      <c r="Q100" s="39"/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301</v>
      </c>
      <c r="E101" s="381" t="s">
        <v>27</v>
      </c>
      <c r="F101" s="223" t="s">
        <v>302</v>
      </c>
      <c r="G101" s="23" t="s">
        <v>24</v>
      </c>
      <c r="H101" s="48">
        <v>4</v>
      </c>
      <c r="I101" s="203">
        <v>1</v>
      </c>
      <c r="J101" s="203">
        <v>1</v>
      </c>
      <c r="K101" s="65">
        <v>576.29999999999995</v>
      </c>
      <c r="L101" s="51"/>
      <c r="M101" s="50">
        <f t="shared" si="0"/>
        <v>0</v>
      </c>
      <c r="N101" s="50"/>
      <c r="O101" s="31"/>
      <c r="P101" s="108">
        <v>9</v>
      </c>
      <c r="Q101" s="65">
        <v>23599.96</v>
      </c>
      <c r="R101" s="51"/>
      <c r="S101" s="50">
        <f t="shared" si="1"/>
        <v>6809.92</v>
      </c>
      <c r="T101" s="50"/>
      <c r="U101" s="225">
        <v>6809.92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48">
        <v>1</v>
      </c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16534.97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33" t="s">
        <v>233</v>
      </c>
      <c r="G104" s="227" t="s">
        <v>28</v>
      </c>
      <c r="H104" s="153">
        <v>1</v>
      </c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204" t="s">
        <v>273</v>
      </c>
      <c r="G105" s="176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4</v>
      </c>
      <c r="Q105" s="30">
        <v>14334.39</v>
      </c>
      <c r="R105" s="27"/>
      <c r="S105" s="26">
        <f t="shared" si="1"/>
        <v>13277.84</v>
      </c>
      <c r="T105" s="26"/>
      <c r="U105" s="225">
        <v>13277.84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235" t="s">
        <v>234</v>
      </c>
      <c r="G106" s="252" t="s">
        <v>28</v>
      </c>
      <c r="H106" s="48">
        <v>2</v>
      </c>
      <c r="I106" s="246">
        <v>1</v>
      </c>
      <c r="J106" s="246">
        <v>1</v>
      </c>
      <c r="K106" s="158">
        <v>576.29999999999995</v>
      </c>
      <c r="L106" s="143"/>
      <c r="M106" s="142">
        <f t="shared" si="0"/>
        <v>0</v>
      </c>
      <c r="N106" s="142"/>
      <c r="O106" s="45"/>
      <c r="P106" s="157">
        <v>3</v>
      </c>
      <c r="Q106" s="158">
        <v>6513.21</v>
      </c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253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6"/>
      <c r="B108" s="377" t="s">
        <v>110</v>
      </c>
      <c r="C108" s="377" t="s">
        <v>22</v>
      </c>
      <c r="D108" s="377"/>
      <c r="E108" s="377" t="s">
        <v>67</v>
      </c>
      <c r="F108" s="232" t="s">
        <v>274</v>
      </c>
      <c r="G108" s="23" t="s">
        <v>24</v>
      </c>
      <c r="H108" s="107"/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3034.34</v>
      </c>
      <c r="T108" s="50"/>
      <c r="U108" s="225">
        <v>3034.34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107"/>
      <c r="I110" s="25"/>
      <c r="J110" s="25"/>
      <c r="K110" s="26"/>
      <c r="L110" s="27"/>
      <c r="M110" s="26">
        <f t="shared" si="0"/>
        <v>0</v>
      </c>
      <c r="N110" s="26"/>
      <c r="O110" s="31"/>
      <c r="P110" s="53">
        <v>2</v>
      </c>
      <c r="Q110" s="30">
        <v>1306.28</v>
      </c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233" t="s">
        <v>235</v>
      </c>
      <c r="G111" s="227" t="s">
        <v>28</v>
      </c>
      <c r="H111" s="133">
        <v>1</v>
      </c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39</v>
      </c>
      <c r="D112" s="374" t="s">
        <v>114</v>
      </c>
      <c r="E112" s="374" t="s">
        <v>27</v>
      </c>
      <c r="F112" s="204" t="s">
        <v>305</v>
      </c>
      <c r="G112" s="176" t="s">
        <v>24</v>
      </c>
      <c r="H112" s="48">
        <v>3</v>
      </c>
      <c r="I112" s="62">
        <v>2</v>
      </c>
      <c r="J112" s="62">
        <v>3</v>
      </c>
      <c r="K112" s="30">
        <v>3350.71</v>
      </c>
      <c r="L112" s="27"/>
      <c r="M112" s="26">
        <f t="shared" si="0"/>
        <v>0</v>
      </c>
      <c r="N112" s="26"/>
      <c r="O112" s="31"/>
      <c r="P112" s="53">
        <v>7</v>
      </c>
      <c r="Q112" s="30">
        <v>18129.560000000001</v>
      </c>
      <c r="R112" s="27"/>
      <c r="S112" s="26">
        <f t="shared" si="1"/>
        <v>7729.47</v>
      </c>
      <c r="T112" s="26"/>
      <c r="U112" s="225">
        <v>7729.47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306</v>
      </c>
      <c r="G113" s="229" t="s">
        <v>28</v>
      </c>
      <c r="H113" s="56">
        <v>2</v>
      </c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223" t="s">
        <v>307</v>
      </c>
      <c r="G116" s="47" t="s">
        <v>24</v>
      </c>
      <c r="H116" s="61">
        <v>3</v>
      </c>
      <c r="I116" s="62">
        <v>3</v>
      </c>
      <c r="J116" s="62">
        <v>3</v>
      </c>
      <c r="K116" s="30">
        <v>3189.98</v>
      </c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2272.3200000000002</v>
      </c>
      <c r="T116" s="50"/>
      <c r="U116" s="225">
        <v>2272.3200000000002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223" t="s">
        <v>308</v>
      </c>
      <c r="G118" s="23" t="s">
        <v>24</v>
      </c>
      <c r="H118" s="48">
        <v>6</v>
      </c>
      <c r="I118" s="203">
        <v>3</v>
      </c>
      <c r="J118" s="203">
        <v>3</v>
      </c>
      <c r="K118" s="65">
        <v>5224.55</v>
      </c>
      <c r="L118" s="51"/>
      <c r="M118" s="50">
        <f t="shared" si="0"/>
        <v>0</v>
      </c>
      <c r="N118" s="50"/>
      <c r="O118" s="31"/>
      <c r="P118" s="108">
        <v>18</v>
      </c>
      <c r="Q118" s="65">
        <v>59578.83</v>
      </c>
      <c r="R118" s="51"/>
      <c r="S118" s="50">
        <f t="shared" si="1"/>
        <v>10009.61</v>
      </c>
      <c r="T118" s="50"/>
      <c r="U118" s="225">
        <v>10009.61</v>
      </c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226"/>
      <c r="G119" s="227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39</v>
      </c>
      <c r="D120" s="374" t="s">
        <v>309</v>
      </c>
      <c r="E120" s="374" t="s">
        <v>27</v>
      </c>
      <c r="F120" s="204" t="s">
        <v>310</v>
      </c>
      <c r="G120" s="176" t="s">
        <v>24</v>
      </c>
      <c r="H120" s="151">
        <v>2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6</v>
      </c>
      <c r="Q120" s="30">
        <v>21153.67</v>
      </c>
      <c r="R120" s="27"/>
      <c r="S120" s="26">
        <f t="shared" si="1"/>
        <v>21153.67</v>
      </c>
      <c r="T120" s="26"/>
      <c r="U120" s="225">
        <v>21153.67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229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311</v>
      </c>
      <c r="E122" s="374" t="s">
        <v>121</v>
      </c>
      <c r="F122" s="232" t="s">
        <v>312</v>
      </c>
      <c r="G122" s="23" t="s">
        <v>24</v>
      </c>
      <c r="H122" s="98"/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19</v>
      </c>
      <c r="Q122" s="30">
        <v>28164.47</v>
      </c>
      <c r="R122" s="27"/>
      <c r="S122" s="26">
        <f t="shared" si="1"/>
        <v>4998.1400000000003</v>
      </c>
      <c r="T122" s="26"/>
      <c r="U122" s="225">
        <v>4998.1400000000003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233" t="s">
        <v>313</v>
      </c>
      <c r="G123" s="227" t="s">
        <v>25</v>
      </c>
      <c r="H123" s="153">
        <v>2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39</v>
      </c>
      <c r="D124" s="374" t="s">
        <v>123</v>
      </c>
      <c r="E124" s="374" t="s">
        <v>55</v>
      </c>
      <c r="F124" s="204" t="s">
        <v>236</v>
      </c>
      <c r="G124" s="176" t="s">
        <v>24</v>
      </c>
      <c r="H124" s="48">
        <v>3</v>
      </c>
      <c r="I124" s="62">
        <v>1</v>
      </c>
      <c r="J124" s="62">
        <v>2</v>
      </c>
      <c r="K124" s="30">
        <v>3016.65</v>
      </c>
      <c r="L124" s="27"/>
      <c r="M124" s="26">
        <f t="shared" si="0"/>
        <v>0</v>
      </c>
      <c r="N124" s="26"/>
      <c r="O124" s="31"/>
      <c r="P124" s="53">
        <v>11</v>
      </c>
      <c r="Q124" s="30">
        <v>41694.230000000003</v>
      </c>
      <c r="R124" s="205">
        <v>6</v>
      </c>
      <c r="S124" s="26">
        <f t="shared" si="1"/>
        <v>29991.43</v>
      </c>
      <c r="T124" s="30">
        <v>15352.72</v>
      </c>
      <c r="U124" s="225">
        <v>14638.71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229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6"/>
      <c r="B126" s="377" t="s">
        <v>124</v>
      </c>
      <c r="C126" s="377" t="s">
        <v>39</v>
      </c>
      <c r="D126" s="377" t="s">
        <v>314</v>
      </c>
      <c r="E126" s="377" t="s">
        <v>27</v>
      </c>
      <c r="F126" s="232" t="s">
        <v>237</v>
      </c>
      <c r="G126" s="23" t="s">
        <v>24</v>
      </c>
      <c r="H126" s="48">
        <v>8</v>
      </c>
      <c r="I126" s="49"/>
      <c r="J126" s="49"/>
      <c r="K126" s="50"/>
      <c r="L126" s="51"/>
      <c r="M126" s="50">
        <f t="shared" si="0"/>
        <v>0</v>
      </c>
      <c r="N126" s="50"/>
      <c r="O126" s="31"/>
      <c r="P126" s="108">
        <v>32</v>
      </c>
      <c r="Q126" s="65">
        <v>191245.28</v>
      </c>
      <c r="R126" s="224">
        <v>7</v>
      </c>
      <c r="S126" s="50">
        <f t="shared" si="1"/>
        <v>74062.510000000009</v>
      </c>
      <c r="T126" s="65">
        <v>50185.66</v>
      </c>
      <c r="U126" s="225">
        <v>23876.85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239" t="s">
        <v>43</v>
      </c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03"/>
      <c r="Q128" s="43"/>
      <c r="R128" s="44"/>
      <c r="S128" s="43">
        <f t="shared" si="1"/>
        <v>0</v>
      </c>
      <c r="T128" s="43"/>
      <c r="U128" s="41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54" t="s">
        <v>316</v>
      </c>
      <c r="G130" s="35" t="s">
        <v>28</v>
      </c>
      <c r="H130" s="153">
        <v>2</v>
      </c>
      <c r="I130" s="37">
        <v>2</v>
      </c>
      <c r="J130" s="37">
        <v>2</v>
      </c>
      <c r="K130" s="68">
        <v>2305.1999999999998</v>
      </c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48">
        <v>4</v>
      </c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4</v>
      </c>
      <c r="Q131" s="65">
        <v>16831.23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1" t="s">
        <v>317</v>
      </c>
      <c r="G132" s="55" t="s">
        <v>28</v>
      </c>
      <c r="H132" s="153">
        <v>7</v>
      </c>
      <c r="I132" s="37">
        <v>1</v>
      </c>
      <c r="J132" s="37">
        <v>1</v>
      </c>
      <c r="K132" s="68">
        <v>1578.8</v>
      </c>
      <c r="L132" s="40"/>
      <c r="M132" s="39">
        <f t="shared" si="0"/>
        <v>0</v>
      </c>
      <c r="N132" s="39"/>
      <c r="O132" s="41"/>
      <c r="P132" s="59"/>
      <c r="Q132" s="39"/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247"/>
      <c r="G134" s="227" t="s">
        <v>25</v>
      </c>
      <c r="H134" s="153">
        <v>1</v>
      </c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176" t="s">
        <v>24</v>
      </c>
      <c r="H135" s="48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2</v>
      </c>
      <c r="Q135" s="30">
        <v>3913.07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229" t="s">
        <v>25</v>
      </c>
      <c r="H136" s="112">
        <v>4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 t="s">
        <v>39</v>
      </c>
      <c r="D137" s="374" t="s">
        <v>238</v>
      </c>
      <c r="E137" s="377" t="s">
        <v>136</v>
      </c>
      <c r="F137" s="232" t="s">
        <v>239</v>
      </c>
      <c r="G137" s="23" t="s">
        <v>24</v>
      </c>
      <c r="H137" s="61">
        <v>1</v>
      </c>
      <c r="I137" s="62">
        <v>1</v>
      </c>
      <c r="J137" s="62">
        <v>1</v>
      </c>
      <c r="K137" s="30">
        <v>1210.23</v>
      </c>
      <c r="L137" s="27"/>
      <c r="M137" s="26">
        <f t="shared" si="0"/>
        <v>0</v>
      </c>
      <c r="N137" s="26"/>
      <c r="O137" s="31"/>
      <c r="P137" s="53">
        <v>9</v>
      </c>
      <c r="Q137" s="30">
        <v>26912.93</v>
      </c>
      <c r="R137" s="205">
        <v>1</v>
      </c>
      <c r="S137" s="26">
        <f t="shared" si="1"/>
        <v>8445.0499999999993</v>
      </c>
      <c r="T137" s="30">
        <v>2697.08</v>
      </c>
      <c r="U137" s="225">
        <v>5747.97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237" t="s">
        <v>240</v>
      </c>
      <c r="G138" s="154" t="s">
        <v>28</v>
      </c>
      <c r="H138" s="112">
        <v>4</v>
      </c>
      <c r="I138" s="155"/>
      <c r="J138" s="155"/>
      <c r="K138" s="129"/>
      <c r="L138" s="128"/>
      <c r="M138" s="129">
        <f t="shared" si="0"/>
        <v>0</v>
      </c>
      <c r="N138" s="129"/>
      <c r="O138" s="45"/>
      <c r="P138" s="238">
        <v>5</v>
      </c>
      <c r="Q138" s="239">
        <v>7357.43</v>
      </c>
      <c r="R138" s="128"/>
      <c r="S138" s="129">
        <f t="shared" si="1"/>
        <v>288.14999999999998</v>
      </c>
      <c r="T138" s="129"/>
      <c r="U138" s="45">
        <f>288.15</f>
        <v>288.14999999999998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81" t="s">
        <v>23</v>
      </c>
      <c r="F140" s="22"/>
      <c r="G140" s="23" t="s">
        <v>24</v>
      </c>
      <c r="H140" s="61">
        <v>5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2"/>
      <c r="B142" s="374" t="s">
        <v>134</v>
      </c>
      <c r="C142" s="374" t="s">
        <v>39</v>
      </c>
      <c r="D142" s="374" t="s">
        <v>280</v>
      </c>
      <c r="E142" s="374" t="s">
        <v>136</v>
      </c>
      <c r="F142" s="204" t="s">
        <v>282</v>
      </c>
      <c r="G142" s="176" t="s">
        <v>24</v>
      </c>
      <c r="H142" s="48">
        <v>3</v>
      </c>
      <c r="I142" s="203">
        <v>1</v>
      </c>
      <c r="J142" s="203">
        <v>1</v>
      </c>
      <c r="K142" s="65">
        <v>2904.55</v>
      </c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224">
        <v>2</v>
      </c>
      <c r="S142" s="50">
        <f t="shared" si="1"/>
        <v>3694.33</v>
      </c>
      <c r="T142" s="65">
        <v>3694.33</v>
      </c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235" t="s">
        <v>321</v>
      </c>
      <c r="G143" s="252" t="s">
        <v>28</v>
      </c>
      <c r="H143" s="151">
        <v>3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6224.04</v>
      </c>
      <c r="T143" s="142"/>
      <c r="U143" s="45">
        <f>6224.04</f>
        <v>6224.04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34"/>
      <c r="G144" s="229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7" t="s">
        <v>39</v>
      </c>
      <c r="D145" s="374" t="s">
        <v>322</v>
      </c>
      <c r="E145" s="377" t="s">
        <v>27</v>
      </c>
      <c r="F145" s="232" t="s">
        <v>323</v>
      </c>
      <c r="G145" s="23" t="s">
        <v>24</v>
      </c>
      <c r="H145" s="24">
        <v>2</v>
      </c>
      <c r="I145" s="62">
        <v>1</v>
      </c>
      <c r="J145" s="62">
        <v>1</v>
      </c>
      <c r="K145" s="30">
        <v>947.05</v>
      </c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576.29999999999995</v>
      </c>
      <c r="T145" s="26"/>
      <c r="U145" s="225">
        <v>576.29999999999995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80"/>
      <c r="F146" s="220" t="s">
        <v>241</v>
      </c>
      <c r="G146" s="35" t="s">
        <v>28</v>
      </c>
      <c r="H146" s="66">
        <v>3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138</v>
      </c>
      <c r="C147" s="374" t="s">
        <v>22</v>
      </c>
      <c r="D147" s="374"/>
      <c r="E147" s="374" t="s">
        <v>27</v>
      </c>
      <c r="F147" s="204" t="s">
        <v>324</v>
      </c>
      <c r="G147" s="176" t="s">
        <v>24</v>
      </c>
      <c r="H147" s="151">
        <v>2</v>
      </c>
      <c r="I147" s="203">
        <v>1</v>
      </c>
      <c r="J147" s="203">
        <v>1</v>
      </c>
      <c r="K147" s="65">
        <v>576.29999999999995</v>
      </c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11686.89</v>
      </c>
      <c r="T147" s="50"/>
      <c r="U147" s="225">
        <v>11686.89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 t="s">
        <v>242</v>
      </c>
      <c r="G148" s="229" t="s">
        <v>28</v>
      </c>
      <c r="H148" s="133">
        <v>3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2</v>
      </c>
      <c r="Q148" s="114">
        <v>5859.05</v>
      </c>
      <c r="R148" s="44"/>
      <c r="S148" s="43">
        <f t="shared" si="1"/>
        <v>4802.5</v>
      </c>
      <c r="T148" s="43"/>
      <c r="U148" s="41">
        <f>4802.5</f>
        <v>4802.5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32" t="s">
        <v>325</v>
      </c>
      <c r="G149" s="23" t="s">
        <v>24</v>
      </c>
      <c r="H149" s="151">
        <v>4</v>
      </c>
      <c r="I149" s="62">
        <v>2</v>
      </c>
      <c r="J149" s="62">
        <v>2</v>
      </c>
      <c r="K149" s="30">
        <v>4045.04</v>
      </c>
      <c r="L149" s="27"/>
      <c r="M149" s="26">
        <f t="shared" si="0"/>
        <v>0</v>
      </c>
      <c r="N149" s="26"/>
      <c r="O149" s="31"/>
      <c r="P149" s="53">
        <v>9</v>
      </c>
      <c r="Q149" s="30">
        <v>20468.02</v>
      </c>
      <c r="R149" s="27"/>
      <c r="S149" s="26">
        <f t="shared" si="1"/>
        <v>5290.28</v>
      </c>
      <c r="T149" s="26"/>
      <c r="U149" s="225">
        <v>5290.28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21" t="s">
        <v>326</v>
      </c>
      <c r="G150" s="55" t="s">
        <v>28</v>
      </c>
      <c r="H150" s="112">
        <v>1</v>
      </c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2</v>
      </c>
      <c r="Q150" s="114">
        <v>3976.1</v>
      </c>
      <c r="R150" s="44"/>
      <c r="S150" s="43">
        <f t="shared" si="1"/>
        <v>6269.7</v>
      </c>
      <c r="T150" s="43"/>
      <c r="U150" s="45">
        <f>6269.7</f>
        <v>6269.7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119"/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20168.78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243</v>
      </c>
      <c r="G152" s="35" t="s">
        <v>28</v>
      </c>
      <c r="H152" s="66">
        <v>2</v>
      </c>
      <c r="I152" s="37">
        <v>1</v>
      </c>
      <c r="J152" s="37">
        <v>1</v>
      </c>
      <c r="K152" s="68">
        <v>1728</v>
      </c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2</v>
      </c>
      <c r="I155" s="62">
        <v>2</v>
      </c>
      <c r="J155" s="62">
        <v>2</v>
      </c>
      <c r="K155" s="30">
        <v>524.91</v>
      </c>
      <c r="L155" s="27"/>
      <c r="M155" s="26">
        <f t="shared" si="0"/>
        <v>0</v>
      </c>
      <c r="N155" s="26"/>
      <c r="O155" s="28"/>
      <c r="P155" s="53">
        <v>1</v>
      </c>
      <c r="Q155" s="30">
        <v>412.05</v>
      </c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327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10</v>
      </c>
      <c r="Q157" s="65">
        <v>34619.06</v>
      </c>
      <c r="R157" s="224">
        <v>4</v>
      </c>
      <c r="S157" s="50">
        <f t="shared" si="1"/>
        <v>16502.04</v>
      </c>
      <c r="T157" s="65">
        <v>14714.18</v>
      </c>
      <c r="U157" s="225">
        <v>1787.86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233" t="s">
        <v>244</v>
      </c>
      <c r="G158" s="227" t="s">
        <v>28</v>
      </c>
      <c r="H158" s="133">
        <v>4</v>
      </c>
      <c r="I158" s="57"/>
      <c r="J158" s="57"/>
      <c r="K158" s="43"/>
      <c r="L158" s="128"/>
      <c r="M158" s="50">
        <f t="shared" si="0"/>
        <v>0</v>
      </c>
      <c r="N158" s="43"/>
      <c r="O158" s="41"/>
      <c r="P158" s="113">
        <v>1</v>
      </c>
      <c r="Q158" s="114">
        <v>5426.7</v>
      </c>
      <c r="R158" s="44"/>
      <c r="S158" s="43">
        <f t="shared" si="1"/>
        <v>0</v>
      </c>
      <c r="T158" s="43"/>
      <c r="U158" s="41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328</v>
      </c>
      <c r="E159" s="374" t="s">
        <v>27</v>
      </c>
      <c r="F159" s="204" t="s">
        <v>329</v>
      </c>
      <c r="G159" s="176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8</v>
      </c>
      <c r="Q159" s="30">
        <v>17730.189999999999</v>
      </c>
      <c r="R159" s="27"/>
      <c r="S159" s="26">
        <f t="shared" si="1"/>
        <v>1267.8599999999999</v>
      </c>
      <c r="T159" s="26"/>
      <c r="U159" s="225">
        <v>1267.8599999999999</v>
      </c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220" t="s">
        <v>330</v>
      </c>
      <c r="G160" s="229" t="s">
        <v>28</v>
      </c>
      <c r="H160" s="153">
        <v>1</v>
      </c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3</v>
      </c>
      <c r="Q160" s="68">
        <v>16520.599999999999</v>
      </c>
      <c r="R160" s="40"/>
      <c r="S160" s="39">
        <f t="shared" si="1"/>
        <v>576.29999999999995</v>
      </c>
      <c r="T160" s="39"/>
      <c r="U160" s="41">
        <f>576.3</f>
        <v>576.29999999999995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32" t="s">
        <v>218</v>
      </c>
      <c r="G161" s="23" t="s">
        <v>24</v>
      </c>
      <c r="H161" s="48">
        <v>8</v>
      </c>
      <c r="I161" s="62">
        <v>3</v>
      </c>
      <c r="J161" s="204">
        <v>3</v>
      </c>
      <c r="K161" s="30">
        <v>3379.04</v>
      </c>
      <c r="L161" s="27"/>
      <c r="M161" s="26">
        <f t="shared" si="0"/>
        <v>0</v>
      </c>
      <c r="N161" s="26"/>
      <c r="O161" s="31"/>
      <c r="P161" s="108">
        <v>15</v>
      </c>
      <c r="Q161" s="65">
        <v>47053.26</v>
      </c>
      <c r="R161" s="224">
        <v>5</v>
      </c>
      <c r="S161" s="50">
        <f t="shared" si="1"/>
        <v>17249.09</v>
      </c>
      <c r="T161" s="65">
        <v>17249.09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03"/>
      <c r="Q162" s="43"/>
      <c r="R162" s="44"/>
      <c r="S162" s="43">
        <f t="shared" si="1"/>
        <v>1921</v>
      </c>
      <c r="T162" s="43"/>
      <c r="U162" s="45">
        <f>1921</f>
        <v>1921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220" t="s">
        <v>331</v>
      </c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7">
        <v>3</v>
      </c>
      <c r="Q164" s="68">
        <v>10841.33</v>
      </c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74" t="s">
        <v>39</v>
      </c>
      <c r="D165" s="381" t="s">
        <v>332</v>
      </c>
      <c r="E165" s="381" t="s">
        <v>27</v>
      </c>
      <c r="F165" s="223" t="s">
        <v>333</v>
      </c>
      <c r="G165" s="47" t="s">
        <v>24</v>
      </c>
      <c r="H165" s="48">
        <v>3</v>
      </c>
      <c r="I165" s="203">
        <v>3</v>
      </c>
      <c r="J165" s="203">
        <v>3</v>
      </c>
      <c r="K165" s="242">
        <v>5772.22</v>
      </c>
      <c r="L165" s="167"/>
      <c r="M165" s="166">
        <f t="shared" si="0"/>
        <v>0</v>
      </c>
      <c r="N165" s="166"/>
      <c r="O165" s="31"/>
      <c r="P165" s="108">
        <v>5</v>
      </c>
      <c r="Q165" s="65">
        <v>16635.98</v>
      </c>
      <c r="R165" s="51"/>
      <c r="S165" s="50">
        <f t="shared" si="1"/>
        <v>15452.64</v>
      </c>
      <c r="T165" s="50"/>
      <c r="U165" s="225">
        <v>15452.64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75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0</v>
      </c>
      <c r="T166" s="43"/>
      <c r="U166" s="41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223" t="s">
        <v>245</v>
      </c>
      <c r="G167" s="23" t="s">
        <v>24</v>
      </c>
      <c r="H167" s="48">
        <v>1</v>
      </c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4</v>
      </c>
      <c r="Q167" s="30">
        <v>10125.48</v>
      </c>
      <c r="R167" s="205">
        <v>1</v>
      </c>
      <c r="S167" s="26">
        <f t="shared" si="1"/>
        <v>3759.09</v>
      </c>
      <c r="T167" s="30">
        <v>3759.09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158</v>
      </c>
      <c r="C173" s="374" t="s">
        <v>39</v>
      </c>
      <c r="D173" s="374" t="s">
        <v>288</v>
      </c>
      <c r="E173" s="374" t="s">
        <v>27</v>
      </c>
      <c r="F173" s="204" t="s">
        <v>289</v>
      </c>
      <c r="G173" s="176" t="s">
        <v>24</v>
      </c>
      <c r="H173" s="48">
        <v>5</v>
      </c>
      <c r="I173" s="203">
        <v>4</v>
      </c>
      <c r="J173" s="203">
        <v>4</v>
      </c>
      <c r="K173" s="65">
        <v>5163.6499999999996</v>
      </c>
      <c r="L173" s="51"/>
      <c r="M173" s="50">
        <f t="shared" si="0"/>
        <v>0</v>
      </c>
      <c r="N173" s="50"/>
      <c r="O173" s="31"/>
      <c r="P173" s="108">
        <v>4</v>
      </c>
      <c r="Q173" s="65">
        <v>7345.91</v>
      </c>
      <c r="R173" s="51"/>
      <c r="S173" s="50">
        <f t="shared" si="1"/>
        <v>2627.93</v>
      </c>
      <c r="T173" s="50"/>
      <c r="U173" s="225">
        <v>2627.93</v>
      </c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 t="s">
        <v>334</v>
      </c>
      <c r="G174" s="229" t="s">
        <v>28</v>
      </c>
      <c r="H174" s="117">
        <v>1</v>
      </c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1152.5999999999999</v>
      </c>
      <c r="T174" s="39"/>
      <c r="U174" s="41">
        <f>1152.6</f>
        <v>1152.5999999999999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159</v>
      </c>
      <c r="C175" s="377" t="s">
        <v>22</v>
      </c>
      <c r="D175" s="377"/>
      <c r="E175" s="377" t="s">
        <v>160</v>
      </c>
      <c r="F175" s="232" t="s">
        <v>246</v>
      </c>
      <c r="G175" s="95" t="s">
        <v>24</v>
      </c>
      <c r="H175" s="48">
        <v>3</v>
      </c>
      <c r="I175" s="49"/>
      <c r="J175" s="49"/>
      <c r="K175" s="50"/>
      <c r="L175" s="51"/>
      <c r="M175" s="50">
        <f t="shared" si="0"/>
        <v>0</v>
      </c>
      <c r="N175" s="50"/>
      <c r="O175" s="31"/>
      <c r="P175" s="108">
        <v>18</v>
      </c>
      <c r="Q175" s="65">
        <v>26506.29</v>
      </c>
      <c r="R175" s="224">
        <v>9</v>
      </c>
      <c r="S175" s="50">
        <f t="shared" si="1"/>
        <v>12661.42</v>
      </c>
      <c r="T175" s="65">
        <v>12661.42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12">
        <v>2</v>
      </c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24">
        <v>2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4602.5</v>
      </c>
      <c r="T181" s="43"/>
      <c r="U181" s="234">
        <f>4602.5</f>
        <v>4602.5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221" t="s">
        <v>335</v>
      </c>
      <c r="G183" s="55" t="s">
        <v>28</v>
      </c>
      <c r="H183" s="56">
        <v>1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3</v>
      </c>
      <c r="Q183" s="114">
        <v>4898.55</v>
      </c>
      <c r="R183" s="44"/>
      <c r="S183" s="43">
        <f t="shared" si="1"/>
        <v>4034.1</v>
      </c>
      <c r="T183" s="43"/>
      <c r="U183" s="41">
        <f>4034.1</f>
        <v>4034.1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08">
        <v>2</v>
      </c>
      <c r="Q186" s="65">
        <v>2761.51</v>
      </c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24">
        <v>1</v>
      </c>
      <c r="I188" s="62">
        <v>1</v>
      </c>
      <c r="J188" s="62">
        <v>1</v>
      </c>
      <c r="K188" s="30">
        <v>576.29999999999995</v>
      </c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240" t="s">
        <v>247</v>
      </c>
      <c r="G189" s="35" t="s">
        <v>28</v>
      </c>
      <c r="H189" s="66">
        <v>1</v>
      </c>
      <c r="I189" s="37"/>
      <c r="J189" s="37"/>
      <c r="K189" s="39"/>
      <c r="L189" s="40"/>
      <c r="M189" s="39">
        <f t="shared" si="0"/>
        <v>0</v>
      </c>
      <c r="N189" s="39"/>
      <c r="O189" s="58"/>
      <c r="P189" s="244">
        <v>2</v>
      </c>
      <c r="Q189" s="245">
        <v>5186.7</v>
      </c>
      <c r="R189" s="40"/>
      <c r="S189" s="39">
        <f t="shared" si="1"/>
        <v>4034.1</v>
      </c>
      <c r="T189" s="39"/>
      <c r="U189" s="41">
        <f>4034.1</f>
        <v>4034.1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169</v>
      </c>
      <c r="C190" s="374" t="s">
        <v>22</v>
      </c>
      <c r="D190" s="374"/>
      <c r="E190" s="374" t="s">
        <v>27</v>
      </c>
      <c r="F190" s="22"/>
      <c r="G190" s="176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220" t="s">
        <v>336</v>
      </c>
      <c r="G191" s="229" t="s">
        <v>28</v>
      </c>
      <c r="H191" s="153">
        <v>1</v>
      </c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32" t="s">
        <v>248</v>
      </c>
      <c r="G192" s="23" t="s">
        <v>24</v>
      </c>
      <c r="H192" s="48">
        <v>2</v>
      </c>
      <c r="I192" s="62">
        <v>1</v>
      </c>
      <c r="J192" s="62">
        <v>1</v>
      </c>
      <c r="K192" s="30">
        <v>1233.28</v>
      </c>
      <c r="L192" s="27"/>
      <c r="M192" s="26">
        <f t="shared" si="0"/>
        <v>0</v>
      </c>
      <c r="N192" s="26"/>
      <c r="O192" s="31"/>
      <c r="P192" s="53">
        <v>13</v>
      </c>
      <c r="Q192" s="30">
        <v>34299.050000000003</v>
      </c>
      <c r="R192" s="205">
        <v>2</v>
      </c>
      <c r="S192" s="26">
        <f t="shared" si="1"/>
        <v>5534.4</v>
      </c>
      <c r="T192" s="30">
        <v>5534.4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171</v>
      </c>
      <c r="C194" s="374" t="s">
        <v>22</v>
      </c>
      <c r="D194" s="374"/>
      <c r="E194" s="374" t="s">
        <v>27</v>
      </c>
      <c r="F194" s="22"/>
      <c r="G194" s="176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220" t="s">
        <v>337</v>
      </c>
      <c r="G195" s="229" t="s">
        <v>28</v>
      </c>
      <c r="H195" s="133">
        <v>2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7" t="s">
        <v>39</v>
      </c>
      <c r="D196" s="374" t="s">
        <v>303</v>
      </c>
      <c r="E196" s="374" t="s">
        <v>121</v>
      </c>
      <c r="F196" s="232" t="s">
        <v>304</v>
      </c>
      <c r="G196" s="23" t="s">
        <v>24</v>
      </c>
      <c r="H196" s="48">
        <v>4</v>
      </c>
      <c r="I196" s="62">
        <v>2</v>
      </c>
      <c r="J196" s="62">
        <v>2</v>
      </c>
      <c r="K196" s="30">
        <v>806.82</v>
      </c>
      <c r="L196" s="27"/>
      <c r="M196" s="26">
        <f t="shared" si="0"/>
        <v>0</v>
      </c>
      <c r="N196" s="26"/>
      <c r="O196" s="31"/>
      <c r="P196" s="53">
        <v>25</v>
      </c>
      <c r="Q196" s="30">
        <v>34901.07</v>
      </c>
      <c r="R196" s="27"/>
      <c r="S196" s="26">
        <f t="shared" si="1"/>
        <v>6109.65</v>
      </c>
      <c r="T196" s="30"/>
      <c r="U196" s="30">
        <v>6109.65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80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 t="s">
        <v>338</v>
      </c>
      <c r="E198" s="374"/>
      <c r="F198" s="22"/>
      <c r="G198" s="23" t="s">
        <v>24</v>
      </c>
      <c r="H198" s="61">
        <v>7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0" t="s">
        <v>339</v>
      </c>
      <c r="G199" s="35" t="s">
        <v>25</v>
      </c>
      <c r="H199" s="117">
        <v>4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174</v>
      </c>
      <c r="C200" s="374" t="s">
        <v>39</v>
      </c>
      <c r="D200" s="374" t="s">
        <v>175</v>
      </c>
      <c r="E200" s="374" t="s">
        <v>176</v>
      </c>
      <c r="F200" s="22"/>
      <c r="G200" s="176" t="s">
        <v>24</v>
      </c>
      <c r="H200" s="48">
        <v>2</v>
      </c>
      <c r="I200" s="203">
        <v>2</v>
      </c>
      <c r="J200" s="203">
        <v>2</v>
      </c>
      <c r="K200" s="65">
        <v>2579.9</v>
      </c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340</v>
      </c>
      <c r="G201" s="229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3</v>
      </c>
      <c r="Q201" s="114">
        <v>19142.64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77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107"/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14</v>
      </c>
      <c r="Q202" s="30">
        <v>45509.18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5</v>
      </c>
      <c r="I208" s="203">
        <v>1</v>
      </c>
      <c r="J208" s="203">
        <v>1</v>
      </c>
      <c r="K208" s="65">
        <v>950.9</v>
      </c>
      <c r="L208" s="51"/>
      <c r="M208" s="50">
        <f t="shared" si="0"/>
        <v>0</v>
      </c>
      <c r="N208" s="50"/>
      <c r="O208" s="31"/>
      <c r="P208" s="108">
        <v>10</v>
      </c>
      <c r="Q208" s="65">
        <v>31753.040000000001</v>
      </c>
      <c r="R208" s="224">
        <v>8</v>
      </c>
      <c r="S208" s="50">
        <f t="shared" si="1"/>
        <v>31034.59</v>
      </c>
      <c r="T208" s="65">
        <v>28968.84</v>
      </c>
      <c r="U208" s="225">
        <v>2065.75</v>
      </c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2209.1999999999998</v>
      </c>
      <c r="T209" s="43"/>
      <c r="U209" s="45">
        <f>2209.2</f>
        <v>2209.1999999999998</v>
      </c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7</v>
      </c>
      <c r="I210" s="62">
        <v>3</v>
      </c>
      <c r="J210" s="62">
        <v>3</v>
      </c>
      <c r="K210" s="30">
        <v>3878.12</v>
      </c>
      <c r="L210" s="27"/>
      <c r="M210" s="26">
        <f t="shared" si="0"/>
        <v>0</v>
      </c>
      <c r="N210" s="26"/>
      <c r="O210" s="31"/>
      <c r="P210" s="53">
        <v>6</v>
      </c>
      <c r="Q210" s="30">
        <v>31478.57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48">
        <v>1</v>
      </c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1</v>
      </c>
      <c r="Q212" s="65">
        <v>1566.51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221" t="s">
        <v>252</v>
      </c>
      <c r="G213" s="55" t="s">
        <v>28</v>
      </c>
      <c r="H213" s="133">
        <v>3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03"/>
      <c r="Q213" s="43"/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233" t="s">
        <v>253</v>
      </c>
      <c r="G215" s="227" t="s">
        <v>28</v>
      </c>
      <c r="H215" s="153">
        <v>2</v>
      </c>
      <c r="I215" s="57"/>
      <c r="J215" s="57"/>
      <c r="K215" s="43"/>
      <c r="L215" s="44"/>
      <c r="M215" s="43">
        <f t="shared" si="0"/>
        <v>0</v>
      </c>
      <c r="N215" s="43"/>
      <c r="O215" s="41"/>
      <c r="P215" s="113">
        <v>2</v>
      </c>
      <c r="Q215" s="114">
        <v>2958.34</v>
      </c>
      <c r="R215" s="44"/>
      <c r="S215" s="43">
        <f t="shared" si="1"/>
        <v>2958.34</v>
      </c>
      <c r="T215" s="43"/>
      <c r="U215" s="41">
        <f>2958.34</f>
        <v>2958.34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04" t="s">
        <v>341</v>
      </c>
      <c r="G216" s="176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1288.7</v>
      </c>
      <c r="T216" s="26"/>
      <c r="U216" s="225">
        <v>1288.7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342</v>
      </c>
      <c r="G217" s="229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2994.47</v>
      </c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232" t="s">
        <v>315</v>
      </c>
      <c r="G218" s="23" t="s">
        <v>24</v>
      </c>
      <c r="H218" s="48">
        <v>1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12</v>
      </c>
      <c r="Q218" s="30">
        <v>23681.66</v>
      </c>
      <c r="R218" s="205">
        <v>3</v>
      </c>
      <c r="S218" s="26">
        <f t="shared" si="1"/>
        <v>6447.76</v>
      </c>
      <c r="T218" s="30">
        <v>6447.76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254</v>
      </c>
      <c r="G219" s="35" t="s">
        <v>28</v>
      </c>
      <c r="H219" s="153">
        <v>5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223" t="s">
        <v>343</v>
      </c>
      <c r="G220" s="23" t="s">
        <v>24</v>
      </c>
      <c r="H220" s="48">
        <v>5</v>
      </c>
      <c r="I220" s="203">
        <v>2</v>
      </c>
      <c r="J220" s="203">
        <v>2</v>
      </c>
      <c r="K220" s="65">
        <v>2218.7600000000002</v>
      </c>
      <c r="L220" s="51"/>
      <c r="M220" s="50">
        <f t="shared" si="0"/>
        <v>0</v>
      </c>
      <c r="N220" s="50"/>
      <c r="O220" s="31"/>
      <c r="P220" s="108">
        <v>14</v>
      </c>
      <c r="Q220" s="65">
        <v>37752.99</v>
      </c>
      <c r="R220" s="51"/>
      <c r="S220" s="50">
        <f t="shared" si="1"/>
        <v>1046.6300000000001</v>
      </c>
      <c r="T220" s="50"/>
      <c r="U220" s="225">
        <v>1046.6300000000001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03"/>
      <c r="Q221" s="43"/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221" t="s">
        <v>344</v>
      </c>
      <c r="G223" s="55" t="s">
        <v>28</v>
      </c>
      <c r="H223" s="56">
        <v>1</v>
      </c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4050.2</v>
      </c>
      <c r="T223" s="43"/>
      <c r="U223" s="222">
        <v>4050.2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24">
        <v>2</v>
      </c>
      <c r="I224" s="25"/>
      <c r="J224" s="25"/>
      <c r="K224" s="26"/>
      <c r="L224" s="27"/>
      <c r="M224" s="26">
        <f t="shared" si="0"/>
        <v>0</v>
      </c>
      <c r="N224" s="26"/>
      <c r="O224" s="28"/>
      <c r="P224" s="120"/>
      <c r="Q224" s="26"/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256</v>
      </c>
      <c r="G225" s="35" t="s">
        <v>28</v>
      </c>
      <c r="H225" s="66">
        <v>2</v>
      </c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345</v>
      </c>
      <c r="G227" s="35" t="s">
        <v>28</v>
      </c>
      <c r="H227" s="112">
        <v>2</v>
      </c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3818</v>
      </c>
      <c r="T227" s="39"/>
      <c r="U227" s="41">
        <f>3818</f>
        <v>3818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192</v>
      </c>
      <c r="C228" s="374" t="s">
        <v>22</v>
      </c>
      <c r="D228" s="374"/>
      <c r="E228" s="374" t="s">
        <v>193</v>
      </c>
      <c r="F228" s="204" t="s">
        <v>318</v>
      </c>
      <c r="G228" s="176" t="s">
        <v>24</v>
      </c>
      <c r="H228" s="61">
        <v>3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224">
        <v>9</v>
      </c>
      <c r="S228" s="50">
        <f t="shared" si="1"/>
        <v>15520.42</v>
      </c>
      <c r="T228" s="65">
        <v>15520.42</v>
      </c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 t="s">
        <v>346</v>
      </c>
      <c r="G229" s="229" t="s">
        <v>28</v>
      </c>
      <c r="H229" s="133">
        <v>1</v>
      </c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7" t="s">
        <v>39</v>
      </c>
      <c r="D230" s="377" t="s">
        <v>319</v>
      </c>
      <c r="E230" s="374" t="s">
        <v>160</v>
      </c>
      <c r="F230" s="232" t="s">
        <v>320</v>
      </c>
      <c r="G230" s="23" t="s">
        <v>24</v>
      </c>
      <c r="H230" s="48">
        <v>1</v>
      </c>
      <c r="I230" s="203">
        <v>1</v>
      </c>
      <c r="J230" s="203">
        <v>1</v>
      </c>
      <c r="K230" s="65">
        <v>288.14999999999998</v>
      </c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2951.62</v>
      </c>
      <c r="T230" s="26"/>
      <c r="U230" s="225">
        <v>2951.62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 t="s">
        <v>347</v>
      </c>
      <c r="G231" s="35" t="s">
        <v>28</v>
      </c>
      <c r="H231" s="117">
        <v>1</v>
      </c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576.29999999999995</v>
      </c>
      <c r="T231" s="39"/>
      <c r="U231" s="41">
        <f>576.3</f>
        <v>576.29999999999995</v>
      </c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77" t="s">
        <v>39</v>
      </c>
      <c r="D232" s="377" t="s">
        <v>231</v>
      </c>
      <c r="E232" s="381" t="s">
        <v>27</v>
      </c>
      <c r="F232" s="204" t="s">
        <v>232</v>
      </c>
      <c r="G232" s="47" t="s">
        <v>24</v>
      </c>
      <c r="H232" s="61">
        <v>1</v>
      </c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6</v>
      </c>
      <c r="Q232" s="65">
        <v>44489.17</v>
      </c>
      <c r="R232" s="224">
        <v>3</v>
      </c>
      <c r="S232" s="50">
        <f t="shared" si="1"/>
        <v>38298.170000000006</v>
      </c>
      <c r="T232" s="65">
        <v>35948.410000000003</v>
      </c>
      <c r="U232" s="225">
        <v>2349.7600000000002</v>
      </c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1" t="s">
        <v>260</v>
      </c>
      <c r="G233" s="55" t="s">
        <v>28</v>
      </c>
      <c r="H233" s="178">
        <v>3</v>
      </c>
      <c r="I233" s="130">
        <v>1</v>
      </c>
      <c r="J233" s="130">
        <v>1</v>
      </c>
      <c r="K233" s="114">
        <v>1152.5999999999999</v>
      </c>
      <c r="L233" s="44"/>
      <c r="M233" s="43">
        <f t="shared" si="0"/>
        <v>0</v>
      </c>
      <c r="N233" s="43"/>
      <c r="O233" s="45"/>
      <c r="P233" s="130">
        <v>3</v>
      </c>
      <c r="Q233" s="130">
        <v>8188.85</v>
      </c>
      <c r="R233" s="44"/>
      <c r="S233" s="43">
        <f t="shared" si="1"/>
        <v>4994.6000000000004</v>
      </c>
      <c r="T233" s="43"/>
      <c r="U233" s="222">
        <v>4994.6000000000004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220" t="s">
        <v>348</v>
      </c>
      <c r="G235" s="35" t="s">
        <v>28</v>
      </c>
      <c r="H235" s="66">
        <v>3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748.27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221" t="s">
        <v>349</v>
      </c>
      <c r="G237" s="55" t="s">
        <v>28</v>
      </c>
      <c r="H237" s="153">
        <v>2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0</v>
      </c>
      <c r="T237" s="43"/>
      <c r="U237" s="41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3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7</v>
      </c>
      <c r="Q238" s="30">
        <v>27470.31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350</v>
      </c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1" t="s">
        <v>351</v>
      </c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1921</v>
      </c>
      <c r="T243" s="43"/>
      <c r="U243" s="45">
        <f>1921</f>
        <v>1921</v>
      </c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6</v>
      </c>
      <c r="I244" s="25"/>
      <c r="J244" s="25"/>
      <c r="K244" s="26"/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48">
        <v>1</v>
      </c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1" t="s">
        <v>262</v>
      </c>
      <c r="G247" s="55" t="s">
        <v>28</v>
      </c>
      <c r="H247" s="112">
        <v>1</v>
      </c>
      <c r="I247" s="57"/>
      <c r="J247" s="57"/>
      <c r="K247" s="43"/>
      <c r="L247" s="128"/>
      <c r="M247" s="129">
        <f t="shared" si="0"/>
        <v>0</v>
      </c>
      <c r="N247" s="43"/>
      <c r="O247" s="45"/>
      <c r="P247" s="113">
        <v>1</v>
      </c>
      <c r="Q247" s="114">
        <v>1344.7</v>
      </c>
      <c r="R247" s="128"/>
      <c r="S247" s="129">
        <f t="shared" si="1"/>
        <v>0</v>
      </c>
      <c r="T247" s="43"/>
      <c r="U247" s="45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6</v>
      </c>
      <c r="I250" s="203">
        <v>1</v>
      </c>
      <c r="J250" s="203">
        <v>1</v>
      </c>
      <c r="K250" s="65">
        <v>384.2</v>
      </c>
      <c r="L250" s="51"/>
      <c r="M250" s="50">
        <f t="shared" si="0"/>
        <v>0</v>
      </c>
      <c r="N250" s="50"/>
      <c r="O250" s="31"/>
      <c r="P250" s="108">
        <v>4</v>
      </c>
      <c r="Q250" s="65">
        <v>3363.11</v>
      </c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373</v>
      </c>
      <c r="I252" s="183">
        <f t="shared" si="2"/>
        <v>88</v>
      </c>
      <c r="J252" s="183">
        <f t="shared" si="2"/>
        <v>93</v>
      </c>
      <c r="K252" s="184">
        <f t="shared" si="2"/>
        <v>128053.86999999997</v>
      </c>
      <c r="L252" s="185">
        <f t="shared" si="2"/>
        <v>0</v>
      </c>
      <c r="M252" s="184">
        <f t="shared" si="2"/>
        <v>0</v>
      </c>
      <c r="N252" s="184">
        <f t="shared" si="2"/>
        <v>0</v>
      </c>
      <c r="O252" s="186">
        <f t="shared" si="2"/>
        <v>0</v>
      </c>
      <c r="P252" s="187">
        <f t="shared" si="2"/>
        <v>724</v>
      </c>
      <c r="Q252" s="188">
        <f t="shared" si="2"/>
        <v>2135831.5399999996</v>
      </c>
      <c r="R252" s="185">
        <f t="shared" si="2"/>
        <v>98</v>
      </c>
      <c r="S252" s="188">
        <f t="shared" si="2"/>
        <v>714127.05999999994</v>
      </c>
      <c r="T252" s="188">
        <f t="shared" si="2"/>
        <v>296287.53000000003</v>
      </c>
      <c r="U252" s="189">
        <f t="shared" si="2"/>
        <v>417839.52999999997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238</v>
      </c>
      <c r="H258" s="193">
        <f t="shared" si="3"/>
        <v>75</v>
      </c>
      <c r="I258" s="193">
        <f t="shared" si="3"/>
        <v>80</v>
      </c>
      <c r="J258" s="194">
        <f t="shared" ref="J258:J260" si="4">SUMIF($G$9:$G$251,F258,$K$9:$K$251)</f>
        <v>112068.46999999997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639</v>
      </c>
      <c r="P258" s="194">
        <f t="shared" ref="P258:P260" si="8">SUMIF($G$9:$G$251,F258,$Q$9:$Q$251)</f>
        <v>1920015.8399999996</v>
      </c>
      <c r="Q258" s="195">
        <f t="shared" ref="Q258:Q260" si="9">SUMIF($G$9:$G$251,F258,$R$9:$R$251)</f>
        <v>98</v>
      </c>
      <c r="R258" s="194">
        <f t="shared" ref="R258:R260" si="10">SUMIF($G$9:$G$251,F258,$S$9:$S$251)</f>
        <v>630507.25000000012</v>
      </c>
      <c r="S258" s="194">
        <f t="shared" ref="S258:T258" si="11">SUMIF($G$9:$G$251,$F$258,T9:T251)</f>
        <v>296287.53000000003</v>
      </c>
      <c r="T258" s="194">
        <f t="shared" si="11"/>
        <v>334219.72000000003</v>
      </c>
      <c r="U258" s="194">
        <f t="shared" ref="U258:U260" si="12">S258+M258</f>
        <v>296287.53000000003</v>
      </c>
      <c r="V258" s="196">
        <f t="shared" ref="V258:V260" si="13">J258-M258+P258-S258</f>
        <v>1735796.7799999996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108</v>
      </c>
      <c r="H259" s="193">
        <f t="shared" si="14"/>
        <v>9</v>
      </c>
      <c r="I259" s="193">
        <f t="shared" si="14"/>
        <v>9</v>
      </c>
      <c r="J259" s="194">
        <f t="shared" si="4"/>
        <v>11182.900000000001</v>
      </c>
      <c r="K259" s="195">
        <f t="shared" si="5"/>
        <v>0</v>
      </c>
      <c r="L259" s="194">
        <f t="shared" si="6"/>
        <v>0</v>
      </c>
      <c r="M259" s="194">
        <f t="shared" ref="M259:O259" si="15">SUMIF($G$9:$G$251,$F$259,N9:N251)</f>
        <v>0</v>
      </c>
      <c r="N259" s="194">
        <f t="shared" si="15"/>
        <v>0</v>
      </c>
      <c r="O259" s="193">
        <f t="shared" si="15"/>
        <v>65</v>
      </c>
      <c r="P259" s="194">
        <f t="shared" si="8"/>
        <v>156773.03</v>
      </c>
      <c r="Q259" s="195">
        <f t="shared" si="9"/>
        <v>0</v>
      </c>
      <c r="R259" s="194">
        <f t="shared" si="10"/>
        <v>83619.81</v>
      </c>
      <c r="S259" s="194">
        <f t="shared" ref="S259:T259" si="16">SUMIF($G$9:$G$251,$F$259,T9:T251)</f>
        <v>0</v>
      </c>
      <c r="T259" s="194">
        <f t="shared" si="16"/>
        <v>83619.81</v>
      </c>
      <c r="U259" s="194">
        <f t="shared" si="12"/>
        <v>0</v>
      </c>
      <c r="V259" s="196">
        <f t="shared" si="13"/>
        <v>167955.93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27</v>
      </c>
      <c r="H260" s="193">
        <f t="shared" si="17"/>
        <v>4</v>
      </c>
      <c r="I260" s="193">
        <f t="shared" si="17"/>
        <v>4</v>
      </c>
      <c r="J260" s="194">
        <f t="shared" si="4"/>
        <v>4802.5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20</v>
      </c>
      <c r="P260" s="194">
        <f t="shared" si="8"/>
        <v>59042.67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63845.17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373</v>
      </c>
      <c r="H261" s="197">
        <f t="shared" si="20"/>
        <v>88</v>
      </c>
      <c r="I261" s="197">
        <f t="shared" si="20"/>
        <v>93</v>
      </c>
      <c r="J261" s="198">
        <f t="shared" si="20"/>
        <v>128053.86999999997</v>
      </c>
      <c r="K261" s="199">
        <f t="shared" si="20"/>
        <v>0</v>
      </c>
      <c r="L261" s="198">
        <f t="shared" si="20"/>
        <v>0</v>
      </c>
      <c r="M261" s="198">
        <f t="shared" si="20"/>
        <v>0</v>
      </c>
      <c r="N261" s="198">
        <f t="shared" si="20"/>
        <v>0</v>
      </c>
      <c r="O261" s="197">
        <f t="shared" si="20"/>
        <v>724</v>
      </c>
      <c r="P261" s="198">
        <f t="shared" si="20"/>
        <v>2135831.5399999996</v>
      </c>
      <c r="Q261" s="200">
        <f t="shared" si="20"/>
        <v>98</v>
      </c>
      <c r="R261" s="198">
        <f t="shared" si="20"/>
        <v>714127.06</v>
      </c>
      <c r="S261" s="198">
        <f t="shared" si="20"/>
        <v>296287.53000000003</v>
      </c>
      <c r="T261" s="198">
        <f t="shared" si="20"/>
        <v>417839.53</v>
      </c>
      <c r="U261" s="198">
        <f t="shared" si="20"/>
        <v>296287.53000000003</v>
      </c>
      <c r="V261" s="198">
        <f t="shared" si="20"/>
        <v>1967597.8799999994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3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F890"/>
  <sheetViews>
    <sheetView workbookViewId="0"/>
  </sheetViews>
  <sheetFormatPr defaultColWidth="14.42578125" defaultRowHeight="15" customHeight="1"/>
  <cols>
    <col min="1" max="1" width="4" customWidth="1"/>
    <col min="2" max="2" width="41.140625" customWidth="1"/>
    <col min="3" max="3" width="11.28515625" customWidth="1"/>
    <col min="4" max="4" width="26.28515625" customWidth="1"/>
    <col min="5" max="5" width="16.42578125" customWidth="1"/>
    <col min="6" max="6" width="25.85546875" customWidth="1"/>
    <col min="7" max="7" width="20.140625" customWidth="1"/>
    <col min="8" max="8" width="19.28515625" customWidth="1"/>
    <col min="9" max="9" width="13.5703125" customWidth="1"/>
    <col min="10" max="10" width="15" customWidth="1"/>
    <col min="11" max="13" width="14.5703125" customWidth="1"/>
    <col min="14" max="14" width="13.42578125" customWidth="1"/>
    <col min="15" max="15" width="13.5703125" customWidth="1"/>
    <col min="16" max="16" width="13.28515625" customWidth="1"/>
    <col min="17" max="18" width="14.42578125" customWidth="1"/>
    <col min="19" max="19" width="16.42578125" customWidth="1"/>
    <col min="20" max="20" width="13.42578125" customWidth="1"/>
    <col min="21" max="21" width="14.7109375" customWidth="1"/>
    <col min="22" max="22" width="14.85546875" customWidth="1"/>
    <col min="23" max="23" width="14" customWidth="1"/>
    <col min="24" max="24" width="34.42578125" customWidth="1"/>
    <col min="25" max="32" width="19.7109375" customWidth="1"/>
  </cols>
  <sheetData>
    <row r="1" spans="1:32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>
      <c r="A2" s="364" t="s">
        <v>0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5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>
      <c r="A3" s="366" t="s">
        <v>1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6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ht="12.75" customHeight="1">
      <c r="A4" s="367" t="s">
        <v>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32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3"/>
      <c r="L5" s="3"/>
      <c r="M5" s="2"/>
      <c r="N5" s="2"/>
      <c r="O5" s="2"/>
      <c r="P5" s="2"/>
      <c r="Q5" s="2"/>
      <c r="R5" s="2"/>
      <c r="S5" s="2"/>
      <c r="T5" s="2"/>
      <c r="U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48.75" customHeight="1">
      <c r="A6" s="7" t="s">
        <v>3</v>
      </c>
      <c r="B6" s="398" t="s">
        <v>4</v>
      </c>
      <c r="C6" s="369"/>
      <c r="D6" s="369"/>
      <c r="E6" s="369"/>
      <c r="F6" s="369"/>
      <c r="G6" s="399"/>
      <c r="H6" s="371" t="s">
        <v>5</v>
      </c>
      <c r="I6" s="369"/>
      <c r="J6" s="369"/>
      <c r="K6" s="369"/>
      <c r="L6" s="369"/>
      <c r="M6" s="369"/>
      <c r="N6" s="369"/>
      <c r="O6" s="370"/>
      <c r="P6" s="371" t="s">
        <v>6</v>
      </c>
      <c r="Q6" s="369"/>
      <c r="R6" s="369"/>
      <c r="S6" s="369"/>
      <c r="T6" s="369"/>
      <c r="U6" s="370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107.25" customHeight="1">
      <c r="A7" s="9"/>
      <c r="B7" s="10" t="s">
        <v>7</v>
      </c>
      <c r="C7" s="10" t="s">
        <v>8</v>
      </c>
      <c r="D7" s="10" t="s">
        <v>9</v>
      </c>
      <c r="E7" s="10" t="s">
        <v>10</v>
      </c>
      <c r="F7" s="10" t="s">
        <v>11</v>
      </c>
      <c r="G7" s="11" t="s">
        <v>12</v>
      </c>
      <c r="H7" s="12" t="s">
        <v>13</v>
      </c>
      <c r="I7" s="10" t="s">
        <v>14</v>
      </c>
      <c r="J7" s="10" t="s">
        <v>15</v>
      </c>
      <c r="K7" s="10" t="s">
        <v>16</v>
      </c>
      <c r="L7" s="10" t="s">
        <v>17</v>
      </c>
      <c r="M7" s="10" t="s">
        <v>18</v>
      </c>
      <c r="N7" s="10" t="s">
        <v>19</v>
      </c>
      <c r="O7" s="13" t="s">
        <v>20</v>
      </c>
      <c r="P7" s="12" t="s">
        <v>15</v>
      </c>
      <c r="Q7" s="10" t="s">
        <v>16</v>
      </c>
      <c r="R7" s="10" t="s">
        <v>17</v>
      </c>
      <c r="S7" s="10" t="s">
        <v>18</v>
      </c>
      <c r="T7" s="10" t="s">
        <v>19</v>
      </c>
      <c r="U7" s="13" t="s">
        <v>20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32" ht="15.75" customHeight="1">
      <c r="A8" s="14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6">
        <v>7</v>
      </c>
      <c r="H8" s="14">
        <v>8</v>
      </c>
      <c r="I8" s="15">
        <v>9</v>
      </c>
      <c r="J8" s="15">
        <v>10</v>
      </c>
      <c r="K8" s="15">
        <v>11</v>
      </c>
      <c r="L8" s="17">
        <v>12</v>
      </c>
      <c r="M8" s="17">
        <v>13</v>
      </c>
      <c r="N8" s="17">
        <v>14</v>
      </c>
      <c r="O8" s="18">
        <v>15</v>
      </c>
      <c r="P8" s="19">
        <v>16</v>
      </c>
      <c r="Q8" s="17">
        <v>17</v>
      </c>
      <c r="R8" s="17">
        <v>18</v>
      </c>
      <c r="S8" s="17">
        <v>19</v>
      </c>
      <c r="T8" s="17">
        <v>20</v>
      </c>
      <c r="U8" s="20">
        <v>21</v>
      </c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32" ht="15.75" customHeight="1">
      <c r="A9" s="372"/>
      <c r="B9" s="374" t="s">
        <v>21</v>
      </c>
      <c r="C9" s="374" t="s">
        <v>22</v>
      </c>
      <c r="D9" s="374"/>
      <c r="E9" s="374" t="s">
        <v>23</v>
      </c>
      <c r="F9" s="22"/>
      <c r="G9" s="23" t="s">
        <v>24</v>
      </c>
      <c r="H9" s="24">
        <v>6</v>
      </c>
      <c r="I9" s="25"/>
      <c r="J9" s="25"/>
      <c r="K9" s="26"/>
      <c r="L9" s="27"/>
      <c r="M9" s="26">
        <f t="shared" ref="M9:M251" si="0">N9+O9</f>
        <v>0</v>
      </c>
      <c r="N9" s="26"/>
      <c r="O9" s="28"/>
      <c r="P9" s="29">
        <v>7</v>
      </c>
      <c r="Q9" s="30">
        <v>18177.259999999998</v>
      </c>
      <c r="R9" s="27"/>
      <c r="S9" s="26">
        <f t="shared" ref="S9:S251" si="1">T9+U9</f>
        <v>0</v>
      </c>
      <c r="T9" s="26"/>
      <c r="U9" s="31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32" ht="15.75" customHeight="1">
      <c r="A10" s="373"/>
      <c r="B10" s="375"/>
      <c r="C10" s="375"/>
      <c r="D10" s="375"/>
      <c r="E10" s="375"/>
      <c r="F10" s="220" t="s">
        <v>275</v>
      </c>
      <c r="G10" s="35" t="s">
        <v>25</v>
      </c>
      <c r="H10" s="66">
        <v>5</v>
      </c>
      <c r="I10" s="37">
        <v>1</v>
      </c>
      <c r="J10" s="37">
        <v>1</v>
      </c>
      <c r="K10" s="68">
        <v>1152.5999999999999</v>
      </c>
      <c r="L10" s="40"/>
      <c r="M10" s="39">
        <f t="shared" si="0"/>
        <v>0</v>
      </c>
      <c r="N10" s="39"/>
      <c r="O10" s="41"/>
      <c r="P10" s="42"/>
      <c r="Q10" s="43"/>
      <c r="R10" s="44"/>
      <c r="S10" s="43">
        <f t="shared" si="1"/>
        <v>0</v>
      </c>
      <c r="T10" s="43"/>
      <c r="U10" s="4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32" ht="15.75" customHeight="1">
      <c r="A11" s="382"/>
      <c r="B11" s="381" t="s">
        <v>26</v>
      </c>
      <c r="C11" s="381" t="s">
        <v>22</v>
      </c>
      <c r="D11" s="381"/>
      <c r="E11" s="381" t="s">
        <v>27</v>
      </c>
      <c r="F11" s="223" t="s">
        <v>250</v>
      </c>
      <c r="G11" s="47" t="s">
        <v>24</v>
      </c>
      <c r="H11" s="48">
        <v>4</v>
      </c>
      <c r="I11" s="203">
        <v>1</v>
      </c>
      <c r="J11" s="203">
        <v>1</v>
      </c>
      <c r="K11" s="65">
        <v>1267.8599999999999</v>
      </c>
      <c r="L11" s="51"/>
      <c r="M11" s="50">
        <f t="shared" si="0"/>
        <v>0</v>
      </c>
      <c r="N11" s="50"/>
      <c r="O11" s="52"/>
      <c r="P11" s="53">
        <v>8</v>
      </c>
      <c r="Q11" s="30">
        <v>65054.14</v>
      </c>
      <c r="R11" s="27"/>
      <c r="S11" s="26">
        <f t="shared" si="1"/>
        <v>34359</v>
      </c>
      <c r="T11" s="26"/>
      <c r="U11" s="241">
        <v>34359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ht="15.75" customHeight="1">
      <c r="A12" s="379"/>
      <c r="B12" s="380"/>
      <c r="C12" s="380"/>
      <c r="D12" s="380"/>
      <c r="E12" s="380"/>
      <c r="F12" s="233" t="s">
        <v>276</v>
      </c>
      <c r="G12" s="227" t="s">
        <v>28</v>
      </c>
      <c r="H12" s="56">
        <v>1</v>
      </c>
      <c r="I12" s="57"/>
      <c r="J12" s="57"/>
      <c r="K12" s="43"/>
      <c r="L12" s="44"/>
      <c r="M12" s="43">
        <f t="shared" si="0"/>
        <v>0</v>
      </c>
      <c r="N12" s="43"/>
      <c r="O12" s="58"/>
      <c r="P12" s="59"/>
      <c r="Q12" s="39"/>
      <c r="R12" s="40"/>
      <c r="S12" s="39">
        <f t="shared" si="1"/>
        <v>0</v>
      </c>
      <c r="T12" s="39"/>
      <c r="U12" s="41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ht="15.75" customHeight="1">
      <c r="A13" s="372"/>
      <c r="B13" s="374" t="s">
        <v>29</v>
      </c>
      <c r="C13" s="374" t="s">
        <v>22</v>
      </c>
      <c r="D13" s="378"/>
      <c r="E13" s="374" t="s">
        <v>27</v>
      </c>
      <c r="F13" s="204" t="s">
        <v>251</v>
      </c>
      <c r="G13" s="176" t="s">
        <v>24</v>
      </c>
      <c r="H13" s="61">
        <v>5</v>
      </c>
      <c r="I13" s="62">
        <v>3</v>
      </c>
      <c r="J13" s="62">
        <v>5</v>
      </c>
      <c r="K13" s="30">
        <v>10039.42</v>
      </c>
      <c r="L13" s="27"/>
      <c r="M13" s="26">
        <f t="shared" si="0"/>
        <v>0</v>
      </c>
      <c r="N13" s="26"/>
      <c r="O13" s="63"/>
      <c r="P13" s="64">
        <v>13</v>
      </c>
      <c r="Q13" s="65">
        <v>52910.82</v>
      </c>
      <c r="R13" s="224">
        <v>6</v>
      </c>
      <c r="S13" s="50">
        <f t="shared" si="1"/>
        <v>13737.84</v>
      </c>
      <c r="T13" s="65">
        <v>13737.84</v>
      </c>
      <c r="U13" s="31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ht="15.75" customHeight="1">
      <c r="A14" s="373"/>
      <c r="B14" s="375"/>
      <c r="C14" s="375"/>
      <c r="D14" s="375"/>
      <c r="E14" s="375"/>
      <c r="F14" s="220" t="s">
        <v>212</v>
      </c>
      <c r="G14" s="229" t="s">
        <v>28</v>
      </c>
      <c r="H14" s="66">
        <v>1</v>
      </c>
      <c r="I14" s="38"/>
      <c r="J14" s="38"/>
      <c r="K14" s="39"/>
      <c r="L14" s="40"/>
      <c r="M14" s="39">
        <f t="shared" si="0"/>
        <v>0</v>
      </c>
      <c r="N14" s="39"/>
      <c r="O14" s="41"/>
      <c r="P14" s="67">
        <v>1</v>
      </c>
      <c r="Q14" s="68">
        <v>15752.2</v>
      </c>
      <c r="R14" s="40"/>
      <c r="S14" s="39">
        <f t="shared" si="1"/>
        <v>15752.2</v>
      </c>
      <c r="T14" s="39"/>
      <c r="U14" s="222">
        <v>15752.2</v>
      </c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>
      <c r="A15" s="376"/>
      <c r="B15" s="377" t="s">
        <v>31</v>
      </c>
      <c r="C15" s="377" t="s">
        <v>22</v>
      </c>
      <c r="D15" s="377" t="s">
        <v>32</v>
      </c>
      <c r="E15" s="377" t="s">
        <v>27</v>
      </c>
      <c r="F15" s="72"/>
      <c r="G15" s="23" t="s">
        <v>24</v>
      </c>
      <c r="H15" s="98"/>
      <c r="I15" s="49"/>
      <c r="J15" s="49"/>
      <c r="K15" s="50"/>
      <c r="L15" s="51"/>
      <c r="M15" s="50">
        <f t="shared" si="0"/>
        <v>0</v>
      </c>
      <c r="N15" s="50"/>
      <c r="O15" s="31"/>
      <c r="P15" s="99"/>
      <c r="Q15" s="26"/>
      <c r="R15" s="27"/>
      <c r="S15" s="26">
        <f t="shared" si="1"/>
        <v>0</v>
      </c>
      <c r="T15" s="26"/>
      <c r="U15" s="100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5.75" customHeight="1">
      <c r="A16" s="379"/>
      <c r="B16" s="380"/>
      <c r="C16" s="380"/>
      <c r="D16" s="380"/>
      <c r="E16" s="380"/>
      <c r="F16" s="221" t="s">
        <v>213</v>
      </c>
      <c r="G16" s="101" t="s">
        <v>28</v>
      </c>
      <c r="H16" s="112">
        <v>2</v>
      </c>
      <c r="I16" s="57"/>
      <c r="J16" s="57"/>
      <c r="K16" s="43"/>
      <c r="L16" s="44"/>
      <c r="M16" s="43">
        <f t="shared" si="0"/>
        <v>0</v>
      </c>
      <c r="N16" s="43"/>
      <c r="O16" s="45"/>
      <c r="P16" s="113">
        <v>4</v>
      </c>
      <c r="Q16" s="114">
        <v>5186.7</v>
      </c>
      <c r="R16" s="44"/>
      <c r="S16" s="43">
        <f t="shared" si="1"/>
        <v>7027.7</v>
      </c>
      <c r="T16" s="43"/>
      <c r="U16" s="222">
        <f>5106.7+1921</f>
        <v>7027.7</v>
      </c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>
      <c r="A17" s="372"/>
      <c r="B17" s="374" t="s">
        <v>33</v>
      </c>
      <c r="C17" s="374"/>
      <c r="D17" s="374"/>
      <c r="E17" s="374" t="s">
        <v>27</v>
      </c>
      <c r="F17" s="22"/>
      <c r="G17" s="23" t="s">
        <v>24</v>
      </c>
      <c r="H17" s="104"/>
      <c r="I17" s="25"/>
      <c r="J17" s="25"/>
      <c r="K17" s="26"/>
      <c r="L17" s="27"/>
      <c r="M17" s="26">
        <f t="shared" si="0"/>
        <v>0</v>
      </c>
      <c r="N17" s="26"/>
      <c r="O17" s="28"/>
      <c r="P17" s="29"/>
      <c r="Q17" s="30"/>
      <c r="R17" s="27"/>
      <c r="S17" s="26">
        <f t="shared" si="1"/>
        <v>0</v>
      </c>
      <c r="T17" s="26"/>
      <c r="U17" s="2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>
      <c r="A18" s="373"/>
      <c r="B18" s="375"/>
      <c r="C18" s="375"/>
      <c r="D18" s="375"/>
      <c r="E18" s="375"/>
      <c r="F18" s="105"/>
      <c r="G18" s="35" t="s">
        <v>28</v>
      </c>
      <c r="H18" s="106"/>
      <c r="I18" s="38"/>
      <c r="J18" s="38"/>
      <c r="K18" s="39"/>
      <c r="L18" s="40"/>
      <c r="M18" s="39">
        <f t="shared" si="0"/>
        <v>0</v>
      </c>
      <c r="N18" s="39"/>
      <c r="O18" s="41"/>
      <c r="P18" s="69"/>
      <c r="Q18" s="39"/>
      <c r="R18" s="40"/>
      <c r="S18" s="39">
        <f t="shared" si="1"/>
        <v>0</v>
      </c>
      <c r="T18" s="39"/>
      <c r="U18" s="41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382"/>
      <c r="B19" s="381" t="s">
        <v>34</v>
      </c>
      <c r="C19" s="381"/>
      <c r="D19" s="381"/>
      <c r="E19" s="381"/>
      <c r="F19" s="46"/>
      <c r="G19" s="47" t="s">
        <v>24</v>
      </c>
      <c r="H19" s="48">
        <v>4</v>
      </c>
      <c r="I19" s="49"/>
      <c r="J19" s="49"/>
      <c r="K19" s="50"/>
      <c r="L19" s="51"/>
      <c r="M19" s="50">
        <f t="shared" si="0"/>
        <v>0</v>
      </c>
      <c r="N19" s="50"/>
      <c r="O19" s="52"/>
      <c r="P19" s="108">
        <v>8</v>
      </c>
      <c r="Q19" s="65">
        <v>19392.3</v>
      </c>
      <c r="R19" s="51"/>
      <c r="S19" s="50">
        <f t="shared" si="1"/>
        <v>0</v>
      </c>
      <c r="T19" s="50"/>
      <c r="U19" s="109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>
      <c r="A20" s="373"/>
      <c r="B20" s="375"/>
      <c r="C20" s="375"/>
      <c r="D20" s="375"/>
      <c r="E20" s="375"/>
      <c r="F20" s="34"/>
      <c r="G20" s="35" t="s">
        <v>28</v>
      </c>
      <c r="H20" s="106"/>
      <c r="I20" s="38"/>
      <c r="J20" s="38"/>
      <c r="K20" s="39"/>
      <c r="L20" s="40"/>
      <c r="M20" s="39">
        <f t="shared" si="0"/>
        <v>0</v>
      </c>
      <c r="N20" s="39"/>
      <c r="O20" s="58"/>
      <c r="P20" s="59"/>
      <c r="Q20" s="39"/>
      <c r="R20" s="40"/>
      <c r="S20" s="39">
        <f t="shared" si="1"/>
        <v>0</v>
      </c>
      <c r="T20" s="39"/>
      <c r="U20" s="41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382"/>
      <c r="B21" s="381" t="s">
        <v>35</v>
      </c>
      <c r="C21" s="381" t="s">
        <v>39</v>
      </c>
      <c r="D21" s="381" t="s">
        <v>277</v>
      </c>
      <c r="E21" s="381" t="s">
        <v>37</v>
      </c>
      <c r="F21" s="223" t="s">
        <v>278</v>
      </c>
      <c r="G21" s="47" t="s">
        <v>24</v>
      </c>
      <c r="H21" s="48">
        <v>3</v>
      </c>
      <c r="I21" s="203">
        <v>1</v>
      </c>
      <c r="J21" s="203">
        <v>1</v>
      </c>
      <c r="K21" s="65">
        <v>633.92999999999995</v>
      </c>
      <c r="L21" s="51"/>
      <c r="M21" s="50">
        <f t="shared" si="0"/>
        <v>0</v>
      </c>
      <c r="N21" s="50"/>
      <c r="O21" s="31"/>
      <c r="P21" s="108">
        <v>5</v>
      </c>
      <c r="Q21" s="65">
        <v>7296.52</v>
      </c>
      <c r="R21" s="51"/>
      <c r="S21" s="50">
        <f t="shared" si="1"/>
        <v>1045.98</v>
      </c>
      <c r="T21" s="50"/>
      <c r="U21" s="225">
        <v>1045.98</v>
      </c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373"/>
      <c r="B22" s="375"/>
      <c r="C22" s="375"/>
      <c r="D22" s="375"/>
      <c r="E22" s="375"/>
      <c r="F22" s="34"/>
      <c r="G22" s="35" t="s">
        <v>28</v>
      </c>
      <c r="H22" s="153" t="s">
        <v>43</v>
      </c>
      <c r="I22" s="38"/>
      <c r="J22" s="38"/>
      <c r="K22" s="39"/>
      <c r="L22" s="40"/>
      <c r="M22" s="39">
        <f t="shared" si="0"/>
        <v>0</v>
      </c>
      <c r="N22" s="39"/>
      <c r="O22" s="41"/>
      <c r="P22" s="115">
        <v>1</v>
      </c>
      <c r="Q22" s="68">
        <v>2497.3000000000002</v>
      </c>
      <c r="R22" s="40"/>
      <c r="S22" s="39">
        <f t="shared" si="1"/>
        <v>0</v>
      </c>
      <c r="T22" s="39"/>
      <c r="U22" s="4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382"/>
      <c r="B23" s="381" t="s">
        <v>38</v>
      </c>
      <c r="C23" s="381" t="s">
        <v>39</v>
      </c>
      <c r="D23" s="381" t="s">
        <v>40</v>
      </c>
      <c r="E23" s="381" t="s">
        <v>41</v>
      </c>
      <c r="F23" s="223" t="s">
        <v>255</v>
      </c>
      <c r="G23" s="23" t="s">
        <v>24</v>
      </c>
      <c r="H23" s="48">
        <v>2</v>
      </c>
      <c r="I23" s="203">
        <v>1</v>
      </c>
      <c r="J23" s="203">
        <v>1</v>
      </c>
      <c r="K23" s="65">
        <v>760.72</v>
      </c>
      <c r="L23" s="51"/>
      <c r="M23" s="50">
        <f t="shared" si="0"/>
        <v>0</v>
      </c>
      <c r="N23" s="50"/>
      <c r="O23" s="31"/>
      <c r="P23" s="53">
        <v>13</v>
      </c>
      <c r="Q23" s="30">
        <v>20422.8</v>
      </c>
      <c r="R23" s="27"/>
      <c r="S23" s="26">
        <f t="shared" si="1"/>
        <v>3564.82</v>
      </c>
      <c r="T23" s="26"/>
      <c r="U23" s="243">
        <v>3564.82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373"/>
      <c r="B24" s="375"/>
      <c r="C24" s="375"/>
      <c r="D24" s="375"/>
      <c r="E24" s="375"/>
      <c r="F24" s="247"/>
      <c r="G24" s="227" t="s">
        <v>25</v>
      </c>
      <c r="H24" s="102"/>
      <c r="I24" s="57"/>
      <c r="J24" s="57"/>
      <c r="K24" s="43"/>
      <c r="L24" s="44"/>
      <c r="M24" s="43">
        <f t="shared" si="0"/>
        <v>0</v>
      </c>
      <c r="N24" s="43"/>
      <c r="O24" s="41"/>
      <c r="P24" s="59"/>
      <c r="Q24" s="39"/>
      <c r="R24" s="40"/>
      <c r="S24" s="39">
        <f t="shared" si="1"/>
        <v>0</v>
      </c>
      <c r="T24" s="39"/>
      <c r="U24" s="41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372"/>
      <c r="B25" s="374" t="s">
        <v>42</v>
      </c>
      <c r="C25" s="374" t="s">
        <v>22</v>
      </c>
      <c r="D25" s="374"/>
      <c r="E25" s="374" t="s">
        <v>27</v>
      </c>
      <c r="F25" s="204" t="s">
        <v>257</v>
      </c>
      <c r="G25" s="176" t="s">
        <v>24</v>
      </c>
      <c r="H25" s="61">
        <v>4</v>
      </c>
      <c r="I25" s="62">
        <v>3</v>
      </c>
      <c r="J25" s="62">
        <v>3</v>
      </c>
      <c r="K25" s="62">
        <v>2554.9299999999998</v>
      </c>
      <c r="L25" s="27"/>
      <c r="M25" s="26">
        <f t="shared" si="0"/>
        <v>0</v>
      </c>
      <c r="N25" s="26"/>
      <c r="O25" s="31"/>
      <c r="P25" s="53">
        <v>3</v>
      </c>
      <c r="Q25" s="30">
        <v>4222.78</v>
      </c>
      <c r="R25" s="27"/>
      <c r="S25" s="26">
        <f t="shared" si="1"/>
        <v>1979.72</v>
      </c>
      <c r="T25" s="26"/>
      <c r="U25" s="225">
        <v>1979.72</v>
      </c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373"/>
      <c r="B26" s="375"/>
      <c r="C26" s="375"/>
      <c r="D26" s="375"/>
      <c r="E26" s="375"/>
      <c r="F26" s="220" t="s">
        <v>214</v>
      </c>
      <c r="G26" s="229" t="s">
        <v>28</v>
      </c>
      <c r="H26" s="117">
        <v>1</v>
      </c>
      <c r="I26" s="38"/>
      <c r="J26" s="38"/>
      <c r="K26" s="39"/>
      <c r="L26" s="40"/>
      <c r="M26" s="39">
        <f t="shared" si="0"/>
        <v>0</v>
      </c>
      <c r="N26" s="39"/>
      <c r="O26" s="41"/>
      <c r="P26" s="115">
        <v>1</v>
      </c>
      <c r="Q26" s="68">
        <v>1921</v>
      </c>
      <c r="R26" s="40"/>
      <c r="S26" s="39">
        <f t="shared" si="1"/>
        <v>0</v>
      </c>
      <c r="T26" s="39"/>
      <c r="U26" s="45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376"/>
      <c r="B27" s="377" t="s">
        <v>44</v>
      </c>
      <c r="C27" s="377" t="s">
        <v>39</v>
      </c>
      <c r="D27" s="377" t="s">
        <v>258</v>
      </c>
      <c r="E27" s="377" t="s">
        <v>27</v>
      </c>
      <c r="F27" s="232" t="s">
        <v>259</v>
      </c>
      <c r="G27" s="95" t="s">
        <v>24</v>
      </c>
      <c r="H27" s="48">
        <v>7</v>
      </c>
      <c r="I27" s="203">
        <v>3</v>
      </c>
      <c r="J27" s="203">
        <v>4</v>
      </c>
      <c r="K27" s="65">
        <v>6668.56</v>
      </c>
      <c r="L27" s="51"/>
      <c r="M27" s="50">
        <f t="shared" si="0"/>
        <v>0</v>
      </c>
      <c r="N27" s="50"/>
      <c r="O27" s="31"/>
      <c r="P27" s="53">
        <v>10</v>
      </c>
      <c r="Q27" s="30">
        <v>15426.2</v>
      </c>
      <c r="R27" s="205">
        <v>4</v>
      </c>
      <c r="S27" s="26">
        <f t="shared" si="1"/>
        <v>6437.97</v>
      </c>
      <c r="T27" s="30">
        <v>6437.97</v>
      </c>
      <c r="U27" s="100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379"/>
      <c r="B28" s="380"/>
      <c r="C28" s="380"/>
      <c r="D28" s="380"/>
      <c r="E28" s="380"/>
      <c r="F28" s="221" t="s">
        <v>216</v>
      </c>
      <c r="G28" s="55" t="s">
        <v>28</v>
      </c>
      <c r="H28" s="116"/>
      <c r="I28" s="57"/>
      <c r="J28" s="57"/>
      <c r="K28" s="43"/>
      <c r="L28" s="44"/>
      <c r="M28" s="43">
        <f t="shared" si="0"/>
        <v>0</v>
      </c>
      <c r="N28" s="43"/>
      <c r="O28" s="41"/>
      <c r="P28" s="115">
        <v>1</v>
      </c>
      <c r="Q28" s="68">
        <v>960.5</v>
      </c>
      <c r="R28" s="40"/>
      <c r="S28" s="39">
        <f t="shared" si="1"/>
        <v>4302</v>
      </c>
      <c r="T28" s="39"/>
      <c r="U28" s="41">
        <f>4302</f>
        <v>4302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372"/>
      <c r="B29" s="374" t="s">
        <v>45</v>
      </c>
      <c r="C29" s="374" t="s">
        <v>46</v>
      </c>
      <c r="D29" s="374" t="s">
        <v>47</v>
      </c>
      <c r="E29" s="374" t="s">
        <v>27</v>
      </c>
      <c r="F29" s="60"/>
      <c r="G29" s="23" t="s">
        <v>24</v>
      </c>
      <c r="H29" s="107"/>
      <c r="I29" s="25"/>
      <c r="J29" s="25"/>
      <c r="K29" s="26"/>
      <c r="L29" s="27"/>
      <c r="M29" s="26">
        <f t="shared" si="0"/>
        <v>0</v>
      </c>
      <c r="N29" s="26"/>
      <c r="O29" s="31"/>
      <c r="P29" s="53">
        <v>1</v>
      </c>
      <c r="Q29" s="30">
        <v>2497.3000000000002</v>
      </c>
      <c r="R29" s="27"/>
      <c r="S29" s="26">
        <f t="shared" si="1"/>
        <v>0</v>
      </c>
      <c r="T29" s="26"/>
      <c r="U29" s="100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8.75" customHeight="1">
      <c r="A30" s="373"/>
      <c r="B30" s="375"/>
      <c r="C30" s="375"/>
      <c r="D30" s="375"/>
      <c r="E30" s="375"/>
      <c r="F30" s="221" t="s">
        <v>217</v>
      </c>
      <c r="G30" s="55" t="s">
        <v>28</v>
      </c>
      <c r="H30" s="56">
        <v>4</v>
      </c>
      <c r="I30" s="130">
        <v>1</v>
      </c>
      <c r="J30" s="130">
        <v>1</v>
      </c>
      <c r="K30" s="114">
        <v>1921</v>
      </c>
      <c r="L30" s="44"/>
      <c r="M30" s="43">
        <f t="shared" si="0"/>
        <v>0</v>
      </c>
      <c r="N30" s="43"/>
      <c r="O30" s="45"/>
      <c r="P30" s="113">
        <v>2</v>
      </c>
      <c r="Q30" s="114">
        <v>6531.4</v>
      </c>
      <c r="R30" s="44"/>
      <c r="S30" s="43">
        <f t="shared" si="1"/>
        <v>14247.380000000001</v>
      </c>
      <c r="T30" s="43"/>
      <c r="U30" s="222">
        <f>6563.38+7684</f>
        <v>14247.380000000001</v>
      </c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6.5" customHeight="1">
      <c r="A31" s="372"/>
      <c r="B31" s="374" t="s">
        <v>48</v>
      </c>
      <c r="C31" s="374"/>
      <c r="D31" s="374"/>
      <c r="E31" s="374"/>
      <c r="F31" s="22"/>
      <c r="G31" s="23" t="s">
        <v>24</v>
      </c>
      <c r="H31" s="119"/>
      <c r="I31" s="25"/>
      <c r="J31" s="25"/>
      <c r="K31" s="26"/>
      <c r="L31" s="27"/>
      <c r="M31" s="26">
        <f t="shared" si="0"/>
        <v>0</v>
      </c>
      <c r="N31" s="26"/>
      <c r="O31" s="28"/>
      <c r="P31" s="120"/>
      <c r="Q31" s="26"/>
      <c r="R31" s="27"/>
      <c r="S31" s="26">
        <f t="shared" si="1"/>
        <v>0</v>
      </c>
      <c r="T31" s="26"/>
      <c r="U31" s="2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6.5" customHeight="1">
      <c r="A32" s="373"/>
      <c r="B32" s="375"/>
      <c r="C32" s="375"/>
      <c r="D32" s="375"/>
      <c r="E32" s="375"/>
      <c r="F32" s="105"/>
      <c r="G32" s="35" t="s">
        <v>28</v>
      </c>
      <c r="H32" s="36"/>
      <c r="I32" s="38"/>
      <c r="J32" s="38"/>
      <c r="K32" s="39"/>
      <c r="L32" s="40"/>
      <c r="M32" s="39">
        <f t="shared" si="0"/>
        <v>0</v>
      </c>
      <c r="N32" s="39"/>
      <c r="O32" s="41"/>
      <c r="P32" s="69"/>
      <c r="Q32" s="39"/>
      <c r="R32" s="40"/>
      <c r="S32" s="39">
        <f t="shared" si="1"/>
        <v>0</v>
      </c>
      <c r="T32" s="39"/>
      <c r="U32" s="41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6.5" customHeight="1">
      <c r="A33" s="382"/>
      <c r="B33" s="381" t="s">
        <v>49</v>
      </c>
      <c r="C33" s="381" t="s">
        <v>22</v>
      </c>
      <c r="D33" s="381"/>
      <c r="E33" s="381" t="s">
        <v>50</v>
      </c>
      <c r="F33" s="223" t="s">
        <v>279</v>
      </c>
      <c r="G33" s="47" t="s">
        <v>24</v>
      </c>
      <c r="H33" s="151">
        <v>3</v>
      </c>
      <c r="I33" s="203">
        <v>2</v>
      </c>
      <c r="J33" s="203">
        <v>2</v>
      </c>
      <c r="K33" s="65">
        <v>2091.96</v>
      </c>
      <c r="L33" s="51"/>
      <c r="M33" s="50">
        <f t="shared" si="0"/>
        <v>0</v>
      </c>
      <c r="N33" s="50"/>
      <c r="O33" s="31"/>
      <c r="P33" s="108">
        <v>8</v>
      </c>
      <c r="Q33" s="65">
        <v>22873.08</v>
      </c>
      <c r="R33" s="51"/>
      <c r="S33" s="50">
        <f t="shared" si="1"/>
        <v>19258.7</v>
      </c>
      <c r="T33" s="50"/>
      <c r="U33" s="225">
        <v>19258.7</v>
      </c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6.5" customHeight="1">
      <c r="A34" s="373"/>
      <c r="B34" s="375"/>
      <c r="C34" s="375"/>
      <c r="D34" s="375"/>
      <c r="E34" s="375"/>
      <c r="F34" s="54"/>
      <c r="G34" s="55" t="s">
        <v>25</v>
      </c>
      <c r="H34" s="121">
        <v>6</v>
      </c>
      <c r="I34" s="130">
        <v>1</v>
      </c>
      <c r="J34" s="130">
        <v>1</v>
      </c>
      <c r="K34" s="114">
        <v>2497.3000000000002</v>
      </c>
      <c r="L34" s="44"/>
      <c r="M34" s="43">
        <f t="shared" si="0"/>
        <v>0</v>
      </c>
      <c r="N34" s="43"/>
      <c r="O34" s="45"/>
      <c r="P34" s="113">
        <v>2</v>
      </c>
      <c r="Q34" s="114">
        <v>2593.35</v>
      </c>
      <c r="R34" s="44"/>
      <c r="S34" s="43">
        <f t="shared" si="1"/>
        <v>0</v>
      </c>
      <c r="T34" s="43"/>
      <c r="U34" s="4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6.5" customHeight="1">
      <c r="A35" s="372"/>
      <c r="B35" s="381" t="s">
        <v>51</v>
      </c>
      <c r="C35" s="374"/>
      <c r="D35" s="374"/>
      <c r="E35" s="374"/>
      <c r="F35" s="22"/>
      <c r="G35" s="23" t="s">
        <v>24</v>
      </c>
      <c r="H35" s="119"/>
      <c r="I35" s="25"/>
      <c r="J35" s="25"/>
      <c r="K35" s="26"/>
      <c r="L35" s="27"/>
      <c r="M35" s="26">
        <f t="shared" si="0"/>
        <v>0</v>
      </c>
      <c r="N35" s="26"/>
      <c r="O35" s="28"/>
      <c r="P35" s="29">
        <v>2</v>
      </c>
      <c r="Q35" s="30">
        <v>2689.4</v>
      </c>
      <c r="R35" s="27"/>
      <c r="S35" s="26">
        <f t="shared" si="1"/>
        <v>0</v>
      </c>
      <c r="T35" s="26"/>
      <c r="U35" s="2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6.5" customHeight="1">
      <c r="A36" s="373"/>
      <c r="B36" s="375"/>
      <c r="C36" s="375"/>
      <c r="D36" s="375"/>
      <c r="E36" s="375"/>
      <c r="F36" s="105"/>
      <c r="G36" s="35" t="s">
        <v>28</v>
      </c>
      <c r="H36" s="36"/>
      <c r="I36" s="38"/>
      <c r="J36" s="38"/>
      <c r="K36" s="39"/>
      <c r="L36" s="40"/>
      <c r="M36" s="39">
        <f t="shared" si="0"/>
        <v>0</v>
      </c>
      <c r="N36" s="39"/>
      <c r="O36" s="41"/>
      <c r="P36" s="69"/>
      <c r="Q36" s="39"/>
      <c r="R36" s="40"/>
      <c r="S36" s="39">
        <f t="shared" si="1"/>
        <v>0</v>
      </c>
      <c r="T36" s="39"/>
      <c r="U36" s="41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6.5" customHeight="1">
      <c r="A37" s="382"/>
      <c r="B37" s="381" t="s">
        <v>52</v>
      </c>
      <c r="C37" s="381" t="s">
        <v>39</v>
      </c>
      <c r="D37" s="381" t="s">
        <v>219</v>
      </c>
      <c r="E37" s="381" t="s">
        <v>65</v>
      </c>
      <c r="F37" s="223" t="s">
        <v>220</v>
      </c>
      <c r="G37" s="47" t="s">
        <v>24</v>
      </c>
      <c r="H37" s="151">
        <v>1</v>
      </c>
      <c r="I37" s="203">
        <v>1</v>
      </c>
      <c r="J37" s="203">
        <v>1</v>
      </c>
      <c r="K37" s="65">
        <v>768.4</v>
      </c>
      <c r="L37" s="51"/>
      <c r="M37" s="50">
        <f t="shared" si="0"/>
        <v>0</v>
      </c>
      <c r="N37" s="50"/>
      <c r="O37" s="31"/>
      <c r="P37" s="64">
        <v>4</v>
      </c>
      <c r="Q37" s="65">
        <v>15058.68</v>
      </c>
      <c r="R37" s="224">
        <v>1</v>
      </c>
      <c r="S37" s="50">
        <f t="shared" si="1"/>
        <v>3647.94</v>
      </c>
      <c r="T37" s="65">
        <v>1893.47</v>
      </c>
      <c r="U37" s="225">
        <v>1754.47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6.5" customHeight="1">
      <c r="A38" s="373"/>
      <c r="B38" s="375"/>
      <c r="C38" s="375"/>
      <c r="D38" s="375"/>
      <c r="E38" s="375"/>
      <c r="F38" s="220" t="s">
        <v>221</v>
      </c>
      <c r="G38" s="35" t="s">
        <v>28</v>
      </c>
      <c r="H38" s="66">
        <v>3</v>
      </c>
      <c r="I38" s="37">
        <v>1</v>
      </c>
      <c r="J38" s="37">
        <v>1</v>
      </c>
      <c r="K38" s="68">
        <v>1152.5999999999999</v>
      </c>
      <c r="L38" s="40"/>
      <c r="M38" s="39">
        <f t="shared" si="0"/>
        <v>0</v>
      </c>
      <c r="N38" s="39"/>
      <c r="O38" s="41"/>
      <c r="P38" s="67">
        <v>2</v>
      </c>
      <c r="Q38" s="68">
        <v>9182.3799999999992</v>
      </c>
      <c r="R38" s="40"/>
      <c r="S38" s="39">
        <f t="shared" si="1"/>
        <v>0</v>
      </c>
      <c r="T38" s="39"/>
      <c r="U38" s="41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6.5" customHeight="1">
      <c r="A39" s="382"/>
      <c r="B39" s="381" t="s">
        <v>53</v>
      </c>
      <c r="C39" s="381" t="s">
        <v>46</v>
      </c>
      <c r="D39" s="381" t="s">
        <v>54</v>
      </c>
      <c r="E39" s="381" t="s">
        <v>55</v>
      </c>
      <c r="F39" s="46"/>
      <c r="G39" s="47" t="s">
        <v>24</v>
      </c>
      <c r="H39" s="98"/>
      <c r="I39" s="49"/>
      <c r="J39" s="49"/>
      <c r="K39" s="50"/>
      <c r="L39" s="51"/>
      <c r="M39" s="50">
        <f t="shared" si="0"/>
        <v>0</v>
      </c>
      <c r="N39" s="50"/>
      <c r="O39" s="31"/>
      <c r="P39" s="123"/>
      <c r="Q39" s="50"/>
      <c r="R39" s="51"/>
      <c r="S39" s="50">
        <f t="shared" si="1"/>
        <v>0</v>
      </c>
      <c r="T39" s="50"/>
      <c r="U39" s="31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6.5" customHeight="1">
      <c r="A40" s="373"/>
      <c r="B40" s="375"/>
      <c r="C40" s="375"/>
      <c r="D40" s="375"/>
      <c r="E40" s="375"/>
      <c r="F40" s="105"/>
      <c r="G40" s="35" t="s">
        <v>25</v>
      </c>
      <c r="H40" s="116"/>
      <c r="I40" s="38"/>
      <c r="J40" s="38"/>
      <c r="K40" s="39"/>
      <c r="L40" s="40"/>
      <c r="M40" s="39">
        <f t="shared" si="0"/>
        <v>0</v>
      </c>
      <c r="N40" s="39"/>
      <c r="O40" s="41"/>
      <c r="P40" s="59"/>
      <c r="Q40" s="39"/>
      <c r="R40" s="40"/>
      <c r="S40" s="39">
        <f t="shared" si="1"/>
        <v>0</v>
      </c>
      <c r="T40" s="39"/>
      <c r="U40" s="45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382"/>
      <c r="B41" s="381" t="s">
        <v>56</v>
      </c>
      <c r="C41" s="381" t="s">
        <v>39</v>
      </c>
      <c r="D41" s="381" t="s">
        <v>281</v>
      </c>
      <c r="E41" s="381" t="s">
        <v>58</v>
      </c>
      <c r="F41" s="223" t="s">
        <v>283</v>
      </c>
      <c r="G41" s="23" t="s">
        <v>24</v>
      </c>
      <c r="H41" s="107"/>
      <c r="I41" s="49"/>
      <c r="J41" s="49"/>
      <c r="K41" s="50"/>
      <c r="L41" s="51"/>
      <c r="M41" s="50">
        <f t="shared" si="0"/>
        <v>0</v>
      </c>
      <c r="N41" s="50"/>
      <c r="O41" s="31"/>
      <c r="P41" s="53">
        <v>3</v>
      </c>
      <c r="Q41" s="30">
        <v>4264.95</v>
      </c>
      <c r="R41" s="27"/>
      <c r="S41" s="26">
        <f t="shared" si="1"/>
        <v>2055.75</v>
      </c>
      <c r="T41" s="26"/>
      <c r="U41" s="243">
        <v>2055.75</v>
      </c>
      <c r="V41" s="4"/>
      <c r="W41" s="124"/>
      <c r="X41" s="124"/>
      <c r="Y41" s="124"/>
      <c r="Z41" s="124"/>
      <c r="AA41" s="124"/>
      <c r="AB41" s="124"/>
      <c r="AC41" s="124"/>
      <c r="AD41" s="124"/>
      <c r="AE41" s="124"/>
      <c r="AF41" s="125"/>
    </row>
    <row r="42" spans="1:32" ht="15.75" customHeight="1">
      <c r="A42" s="373"/>
      <c r="B42" s="375"/>
      <c r="C42" s="375"/>
      <c r="D42" s="375"/>
      <c r="E42" s="375"/>
      <c r="F42" s="34"/>
      <c r="G42" s="35" t="s">
        <v>28</v>
      </c>
      <c r="H42" s="116"/>
      <c r="I42" s="38"/>
      <c r="J42" s="38"/>
      <c r="K42" s="39"/>
      <c r="L42" s="40"/>
      <c r="M42" s="39">
        <f t="shared" si="0"/>
        <v>0</v>
      </c>
      <c r="N42" s="39"/>
      <c r="O42" s="41"/>
      <c r="P42" s="103"/>
      <c r="Q42" s="43"/>
      <c r="R42" s="44"/>
      <c r="S42" s="43">
        <f t="shared" si="1"/>
        <v>0</v>
      </c>
      <c r="T42" s="43"/>
      <c r="U42" s="45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382"/>
      <c r="B43" s="381" t="s">
        <v>59</v>
      </c>
      <c r="C43" s="381" t="s">
        <v>22</v>
      </c>
      <c r="D43" s="381"/>
      <c r="E43" s="381" t="s">
        <v>27</v>
      </c>
      <c r="F43" s="223" t="s">
        <v>261</v>
      </c>
      <c r="G43" s="23" t="s">
        <v>24</v>
      </c>
      <c r="H43" s="48">
        <v>5</v>
      </c>
      <c r="I43" s="203">
        <v>2</v>
      </c>
      <c r="J43" s="203">
        <v>2</v>
      </c>
      <c r="K43" s="65">
        <v>1537</v>
      </c>
      <c r="L43" s="51"/>
      <c r="M43" s="50">
        <f t="shared" si="0"/>
        <v>0</v>
      </c>
      <c r="N43" s="50"/>
      <c r="O43" s="52"/>
      <c r="P43" s="53">
        <v>17</v>
      </c>
      <c r="Q43" s="30">
        <v>66697.78</v>
      </c>
      <c r="R43" s="27"/>
      <c r="S43" s="26">
        <f t="shared" si="1"/>
        <v>44991.43</v>
      </c>
      <c r="T43" s="26"/>
      <c r="U43" s="241">
        <v>44991.43</v>
      </c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379"/>
      <c r="B44" s="380"/>
      <c r="C44" s="380"/>
      <c r="D44" s="380"/>
      <c r="E44" s="380"/>
      <c r="F44" s="126"/>
      <c r="G44" s="55" t="s">
        <v>28</v>
      </c>
      <c r="H44" s="116"/>
      <c r="I44" s="57"/>
      <c r="J44" s="57"/>
      <c r="K44" s="43"/>
      <c r="L44" s="44"/>
      <c r="M44" s="43">
        <f t="shared" si="0"/>
        <v>0</v>
      </c>
      <c r="N44" s="43"/>
      <c r="O44" s="58"/>
      <c r="P44" s="59"/>
      <c r="Q44" s="39"/>
      <c r="R44" s="40"/>
      <c r="S44" s="39">
        <f t="shared" si="1"/>
        <v>0</v>
      </c>
      <c r="T44" s="39"/>
      <c r="U44" s="41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372"/>
      <c r="B45" s="374" t="s">
        <v>60</v>
      </c>
      <c r="C45" s="374" t="s">
        <v>22</v>
      </c>
      <c r="D45" s="374" t="s">
        <v>61</v>
      </c>
      <c r="E45" s="383" t="s">
        <v>27</v>
      </c>
      <c r="F45" s="60"/>
      <c r="G45" s="23" t="s">
        <v>24</v>
      </c>
      <c r="H45" s="107"/>
      <c r="I45" s="25"/>
      <c r="J45" s="25"/>
      <c r="K45" s="26"/>
      <c r="L45" s="27"/>
      <c r="M45" s="26">
        <f t="shared" si="0"/>
        <v>0</v>
      </c>
      <c r="N45" s="26"/>
      <c r="O45" s="52"/>
      <c r="P45" s="123"/>
      <c r="Q45" s="50"/>
      <c r="R45" s="51"/>
      <c r="S45" s="50">
        <f t="shared" si="1"/>
        <v>0</v>
      </c>
      <c r="T45" s="50"/>
      <c r="U45" s="109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379"/>
      <c r="B46" s="380"/>
      <c r="C46" s="380"/>
      <c r="D46" s="380"/>
      <c r="E46" s="384"/>
      <c r="F46" s="54"/>
      <c r="G46" s="55" t="s">
        <v>28</v>
      </c>
      <c r="H46" s="102"/>
      <c r="I46" s="57"/>
      <c r="J46" s="57"/>
      <c r="K46" s="43"/>
      <c r="L46" s="44"/>
      <c r="M46" s="43">
        <f t="shared" si="0"/>
        <v>0</v>
      </c>
      <c r="N46" s="43"/>
      <c r="O46" s="58"/>
      <c r="P46" s="59"/>
      <c r="Q46" s="39"/>
      <c r="R46" s="40"/>
      <c r="S46" s="39">
        <f t="shared" si="1"/>
        <v>0</v>
      </c>
      <c r="T46" s="39"/>
      <c r="U46" s="41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372"/>
      <c r="B47" s="374" t="s">
        <v>62</v>
      </c>
      <c r="C47" s="374" t="s">
        <v>22</v>
      </c>
      <c r="D47" s="374" t="s">
        <v>63</v>
      </c>
      <c r="E47" s="374" t="s">
        <v>27</v>
      </c>
      <c r="F47" s="22"/>
      <c r="G47" s="23" t="s">
        <v>24</v>
      </c>
      <c r="H47" s="24">
        <v>2</v>
      </c>
      <c r="I47" s="25"/>
      <c r="J47" s="25"/>
      <c r="K47" s="26"/>
      <c r="L47" s="27"/>
      <c r="M47" s="26">
        <f t="shared" si="0"/>
        <v>0</v>
      </c>
      <c r="N47" s="26"/>
      <c r="O47" s="31"/>
      <c r="P47" s="108">
        <v>2</v>
      </c>
      <c r="Q47" s="65">
        <v>3734.91</v>
      </c>
      <c r="R47" s="51"/>
      <c r="S47" s="50">
        <f t="shared" si="1"/>
        <v>0</v>
      </c>
      <c r="T47" s="50"/>
      <c r="U47" s="31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373"/>
      <c r="B48" s="375"/>
      <c r="C48" s="375"/>
      <c r="D48" s="375"/>
      <c r="E48" s="375"/>
      <c r="F48" s="34"/>
      <c r="G48" s="35" t="s">
        <v>28</v>
      </c>
      <c r="H48" s="66">
        <v>2</v>
      </c>
      <c r="I48" s="38"/>
      <c r="J48" s="38"/>
      <c r="K48" s="39"/>
      <c r="L48" s="40"/>
      <c r="M48" s="39">
        <f t="shared" si="0"/>
        <v>0</v>
      </c>
      <c r="N48" s="39"/>
      <c r="O48" s="41"/>
      <c r="P48" s="115">
        <v>3</v>
      </c>
      <c r="Q48" s="68">
        <v>4105.8999999999996</v>
      </c>
      <c r="R48" s="40"/>
      <c r="S48" s="39">
        <f t="shared" si="1"/>
        <v>2209.1999999999998</v>
      </c>
      <c r="T48" s="39"/>
      <c r="U48" s="41">
        <f>2209.2</f>
        <v>2209.1999999999998</v>
      </c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382"/>
      <c r="B49" s="381" t="s">
        <v>64</v>
      </c>
      <c r="C49" s="381" t="s">
        <v>22</v>
      </c>
      <c r="D49" s="385"/>
      <c r="E49" s="381" t="s">
        <v>65</v>
      </c>
      <c r="F49" s="46"/>
      <c r="G49" s="23" t="s">
        <v>24</v>
      </c>
      <c r="H49" s="98"/>
      <c r="I49" s="49"/>
      <c r="J49" s="49"/>
      <c r="K49" s="50"/>
      <c r="L49" s="51"/>
      <c r="M49" s="50">
        <f t="shared" si="0"/>
        <v>0</v>
      </c>
      <c r="N49" s="50"/>
      <c r="O49" s="31"/>
      <c r="P49" s="123"/>
      <c r="Q49" s="50"/>
      <c r="R49" s="51"/>
      <c r="S49" s="50">
        <f t="shared" si="1"/>
        <v>0</v>
      </c>
      <c r="T49" s="50"/>
      <c r="U49" s="3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373"/>
      <c r="B50" s="375"/>
      <c r="C50" s="375"/>
      <c r="D50" s="375"/>
      <c r="E50" s="375"/>
      <c r="F50" s="226"/>
      <c r="G50" s="227" t="s">
        <v>28</v>
      </c>
      <c r="H50" s="116"/>
      <c r="I50" s="38"/>
      <c r="J50" s="38"/>
      <c r="K50" s="39"/>
      <c r="L50" s="40"/>
      <c r="M50" s="39">
        <f t="shared" si="0"/>
        <v>0</v>
      </c>
      <c r="N50" s="39"/>
      <c r="O50" s="41"/>
      <c r="P50" s="59"/>
      <c r="Q50" s="39"/>
      <c r="R50" s="40"/>
      <c r="S50" s="39">
        <f t="shared" si="1"/>
        <v>0</v>
      </c>
      <c r="T50" s="39"/>
      <c r="U50" s="45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372"/>
      <c r="B51" s="374" t="s">
        <v>66</v>
      </c>
      <c r="C51" s="374" t="s">
        <v>22</v>
      </c>
      <c r="D51" s="374"/>
      <c r="E51" s="374" t="s">
        <v>67</v>
      </c>
      <c r="F51" s="22"/>
      <c r="G51" s="176" t="s">
        <v>24</v>
      </c>
      <c r="H51" s="228"/>
      <c r="I51" s="49"/>
      <c r="J51" s="49"/>
      <c r="K51" s="50"/>
      <c r="L51" s="51"/>
      <c r="M51" s="50">
        <f t="shared" si="0"/>
        <v>0</v>
      </c>
      <c r="N51" s="50"/>
      <c r="O51" s="31"/>
      <c r="P51" s="53">
        <v>1</v>
      </c>
      <c r="Q51" s="30">
        <v>1854.88</v>
      </c>
      <c r="R51" s="27"/>
      <c r="S51" s="26">
        <f t="shared" si="1"/>
        <v>0</v>
      </c>
      <c r="T51" s="26"/>
      <c r="U51" s="100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373"/>
      <c r="B52" s="375"/>
      <c r="C52" s="375"/>
      <c r="D52" s="375"/>
      <c r="E52" s="375"/>
      <c r="F52" s="105"/>
      <c r="G52" s="229" t="s">
        <v>28</v>
      </c>
      <c r="H52" s="230"/>
      <c r="I52" s="57"/>
      <c r="J52" s="57"/>
      <c r="K52" s="43"/>
      <c r="L52" s="44"/>
      <c r="M52" s="43">
        <f t="shared" si="0"/>
        <v>0</v>
      </c>
      <c r="N52" s="43"/>
      <c r="O52" s="41"/>
      <c r="P52" s="59"/>
      <c r="Q52" s="39"/>
      <c r="R52" s="40"/>
      <c r="S52" s="39">
        <f t="shared" si="1"/>
        <v>0</v>
      </c>
      <c r="T52" s="39"/>
      <c r="U52" s="41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376"/>
      <c r="B53" s="377" t="s">
        <v>68</v>
      </c>
      <c r="C53" s="377" t="s">
        <v>39</v>
      </c>
      <c r="D53" s="377" t="s">
        <v>69</v>
      </c>
      <c r="E53" s="377" t="s">
        <v>65</v>
      </c>
      <c r="F53" s="223" t="s">
        <v>263</v>
      </c>
      <c r="G53" s="95" t="s">
        <v>24</v>
      </c>
      <c r="H53" s="61">
        <v>5</v>
      </c>
      <c r="I53" s="62">
        <v>5</v>
      </c>
      <c r="J53" s="62">
        <v>5</v>
      </c>
      <c r="K53" s="30">
        <v>10100.629999999999</v>
      </c>
      <c r="L53" s="27"/>
      <c r="M53" s="26">
        <f t="shared" si="0"/>
        <v>0</v>
      </c>
      <c r="N53" s="26"/>
      <c r="O53" s="31"/>
      <c r="P53" s="53">
        <v>3</v>
      </c>
      <c r="Q53" s="30">
        <v>22072.07</v>
      </c>
      <c r="R53" s="205">
        <v>1</v>
      </c>
      <c r="S53" s="26">
        <f t="shared" si="1"/>
        <v>1997.49</v>
      </c>
      <c r="T53" s="30">
        <v>1997.49</v>
      </c>
      <c r="U53" s="225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373"/>
      <c r="B54" s="375"/>
      <c r="C54" s="375"/>
      <c r="D54" s="375"/>
      <c r="E54" s="375"/>
      <c r="F54" s="232" t="s">
        <v>222</v>
      </c>
      <c r="G54" s="35" t="s">
        <v>28</v>
      </c>
      <c r="H54" s="117">
        <v>2</v>
      </c>
      <c r="I54" s="38"/>
      <c r="J54" s="38"/>
      <c r="K54" s="39"/>
      <c r="L54" s="40"/>
      <c r="M54" s="39">
        <f t="shared" si="0"/>
        <v>0</v>
      </c>
      <c r="N54" s="39"/>
      <c r="O54" s="41"/>
      <c r="P54" s="59"/>
      <c r="Q54" s="39"/>
      <c r="R54" s="40"/>
      <c r="S54" s="39">
        <f t="shared" si="1"/>
        <v>0</v>
      </c>
      <c r="T54" s="39"/>
      <c r="U54" s="45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382"/>
      <c r="B55" s="381" t="s">
        <v>70</v>
      </c>
      <c r="C55" s="381" t="s">
        <v>39</v>
      </c>
      <c r="D55" s="381" t="s">
        <v>284</v>
      </c>
      <c r="E55" s="381" t="s">
        <v>55</v>
      </c>
      <c r="F55" s="223" t="s">
        <v>285</v>
      </c>
      <c r="G55" s="47" t="s">
        <v>24</v>
      </c>
      <c r="H55" s="48">
        <v>6</v>
      </c>
      <c r="I55" s="203">
        <v>1</v>
      </c>
      <c r="J55" s="203">
        <v>1</v>
      </c>
      <c r="K55" s="65">
        <v>678.11</v>
      </c>
      <c r="L55" s="51"/>
      <c r="M55" s="50">
        <f t="shared" si="0"/>
        <v>0</v>
      </c>
      <c r="N55" s="50"/>
      <c r="O55" s="31"/>
      <c r="P55" s="53">
        <v>27</v>
      </c>
      <c r="Q55" s="30">
        <v>54341.79</v>
      </c>
      <c r="R55" s="27"/>
      <c r="S55" s="26">
        <f t="shared" si="1"/>
        <v>26448.86</v>
      </c>
      <c r="T55" s="26"/>
      <c r="U55" s="243">
        <v>26448.86</v>
      </c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373"/>
      <c r="B56" s="375"/>
      <c r="C56" s="375"/>
      <c r="D56" s="375"/>
      <c r="E56" s="375"/>
      <c r="F56" s="105"/>
      <c r="G56" s="35" t="s">
        <v>25</v>
      </c>
      <c r="H56" s="116"/>
      <c r="I56" s="38"/>
      <c r="J56" s="38"/>
      <c r="K56" s="39"/>
      <c r="L56" s="40"/>
      <c r="M56" s="39">
        <f t="shared" si="0"/>
        <v>0</v>
      </c>
      <c r="N56" s="39"/>
      <c r="O56" s="41"/>
      <c r="P56" s="59"/>
      <c r="Q56" s="39"/>
      <c r="R56" s="40"/>
      <c r="S56" s="39">
        <f t="shared" si="1"/>
        <v>0</v>
      </c>
      <c r="T56" s="39"/>
      <c r="U56" s="41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382"/>
      <c r="B57" s="381" t="s">
        <v>72</v>
      </c>
      <c r="C57" s="381" t="s">
        <v>22</v>
      </c>
      <c r="D57" s="381"/>
      <c r="E57" s="381" t="s">
        <v>27</v>
      </c>
      <c r="F57" s="127"/>
      <c r="G57" s="23" t="s">
        <v>24</v>
      </c>
      <c r="H57" s="151">
        <v>2</v>
      </c>
      <c r="I57" s="203">
        <v>1</v>
      </c>
      <c r="J57" s="203">
        <v>1</v>
      </c>
      <c r="K57" s="65">
        <v>768.4</v>
      </c>
      <c r="L57" s="51"/>
      <c r="M57" s="50">
        <f t="shared" si="0"/>
        <v>0</v>
      </c>
      <c r="N57" s="50"/>
      <c r="O57" s="31"/>
      <c r="P57" s="108">
        <v>3</v>
      </c>
      <c r="Q57" s="65">
        <v>3362.45</v>
      </c>
      <c r="R57" s="51"/>
      <c r="S57" s="50">
        <f t="shared" si="1"/>
        <v>0</v>
      </c>
      <c r="T57" s="50"/>
      <c r="U57" s="31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379"/>
      <c r="B58" s="380"/>
      <c r="C58" s="380"/>
      <c r="D58" s="380"/>
      <c r="E58" s="380"/>
      <c r="F58" s="233" t="s">
        <v>223</v>
      </c>
      <c r="G58" s="227" t="s">
        <v>28</v>
      </c>
      <c r="H58" s="112">
        <v>2</v>
      </c>
      <c r="I58" s="57"/>
      <c r="J58" s="57"/>
      <c r="K58" s="43"/>
      <c r="L58" s="128"/>
      <c r="M58" s="129">
        <f t="shared" si="0"/>
        <v>0</v>
      </c>
      <c r="N58" s="43"/>
      <c r="O58" s="45"/>
      <c r="P58" s="103"/>
      <c r="Q58" s="43"/>
      <c r="R58" s="128"/>
      <c r="S58" s="129">
        <f t="shared" si="1"/>
        <v>0</v>
      </c>
      <c r="T58" s="43"/>
      <c r="U58" s="45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372"/>
      <c r="B59" s="374" t="s">
        <v>73</v>
      </c>
      <c r="C59" s="374" t="s">
        <v>22</v>
      </c>
      <c r="D59" s="374"/>
      <c r="E59" s="374" t="s">
        <v>27</v>
      </c>
      <c r="F59" s="204" t="s">
        <v>209</v>
      </c>
      <c r="G59" s="176" t="s">
        <v>24</v>
      </c>
      <c r="H59" s="61">
        <v>2</v>
      </c>
      <c r="I59" s="25"/>
      <c r="J59" s="25"/>
      <c r="K59" s="26"/>
      <c r="L59" s="27"/>
      <c r="M59" s="26">
        <f t="shared" si="0"/>
        <v>0</v>
      </c>
      <c r="N59" s="26"/>
      <c r="O59" s="28"/>
      <c r="P59" s="29">
        <v>8</v>
      </c>
      <c r="Q59" s="30">
        <v>15651.3</v>
      </c>
      <c r="R59" s="205">
        <v>5</v>
      </c>
      <c r="S59" s="26">
        <f t="shared" si="1"/>
        <v>13580.02</v>
      </c>
      <c r="T59" s="30">
        <v>9062.41</v>
      </c>
      <c r="U59" s="241">
        <v>4517.6099999999997</v>
      </c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373"/>
      <c r="B60" s="375"/>
      <c r="C60" s="375"/>
      <c r="D60" s="375"/>
      <c r="E60" s="375"/>
      <c r="F60" s="105"/>
      <c r="G60" s="229" t="s">
        <v>28</v>
      </c>
      <c r="H60" s="106"/>
      <c r="I60" s="38"/>
      <c r="J60" s="38"/>
      <c r="K60" s="39"/>
      <c r="L60" s="40"/>
      <c r="M60" s="39">
        <f t="shared" si="0"/>
        <v>0</v>
      </c>
      <c r="N60" s="39"/>
      <c r="O60" s="41"/>
      <c r="P60" s="69"/>
      <c r="Q60" s="39"/>
      <c r="R60" s="40"/>
      <c r="S60" s="39">
        <f t="shared" si="1"/>
        <v>0</v>
      </c>
      <c r="T60" s="39"/>
      <c r="U60" s="41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376"/>
      <c r="B61" s="377" t="s">
        <v>74</v>
      </c>
      <c r="C61" s="377" t="s">
        <v>39</v>
      </c>
      <c r="D61" s="377" t="s">
        <v>264</v>
      </c>
      <c r="E61" s="377" t="s">
        <v>27</v>
      </c>
      <c r="F61" s="223" t="s">
        <v>265</v>
      </c>
      <c r="G61" s="95" t="s">
        <v>24</v>
      </c>
      <c r="H61" s="48">
        <v>2</v>
      </c>
      <c r="I61" s="49"/>
      <c r="J61" s="49"/>
      <c r="K61" s="50"/>
      <c r="L61" s="51"/>
      <c r="M61" s="50">
        <f t="shared" si="0"/>
        <v>0</v>
      </c>
      <c r="N61" s="50"/>
      <c r="O61" s="31"/>
      <c r="P61" s="108">
        <v>12</v>
      </c>
      <c r="Q61" s="65">
        <v>44651.57</v>
      </c>
      <c r="R61" s="224">
        <v>5</v>
      </c>
      <c r="S61" s="50">
        <f t="shared" si="1"/>
        <v>19918.689999999999</v>
      </c>
      <c r="T61" s="65">
        <v>19918.689999999999</v>
      </c>
      <c r="U61" s="31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373"/>
      <c r="B62" s="375"/>
      <c r="C62" s="375"/>
      <c r="D62" s="375"/>
      <c r="E62" s="375"/>
      <c r="F62" s="221" t="s">
        <v>286</v>
      </c>
      <c r="G62" s="55" t="s">
        <v>28</v>
      </c>
      <c r="H62" s="118"/>
      <c r="I62" s="130"/>
      <c r="J62" s="130"/>
      <c r="K62" s="43"/>
      <c r="L62" s="44"/>
      <c r="M62" s="43">
        <f t="shared" si="0"/>
        <v>0</v>
      </c>
      <c r="N62" s="43"/>
      <c r="O62" s="41"/>
      <c r="P62" s="113">
        <v>1</v>
      </c>
      <c r="Q62" s="114">
        <v>2881.5</v>
      </c>
      <c r="R62" s="44"/>
      <c r="S62" s="43">
        <f t="shared" si="1"/>
        <v>0</v>
      </c>
      <c r="T62" s="43"/>
      <c r="U62" s="41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372"/>
      <c r="B63" s="374" t="s">
        <v>76</v>
      </c>
      <c r="C63" s="374" t="s">
        <v>22</v>
      </c>
      <c r="D63" s="374"/>
      <c r="E63" s="374" t="s">
        <v>77</v>
      </c>
      <c r="F63" s="22"/>
      <c r="G63" s="23" t="s">
        <v>24</v>
      </c>
      <c r="H63" s="61">
        <v>2</v>
      </c>
      <c r="I63" s="62">
        <v>1</v>
      </c>
      <c r="J63" s="62">
        <v>1</v>
      </c>
      <c r="K63" s="30">
        <v>1344.7</v>
      </c>
      <c r="L63" s="27"/>
      <c r="M63" s="26">
        <f t="shared" si="0"/>
        <v>0</v>
      </c>
      <c r="N63" s="26"/>
      <c r="O63" s="31"/>
      <c r="P63" s="29">
        <v>4</v>
      </c>
      <c r="Q63" s="30">
        <v>2984.28</v>
      </c>
      <c r="R63" s="27"/>
      <c r="S63" s="26">
        <f t="shared" si="1"/>
        <v>0</v>
      </c>
      <c r="T63" s="26"/>
      <c r="U63" s="31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373"/>
      <c r="B64" s="375"/>
      <c r="C64" s="375"/>
      <c r="D64" s="375"/>
      <c r="E64" s="375"/>
      <c r="F64" s="220" t="s">
        <v>287</v>
      </c>
      <c r="G64" s="35" t="s">
        <v>28</v>
      </c>
      <c r="H64" s="117">
        <v>3</v>
      </c>
      <c r="I64" s="38"/>
      <c r="J64" s="38"/>
      <c r="K64" s="39"/>
      <c r="L64" s="40"/>
      <c r="M64" s="39">
        <f t="shared" si="0"/>
        <v>0</v>
      </c>
      <c r="N64" s="39"/>
      <c r="O64" s="41"/>
      <c r="P64" s="69"/>
      <c r="Q64" s="39"/>
      <c r="R64" s="40"/>
      <c r="S64" s="39">
        <f t="shared" si="1"/>
        <v>0</v>
      </c>
      <c r="T64" s="39"/>
      <c r="U64" s="41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382"/>
      <c r="B65" s="381" t="s">
        <v>78</v>
      </c>
      <c r="C65" s="381"/>
      <c r="D65" s="381"/>
      <c r="E65" s="381"/>
      <c r="F65" s="46"/>
      <c r="G65" s="47" t="s">
        <v>24</v>
      </c>
      <c r="H65" s="48">
        <v>1</v>
      </c>
      <c r="I65" s="203">
        <v>1</v>
      </c>
      <c r="J65" s="203">
        <v>1</v>
      </c>
      <c r="K65" s="65">
        <v>633.92999999999995</v>
      </c>
      <c r="L65" s="51"/>
      <c r="M65" s="50">
        <f t="shared" si="0"/>
        <v>0</v>
      </c>
      <c r="N65" s="50"/>
      <c r="O65" s="31"/>
      <c r="P65" s="123"/>
      <c r="Q65" s="50"/>
      <c r="R65" s="51"/>
      <c r="S65" s="50">
        <f t="shared" si="1"/>
        <v>0</v>
      </c>
      <c r="T65" s="50"/>
      <c r="U65" s="31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373"/>
      <c r="B66" s="375"/>
      <c r="C66" s="375"/>
      <c r="D66" s="375"/>
      <c r="E66" s="375"/>
      <c r="F66" s="126"/>
      <c r="G66" s="55" t="s">
        <v>28</v>
      </c>
      <c r="H66" s="131"/>
      <c r="I66" s="57"/>
      <c r="J66" s="57"/>
      <c r="K66" s="43"/>
      <c r="L66" s="44"/>
      <c r="M66" s="43">
        <f t="shared" si="0"/>
        <v>0</v>
      </c>
      <c r="N66" s="43"/>
      <c r="O66" s="41"/>
      <c r="P66" s="103"/>
      <c r="Q66" s="43"/>
      <c r="R66" s="44"/>
      <c r="S66" s="43">
        <f t="shared" si="1"/>
        <v>0</v>
      </c>
      <c r="T66" s="43"/>
      <c r="U66" s="41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372"/>
      <c r="B67" s="374" t="s">
        <v>79</v>
      </c>
      <c r="C67" s="374" t="s">
        <v>22</v>
      </c>
      <c r="D67" s="374"/>
      <c r="E67" s="374" t="s">
        <v>50</v>
      </c>
      <c r="F67" s="22"/>
      <c r="G67" s="23" t="s">
        <v>24</v>
      </c>
      <c r="H67" s="61">
        <v>2</v>
      </c>
      <c r="I67" s="25"/>
      <c r="J67" s="25"/>
      <c r="K67" s="26"/>
      <c r="L67" s="27"/>
      <c r="M67" s="26">
        <f t="shared" si="0"/>
        <v>0</v>
      </c>
      <c r="N67" s="26"/>
      <c r="O67" s="31"/>
      <c r="P67" s="53">
        <v>1</v>
      </c>
      <c r="Q67" s="30">
        <v>1505.87</v>
      </c>
      <c r="R67" s="27"/>
      <c r="S67" s="26">
        <f t="shared" si="1"/>
        <v>0</v>
      </c>
      <c r="T67" s="26"/>
      <c r="U67" s="31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373"/>
      <c r="B68" s="375"/>
      <c r="C68" s="375"/>
      <c r="D68" s="375"/>
      <c r="E68" s="375"/>
      <c r="F68" s="34"/>
      <c r="G68" s="35" t="s">
        <v>25</v>
      </c>
      <c r="H68" s="117">
        <v>1</v>
      </c>
      <c r="I68" s="38"/>
      <c r="J68" s="38"/>
      <c r="K68" s="39"/>
      <c r="L68" s="40"/>
      <c r="M68" s="39">
        <f t="shared" si="0"/>
        <v>0</v>
      </c>
      <c r="N68" s="39"/>
      <c r="O68" s="41"/>
      <c r="P68" s="59"/>
      <c r="Q68" s="39"/>
      <c r="R68" s="40"/>
      <c r="S68" s="39">
        <f t="shared" si="1"/>
        <v>0</v>
      </c>
      <c r="T68" s="39"/>
      <c r="U68" s="41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382"/>
      <c r="B69" s="381" t="s">
        <v>80</v>
      </c>
      <c r="C69" s="381" t="s">
        <v>22</v>
      </c>
      <c r="D69" s="381"/>
      <c r="E69" s="381" t="s">
        <v>67</v>
      </c>
      <c r="F69" s="46"/>
      <c r="G69" s="47" t="s">
        <v>24</v>
      </c>
      <c r="H69" s="48">
        <v>5</v>
      </c>
      <c r="I69" s="49"/>
      <c r="J69" s="49"/>
      <c r="K69" s="50"/>
      <c r="L69" s="51"/>
      <c r="M69" s="50">
        <f t="shared" si="0"/>
        <v>0</v>
      </c>
      <c r="N69" s="50"/>
      <c r="O69" s="31"/>
      <c r="P69" s="108">
        <v>4</v>
      </c>
      <c r="Q69" s="65">
        <v>16789.810000000001</v>
      </c>
      <c r="R69" s="51"/>
      <c r="S69" s="50">
        <f t="shared" si="1"/>
        <v>0</v>
      </c>
      <c r="T69" s="50"/>
      <c r="U69" s="31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379"/>
      <c r="B70" s="380"/>
      <c r="C70" s="380"/>
      <c r="D70" s="380"/>
      <c r="E70" s="380"/>
      <c r="F70" s="226"/>
      <c r="G70" s="227" t="s">
        <v>28</v>
      </c>
      <c r="H70" s="118"/>
      <c r="I70" s="57"/>
      <c r="J70" s="57"/>
      <c r="K70" s="43"/>
      <c r="L70" s="44"/>
      <c r="M70" s="43">
        <f t="shared" si="0"/>
        <v>0</v>
      </c>
      <c r="N70" s="43"/>
      <c r="O70" s="41"/>
      <c r="P70" s="103"/>
      <c r="Q70" s="43"/>
      <c r="R70" s="44"/>
      <c r="S70" s="43">
        <f t="shared" si="1"/>
        <v>0</v>
      </c>
      <c r="T70" s="43"/>
      <c r="U70" s="41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372"/>
      <c r="B71" s="374" t="s">
        <v>81</v>
      </c>
      <c r="C71" s="374" t="s">
        <v>39</v>
      </c>
      <c r="D71" s="374" t="s">
        <v>224</v>
      </c>
      <c r="E71" s="374" t="s">
        <v>65</v>
      </c>
      <c r="F71" s="204" t="s">
        <v>225</v>
      </c>
      <c r="G71" s="176" t="s">
        <v>24</v>
      </c>
      <c r="H71" s="248">
        <v>11</v>
      </c>
      <c r="I71" s="62">
        <v>5</v>
      </c>
      <c r="J71" s="62">
        <v>6</v>
      </c>
      <c r="K71" s="30">
        <v>19717.55</v>
      </c>
      <c r="L71" s="27"/>
      <c r="M71" s="26">
        <f t="shared" si="0"/>
        <v>0</v>
      </c>
      <c r="N71" s="26"/>
      <c r="O71" s="31"/>
      <c r="P71" s="29">
        <v>20</v>
      </c>
      <c r="Q71" s="30">
        <v>57526.7</v>
      </c>
      <c r="R71" s="205">
        <v>5</v>
      </c>
      <c r="S71" s="26">
        <f t="shared" si="1"/>
        <v>10367.34</v>
      </c>
      <c r="T71" s="30">
        <v>10367.34</v>
      </c>
      <c r="U71" s="225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373"/>
      <c r="B72" s="375"/>
      <c r="C72" s="375"/>
      <c r="D72" s="375"/>
      <c r="E72" s="375"/>
      <c r="F72" s="34"/>
      <c r="G72" s="229" t="s">
        <v>28</v>
      </c>
      <c r="H72" s="249"/>
      <c r="I72" s="38"/>
      <c r="J72" s="38"/>
      <c r="K72" s="39"/>
      <c r="L72" s="40"/>
      <c r="M72" s="39">
        <f t="shared" si="0"/>
        <v>0</v>
      </c>
      <c r="N72" s="39"/>
      <c r="O72" s="41"/>
      <c r="P72" s="69"/>
      <c r="Q72" s="39"/>
      <c r="R72" s="40"/>
      <c r="S72" s="39">
        <f t="shared" si="1"/>
        <v>0</v>
      </c>
      <c r="T72" s="39"/>
      <c r="U72" s="41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376"/>
      <c r="B73" s="377" t="s">
        <v>82</v>
      </c>
      <c r="C73" s="377" t="s">
        <v>22</v>
      </c>
      <c r="D73" s="400"/>
      <c r="E73" s="377" t="s">
        <v>83</v>
      </c>
      <c r="F73" s="76"/>
      <c r="G73" s="95" t="s">
        <v>24</v>
      </c>
      <c r="H73" s="151">
        <v>5</v>
      </c>
      <c r="I73" s="203">
        <v>1</v>
      </c>
      <c r="J73" s="203">
        <v>1</v>
      </c>
      <c r="K73" s="65">
        <v>950.9</v>
      </c>
      <c r="L73" s="51"/>
      <c r="M73" s="50">
        <f t="shared" si="0"/>
        <v>0</v>
      </c>
      <c r="N73" s="50"/>
      <c r="O73" s="31"/>
      <c r="P73" s="108">
        <v>7</v>
      </c>
      <c r="Q73" s="65">
        <v>9577.4699999999993</v>
      </c>
      <c r="R73" s="51"/>
      <c r="S73" s="50">
        <f t="shared" si="1"/>
        <v>0</v>
      </c>
      <c r="T73" s="50"/>
      <c r="U73" s="31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373"/>
      <c r="B74" s="375"/>
      <c r="C74" s="375"/>
      <c r="D74" s="375"/>
      <c r="E74" s="375"/>
      <c r="F74" s="54"/>
      <c r="G74" s="55" t="s">
        <v>25</v>
      </c>
      <c r="H74" s="121">
        <v>1</v>
      </c>
      <c r="I74" s="130">
        <v>1</v>
      </c>
      <c r="J74" s="130">
        <v>1</v>
      </c>
      <c r="K74" s="114">
        <v>1344.7</v>
      </c>
      <c r="L74" s="44"/>
      <c r="M74" s="43">
        <f t="shared" si="0"/>
        <v>0</v>
      </c>
      <c r="N74" s="43"/>
      <c r="O74" s="41"/>
      <c r="P74" s="103"/>
      <c r="Q74" s="43"/>
      <c r="R74" s="44"/>
      <c r="S74" s="43">
        <f t="shared" si="1"/>
        <v>0</v>
      </c>
      <c r="T74" s="43"/>
      <c r="U74" s="41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372"/>
      <c r="B75" s="374" t="s">
        <v>84</v>
      </c>
      <c r="C75" s="374"/>
      <c r="D75" s="378"/>
      <c r="E75" s="374"/>
      <c r="F75" s="60"/>
      <c r="G75" s="23" t="s">
        <v>24</v>
      </c>
      <c r="H75" s="119"/>
      <c r="I75" s="25"/>
      <c r="J75" s="25"/>
      <c r="K75" s="26"/>
      <c r="L75" s="27"/>
      <c r="M75" s="26">
        <f t="shared" si="0"/>
        <v>0</v>
      </c>
      <c r="N75" s="26"/>
      <c r="O75" s="31"/>
      <c r="P75" s="120"/>
      <c r="Q75" s="26"/>
      <c r="R75" s="27"/>
      <c r="S75" s="26">
        <f t="shared" si="1"/>
        <v>0</v>
      </c>
      <c r="T75" s="26"/>
      <c r="U75" s="31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373"/>
      <c r="B76" s="375"/>
      <c r="C76" s="375"/>
      <c r="D76" s="375"/>
      <c r="E76" s="375"/>
      <c r="F76" s="132"/>
      <c r="G76" s="35" t="s">
        <v>28</v>
      </c>
      <c r="H76" s="36"/>
      <c r="I76" s="38"/>
      <c r="J76" s="38"/>
      <c r="K76" s="39"/>
      <c r="L76" s="40"/>
      <c r="M76" s="39">
        <f t="shared" si="0"/>
        <v>0</v>
      </c>
      <c r="N76" s="39"/>
      <c r="O76" s="41"/>
      <c r="P76" s="69"/>
      <c r="Q76" s="39"/>
      <c r="R76" s="40"/>
      <c r="S76" s="39">
        <f t="shared" si="1"/>
        <v>0</v>
      </c>
      <c r="T76" s="39"/>
      <c r="U76" s="41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382"/>
      <c r="B77" s="381" t="s">
        <v>85</v>
      </c>
      <c r="C77" s="381" t="s">
        <v>22</v>
      </c>
      <c r="D77" s="385"/>
      <c r="E77" s="381" t="s">
        <v>27</v>
      </c>
      <c r="F77" s="127"/>
      <c r="G77" s="47" t="s">
        <v>24</v>
      </c>
      <c r="H77" s="98"/>
      <c r="I77" s="49"/>
      <c r="J77" s="49"/>
      <c r="K77" s="50"/>
      <c r="L77" s="51"/>
      <c r="M77" s="50">
        <f t="shared" si="0"/>
        <v>0</v>
      </c>
      <c r="N77" s="50"/>
      <c r="O77" s="31"/>
      <c r="P77" s="108">
        <v>1</v>
      </c>
      <c r="Q77" s="65">
        <v>405.02</v>
      </c>
      <c r="R77" s="51"/>
      <c r="S77" s="50">
        <f t="shared" si="1"/>
        <v>0</v>
      </c>
      <c r="T77" s="50"/>
      <c r="U77" s="31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379"/>
      <c r="B78" s="380"/>
      <c r="C78" s="380"/>
      <c r="D78" s="380"/>
      <c r="E78" s="380"/>
      <c r="F78" s="226"/>
      <c r="G78" s="227" t="s">
        <v>28</v>
      </c>
      <c r="H78" s="116"/>
      <c r="I78" s="57"/>
      <c r="J78" s="57"/>
      <c r="K78" s="43"/>
      <c r="L78" s="44"/>
      <c r="M78" s="43">
        <f t="shared" si="0"/>
        <v>0</v>
      </c>
      <c r="N78" s="43"/>
      <c r="O78" s="41"/>
      <c r="P78" s="103"/>
      <c r="Q78" s="43"/>
      <c r="R78" s="44"/>
      <c r="S78" s="43">
        <f t="shared" si="1"/>
        <v>0</v>
      </c>
      <c r="T78" s="43"/>
      <c r="U78" s="41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372"/>
      <c r="B79" s="374" t="s">
        <v>86</v>
      </c>
      <c r="C79" s="374" t="s">
        <v>39</v>
      </c>
      <c r="D79" s="374" t="s">
        <v>266</v>
      </c>
      <c r="E79" s="374" t="s">
        <v>23</v>
      </c>
      <c r="F79" s="204" t="s">
        <v>267</v>
      </c>
      <c r="G79" s="176" t="s">
        <v>24</v>
      </c>
      <c r="H79" s="98"/>
      <c r="I79" s="25"/>
      <c r="J79" s="25"/>
      <c r="K79" s="26"/>
      <c r="L79" s="27"/>
      <c r="M79" s="26">
        <f t="shared" si="0"/>
        <v>0</v>
      </c>
      <c r="N79" s="26"/>
      <c r="O79" s="31"/>
      <c r="P79" s="53">
        <v>2</v>
      </c>
      <c r="Q79" s="30">
        <v>5673.46</v>
      </c>
      <c r="R79" s="205">
        <v>2</v>
      </c>
      <c r="S79" s="26">
        <f t="shared" si="1"/>
        <v>5673.46</v>
      </c>
      <c r="T79" s="30">
        <v>5673.46</v>
      </c>
      <c r="U79" s="31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373"/>
      <c r="B80" s="375"/>
      <c r="C80" s="375"/>
      <c r="D80" s="375"/>
      <c r="E80" s="375"/>
      <c r="F80" s="105"/>
      <c r="G80" s="229" t="s">
        <v>25</v>
      </c>
      <c r="H80" s="118"/>
      <c r="I80" s="57"/>
      <c r="J80" s="57"/>
      <c r="K80" s="43"/>
      <c r="L80" s="44"/>
      <c r="M80" s="43">
        <f t="shared" si="0"/>
        <v>0</v>
      </c>
      <c r="N80" s="43"/>
      <c r="O80" s="41"/>
      <c r="P80" s="103"/>
      <c r="Q80" s="43"/>
      <c r="R80" s="44"/>
      <c r="S80" s="43">
        <f t="shared" si="1"/>
        <v>0</v>
      </c>
      <c r="T80" s="43"/>
      <c r="U80" s="41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372"/>
      <c r="B81" s="374" t="s">
        <v>87</v>
      </c>
      <c r="C81" s="374" t="s">
        <v>39</v>
      </c>
      <c r="D81" s="374" t="s">
        <v>88</v>
      </c>
      <c r="E81" s="374" t="s">
        <v>89</v>
      </c>
      <c r="F81" s="232" t="s">
        <v>268</v>
      </c>
      <c r="G81" s="23" t="s">
        <v>24</v>
      </c>
      <c r="H81" s="61">
        <v>5</v>
      </c>
      <c r="I81" s="25"/>
      <c r="J81" s="25"/>
      <c r="K81" s="26"/>
      <c r="L81" s="27"/>
      <c r="M81" s="26">
        <f t="shared" si="0"/>
        <v>0</v>
      </c>
      <c r="N81" s="26"/>
      <c r="O81" s="31"/>
      <c r="P81" s="53">
        <v>5</v>
      </c>
      <c r="Q81" s="30">
        <v>14914.91</v>
      </c>
      <c r="R81" s="27"/>
      <c r="S81" s="26">
        <f t="shared" si="1"/>
        <v>5094.8</v>
      </c>
      <c r="T81" s="26"/>
      <c r="U81" s="225">
        <v>5094.8</v>
      </c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373"/>
      <c r="B82" s="375"/>
      <c r="C82" s="375"/>
      <c r="D82" s="375"/>
      <c r="E82" s="375"/>
      <c r="F82" s="220" t="s">
        <v>290</v>
      </c>
      <c r="G82" s="35" t="s">
        <v>25</v>
      </c>
      <c r="H82" s="117">
        <v>4</v>
      </c>
      <c r="I82" s="38"/>
      <c r="J82" s="38"/>
      <c r="K82" s="39"/>
      <c r="L82" s="40"/>
      <c r="M82" s="39">
        <f t="shared" si="0"/>
        <v>0</v>
      </c>
      <c r="N82" s="39"/>
      <c r="O82" s="41"/>
      <c r="P82" s="115">
        <v>7</v>
      </c>
      <c r="Q82" s="68">
        <v>19517.36</v>
      </c>
      <c r="R82" s="40"/>
      <c r="S82" s="39">
        <f t="shared" si="1"/>
        <v>0</v>
      </c>
      <c r="T82" s="39"/>
      <c r="U82" s="41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372"/>
      <c r="B83" s="374" t="s">
        <v>90</v>
      </c>
      <c r="C83" s="374" t="s">
        <v>39</v>
      </c>
      <c r="D83" s="374" t="s">
        <v>91</v>
      </c>
      <c r="E83" s="374" t="s">
        <v>27</v>
      </c>
      <c r="F83" s="204" t="s">
        <v>291</v>
      </c>
      <c r="G83" s="176" t="s">
        <v>24</v>
      </c>
      <c r="H83" s="48">
        <v>2</v>
      </c>
      <c r="I83" s="49"/>
      <c r="J83" s="49"/>
      <c r="K83" s="50"/>
      <c r="L83" s="51"/>
      <c r="M83" s="50">
        <f t="shared" si="0"/>
        <v>0</v>
      </c>
      <c r="N83" s="50"/>
      <c r="O83" s="31"/>
      <c r="P83" s="108">
        <v>3</v>
      </c>
      <c r="Q83" s="65">
        <v>32117.38</v>
      </c>
      <c r="R83" s="51"/>
      <c r="S83" s="50">
        <f t="shared" si="1"/>
        <v>4050.2</v>
      </c>
      <c r="T83" s="50"/>
      <c r="U83" s="225">
        <v>4050.2</v>
      </c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373"/>
      <c r="B84" s="375"/>
      <c r="C84" s="375"/>
      <c r="D84" s="375"/>
      <c r="E84" s="375"/>
      <c r="F84" s="220" t="s">
        <v>229</v>
      </c>
      <c r="G84" s="229" t="s">
        <v>28</v>
      </c>
      <c r="H84" s="133">
        <v>1</v>
      </c>
      <c r="I84" s="57"/>
      <c r="J84" s="57"/>
      <c r="K84" s="43"/>
      <c r="L84" s="44"/>
      <c r="M84" s="43">
        <f t="shared" si="0"/>
        <v>0</v>
      </c>
      <c r="N84" s="43"/>
      <c r="O84" s="41"/>
      <c r="P84" s="103"/>
      <c r="Q84" s="43"/>
      <c r="R84" s="44"/>
      <c r="S84" s="43">
        <f t="shared" si="1"/>
        <v>0</v>
      </c>
      <c r="T84" s="43"/>
      <c r="U84" s="41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372"/>
      <c r="B85" s="374" t="s">
        <v>92</v>
      </c>
      <c r="C85" s="374" t="s">
        <v>22</v>
      </c>
      <c r="D85" s="374"/>
      <c r="E85" s="374" t="s">
        <v>27</v>
      </c>
      <c r="F85" s="232" t="s">
        <v>269</v>
      </c>
      <c r="G85" s="23" t="s">
        <v>24</v>
      </c>
      <c r="H85" s="98"/>
      <c r="I85" s="25"/>
      <c r="J85" s="25"/>
      <c r="K85" s="26"/>
      <c r="L85" s="27"/>
      <c r="M85" s="26">
        <f t="shared" si="0"/>
        <v>0</v>
      </c>
      <c r="N85" s="26"/>
      <c r="O85" s="31"/>
      <c r="P85" s="53">
        <v>5</v>
      </c>
      <c r="Q85" s="30">
        <v>29354.959999999999</v>
      </c>
      <c r="R85" s="205">
        <v>2</v>
      </c>
      <c r="S85" s="26">
        <f t="shared" si="1"/>
        <v>3751.96</v>
      </c>
      <c r="T85" s="30">
        <v>3751.96</v>
      </c>
      <c r="U85" s="31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379"/>
      <c r="B86" s="380"/>
      <c r="C86" s="380"/>
      <c r="D86" s="380"/>
      <c r="E86" s="380"/>
      <c r="F86" s="233" t="s">
        <v>230</v>
      </c>
      <c r="G86" s="227" t="s">
        <v>28</v>
      </c>
      <c r="H86" s="133">
        <v>1</v>
      </c>
      <c r="I86" s="57"/>
      <c r="J86" s="57"/>
      <c r="K86" s="43"/>
      <c r="L86" s="44"/>
      <c r="M86" s="43">
        <f t="shared" si="0"/>
        <v>0</v>
      </c>
      <c r="N86" s="43"/>
      <c r="O86" s="41"/>
      <c r="P86" s="103"/>
      <c r="Q86" s="43"/>
      <c r="R86" s="44"/>
      <c r="S86" s="43">
        <f t="shared" si="1"/>
        <v>0</v>
      </c>
      <c r="T86" s="43"/>
      <c r="U86" s="41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372"/>
      <c r="B87" s="374" t="s">
        <v>93</v>
      </c>
      <c r="C87" s="374" t="s">
        <v>22</v>
      </c>
      <c r="D87" s="374"/>
      <c r="E87" s="374" t="s">
        <v>27</v>
      </c>
      <c r="F87" s="22"/>
      <c r="G87" s="176" t="s">
        <v>24</v>
      </c>
      <c r="H87" s="98"/>
      <c r="I87" s="25"/>
      <c r="J87" s="25"/>
      <c r="K87" s="26"/>
      <c r="L87" s="27"/>
      <c r="M87" s="26">
        <f t="shared" si="0"/>
        <v>0</v>
      </c>
      <c r="N87" s="26"/>
      <c r="O87" s="31"/>
      <c r="P87" s="53">
        <v>1</v>
      </c>
      <c r="Q87" s="30">
        <v>633.92999999999995</v>
      </c>
      <c r="R87" s="27"/>
      <c r="S87" s="26">
        <f t="shared" si="1"/>
        <v>0</v>
      </c>
      <c r="T87" s="26"/>
      <c r="U87" s="31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373"/>
      <c r="B88" s="375"/>
      <c r="C88" s="375"/>
      <c r="D88" s="375"/>
      <c r="E88" s="375"/>
      <c r="F88" s="105"/>
      <c r="G88" s="229" t="s">
        <v>28</v>
      </c>
      <c r="H88" s="116"/>
      <c r="I88" s="57"/>
      <c r="J88" s="57"/>
      <c r="K88" s="43"/>
      <c r="L88" s="44"/>
      <c r="M88" s="43">
        <f t="shared" si="0"/>
        <v>0</v>
      </c>
      <c r="N88" s="43"/>
      <c r="O88" s="41"/>
      <c r="P88" s="103"/>
      <c r="Q88" s="43"/>
      <c r="R88" s="44"/>
      <c r="S88" s="43">
        <f t="shared" si="1"/>
        <v>0</v>
      </c>
      <c r="T88" s="43"/>
      <c r="U88" s="41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372"/>
      <c r="B89" s="374" t="s">
        <v>94</v>
      </c>
      <c r="C89" s="374" t="s">
        <v>39</v>
      </c>
      <c r="D89" s="374" t="s">
        <v>95</v>
      </c>
      <c r="E89" s="374" t="s">
        <v>96</v>
      </c>
      <c r="F89" s="232" t="s">
        <v>292</v>
      </c>
      <c r="G89" s="23" t="s">
        <v>24</v>
      </c>
      <c r="H89" s="48">
        <v>4</v>
      </c>
      <c r="I89" s="25"/>
      <c r="J89" s="25"/>
      <c r="K89" s="26"/>
      <c r="L89" s="27"/>
      <c r="M89" s="26">
        <f t="shared" si="0"/>
        <v>0</v>
      </c>
      <c r="N89" s="26"/>
      <c r="O89" s="31"/>
      <c r="P89" s="53">
        <v>14</v>
      </c>
      <c r="Q89" s="30">
        <v>30413.21</v>
      </c>
      <c r="R89" s="27"/>
      <c r="S89" s="26">
        <f t="shared" si="1"/>
        <v>9997.9500000000007</v>
      </c>
      <c r="T89" s="26"/>
      <c r="U89" s="225">
        <v>9997.9500000000007</v>
      </c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373"/>
      <c r="B90" s="375"/>
      <c r="C90" s="375"/>
      <c r="D90" s="375"/>
      <c r="E90" s="375"/>
      <c r="F90" s="233" t="s">
        <v>293</v>
      </c>
      <c r="G90" s="250" t="s">
        <v>25</v>
      </c>
      <c r="H90" s="112">
        <v>3</v>
      </c>
      <c r="I90" s="130">
        <v>2</v>
      </c>
      <c r="J90" s="130">
        <v>2</v>
      </c>
      <c r="K90" s="114">
        <v>2305.1999999999998</v>
      </c>
      <c r="L90" s="44"/>
      <c r="M90" s="43">
        <f t="shared" si="0"/>
        <v>0</v>
      </c>
      <c r="N90" s="43"/>
      <c r="O90" s="41"/>
      <c r="P90" s="113">
        <v>3</v>
      </c>
      <c r="Q90" s="114">
        <v>7159.3</v>
      </c>
      <c r="R90" s="44"/>
      <c r="S90" s="43">
        <f t="shared" si="1"/>
        <v>0</v>
      </c>
      <c r="T90" s="43"/>
      <c r="U90" s="41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372"/>
      <c r="B91" s="374" t="s">
        <v>97</v>
      </c>
      <c r="C91" s="374"/>
      <c r="D91" s="374"/>
      <c r="E91" s="374"/>
      <c r="F91" s="60"/>
      <c r="G91" s="176" t="s">
        <v>24</v>
      </c>
      <c r="H91" s="248">
        <v>2</v>
      </c>
      <c r="I91" s="25"/>
      <c r="J91" s="25"/>
      <c r="K91" s="26"/>
      <c r="L91" s="27"/>
      <c r="M91" s="26">
        <f t="shared" si="0"/>
        <v>0</v>
      </c>
      <c r="N91" s="26"/>
      <c r="O91" s="31"/>
      <c r="P91" s="53">
        <v>5</v>
      </c>
      <c r="Q91" s="30">
        <v>8305.3700000000008</v>
      </c>
      <c r="R91" s="27"/>
      <c r="S91" s="26">
        <f t="shared" si="1"/>
        <v>0</v>
      </c>
      <c r="T91" s="26"/>
      <c r="U91" s="31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373"/>
      <c r="B92" s="375"/>
      <c r="C92" s="375"/>
      <c r="D92" s="375"/>
      <c r="E92" s="375"/>
      <c r="F92" s="220" t="s">
        <v>294</v>
      </c>
      <c r="G92" s="229" t="s">
        <v>28</v>
      </c>
      <c r="H92" s="251">
        <v>4</v>
      </c>
      <c r="I92" s="208">
        <v>1</v>
      </c>
      <c r="J92" s="208">
        <v>1</v>
      </c>
      <c r="K92" s="209">
        <v>1344.7</v>
      </c>
      <c r="L92" s="210"/>
      <c r="M92" s="211">
        <f t="shared" si="0"/>
        <v>1344.7</v>
      </c>
      <c r="N92" s="211"/>
      <c r="O92" s="212">
        <f>1344.7</f>
        <v>1344.7</v>
      </c>
      <c r="P92" s="103"/>
      <c r="Q92" s="43"/>
      <c r="R92" s="44"/>
      <c r="S92" s="43">
        <f t="shared" si="1"/>
        <v>2209.15</v>
      </c>
      <c r="T92" s="43"/>
      <c r="U92" s="234">
        <v>2209.15</v>
      </c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376"/>
      <c r="B93" s="377" t="s">
        <v>98</v>
      </c>
      <c r="C93" s="377" t="s">
        <v>39</v>
      </c>
      <c r="D93" s="377" t="s">
        <v>270</v>
      </c>
      <c r="E93" s="377" t="s">
        <v>99</v>
      </c>
      <c r="F93" s="232" t="s">
        <v>271</v>
      </c>
      <c r="G93" s="73" t="s">
        <v>24</v>
      </c>
      <c r="H93" s="24">
        <v>5</v>
      </c>
      <c r="I93" s="62">
        <v>1</v>
      </c>
      <c r="J93" s="62">
        <v>1</v>
      </c>
      <c r="K93" s="30">
        <v>633.92999999999995</v>
      </c>
      <c r="L93" s="27"/>
      <c r="M93" s="26">
        <f t="shared" si="0"/>
        <v>0</v>
      </c>
      <c r="N93" s="26"/>
      <c r="O93" s="100"/>
      <c r="P93" s="214">
        <v>9</v>
      </c>
      <c r="Q93" s="30">
        <v>44129.72</v>
      </c>
      <c r="R93" s="205">
        <v>2</v>
      </c>
      <c r="S93" s="26">
        <f t="shared" si="1"/>
        <v>1456.12</v>
      </c>
      <c r="T93" s="30">
        <v>1456.12</v>
      </c>
      <c r="U93" s="31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373"/>
      <c r="B94" s="375"/>
      <c r="C94" s="375"/>
      <c r="D94" s="375"/>
      <c r="E94" s="375"/>
      <c r="F94" s="220" t="s">
        <v>295</v>
      </c>
      <c r="G94" s="215" t="s">
        <v>28</v>
      </c>
      <c r="H94" s="133">
        <v>3</v>
      </c>
      <c r="I94" s="216"/>
      <c r="J94" s="216"/>
      <c r="K94" s="137"/>
      <c r="L94" s="138"/>
      <c r="M94" s="39">
        <f t="shared" si="0"/>
        <v>0</v>
      </c>
      <c r="N94" s="39"/>
      <c r="O94" s="41"/>
      <c r="P94" s="217">
        <v>2</v>
      </c>
      <c r="Q94" s="37">
        <v>3361.75</v>
      </c>
      <c r="R94" s="40"/>
      <c r="S94" s="39">
        <f t="shared" si="1"/>
        <v>1056.55</v>
      </c>
      <c r="T94" s="39"/>
      <c r="U94" s="41">
        <f>1056.55</f>
        <v>1056.55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382"/>
      <c r="B95" s="381" t="s">
        <v>100</v>
      </c>
      <c r="C95" s="374" t="s">
        <v>39</v>
      </c>
      <c r="D95" s="381" t="s">
        <v>296</v>
      </c>
      <c r="E95" s="381" t="s">
        <v>27</v>
      </c>
      <c r="F95" s="223" t="s">
        <v>297</v>
      </c>
      <c r="G95" s="47" t="s">
        <v>24</v>
      </c>
      <c r="H95" s="218"/>
      <c r="I95" s="96"/>
      <c r="J95" s="96"/>
      <c r="K95" s="81"/>
      <c r="L95" s="80"/>
      <c r="M95" s="81">
        <f t="shared" si="0"/>
        <v>0</v>
      </c>
      <c r="N95" s="81"/>
      <c r="O95" s="219"/>
      <c r="P95" s="108">
        <v>2</v>
      </c>
      <c r="Q95" s="65">
        <v>22972.83</v>
      </c>
      <c r="R95" s="51"/>
      <c r="S95" s="50">
        <f t="shared" si="1"/>
        <v>7049.72</v>
      </c>
      <c r="T95" s="50"/>
      <c r="U95" s="225">
        <v>7049.72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373"/>
      <c r="B96" s="375"/>
      <c r="C96" s="375"/>
      <c r="D96" s="375"/>
      <c r="E96" s="375"/>
      <c r="F96" s="220" t="s">
        <v>298</v>
      </c>
      <c r="G96" s="35" t="s">
        <v>28</v>
      </c>
      <c r="H96" s="133">
        <v>2</v>
      </c>
      <c r="I96" s="38"/>
      <c r="J96" s="38"/>
      <c r="K96" s="39"/>
      <c r="L96" s="40"/>
      <c r="M96" s="39">
        <f t="shared" si="0"/>
        <v>0</v>
      </c>
      <c r="N96" s="39"/>
      <c r="O96" s="41"/>
      <c r="P96" s="59"/>
      <c r="Q96" s="39"/>
      <c r="R96" s="40"/>
      <c r="S96" s="39">
        <f t="shared" si="1"/>
        <v>0</v>
      </c>
      <c r="T96" s="39"/>
      <c r="U96" s="41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382"/>
      <c r="B97" s="381" t="s">
        <v>102</v>
      </c>
      <c r="C97" s="381" t="s">
        <v>22</v>
      </c>
      <c r="D97" s="381"/>
      <c r="E97" s="381" t="s">
        <v>67</v>
      </c>
      <c r="F97" s="223" t="s">
        <v>272</v>
      </c>
      <c r="G97" s="23" t="s">
        <v>24</v>
      </c>
      <c r="H97" s="48">
        <v>3</v>
      </c>
      <c r="I97" s="203">
        <v>1</v>
      </c>
      <c r="J97" s="203">
        <v>1</v>
      </c>
      <c r="K97" s="65">
        <v>966.08</v>
      </c>
      <c r="L97" s="51"/>
      <c r="M97" s="50">
        <f t="shared" si="0"/>
        <v>0</v>
      </c>
      <c r="N97" s="50"/>
      <c r="O97" s="31"/>
      <c r="P97" s="108">
        <v>8</v>
      </c>
      <c r="Q97" s="65">
        <v>17533.16</v>
      </c>
      <c r="R97" s="224">
        <v>2</v>
      </c>
      <c r="S97" s="50">
        <f t="shared" si="1"/>
        <v>2175.5100000000002</v>
      </c>
      <c r="T97" s="65">
        <v>2175.5100000000002</v>
      </c>
      <c r="U97" s="31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379"/>
      <c r="B98" s="380"/>
      <c r="C98" s="380"/>
      <c r="D98" s="380"/>
      <c r="E98" s="380"/>
      <c r="F98" s="221" t="s">
        <v>299</v>
      </c>
      <c r="G98" s="55" t="s">
        <v>28</v>
      </c>
      <c r="H98" s="153">
        <v>6</v>
      </c>
      <c r="I98" s="57"/>
      <c r="J98" s="57"/>
      <c r="K98" s="43"/>
      <c r="L98" s="128"/>
      <c r="M98" s="50">
        <f t="shared" si="0"/>
        <v>0</v>
      </c>
      <c r="N98" s="43"/>
      <c r="O98" s="41"/>
      <c r="P98" s="113">
        <v>2</v>
      </c>
      <c r="Q98" s="114">
        <v>8007.8</v>
      </c>
      <c r="R98" s="44"/>
      <c r="S98" s="43">
        <f t="shared" si="1"/>
        <v>4358.2</v>
      </c>
      <c r="T98" s="43"/>
      <c r="U98" s="41">
        <f>4358.2</f>
        <v>4358.2</v>
      </c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372"/>
      <c r="B99" s="374" t="s">
        <v>103</v>
      </c>
      <c r="C99" s="374" t="s">
        <v>22</v>
      </c>
      <c r="D99" s="374"/>
      <c r="E99" s="374" t="s">
        <v>67</v>
      </c>
      <c r="F99" s="22"/>
      <c r="G99" s="23" t="s">
        <v>24</v>
      </c>
      <c r="H99" s="48">
        <v>2</v>
      </c>
      <c r="I99" s="62">
        <v>1</v>
      </c>
      <c r="J99" s="62">
        <v>1</v>
      </c>
      <c r="K99" s="30">
        <v>1133.98</v>
      </c>
      <c r="L99" s="27"/>
      <c r="M99" s="26">
        <f t="shared" si="0"/>
        <v>0</v>
      </c>
      <c r="N99" s="26"/>
      <c r="O99" s="31"/>
      <c r="P99" s="53">
        <v>5</v>
      </c>
      <c r="Q99" s="30">
        <v>7208.15</v>
      </c>
      <c r="R99" s="27"/>
      <c r="S99" s="26">
        <f t="shared" si="1"/>
        <v>0</v>
      </c>
      <c r="T99" s="26"/>
      <c r="U99" s="31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373"/>
      <c r="B100" s="375"/>
      <c r="C100" s="375"/>
      <c r="D100" s="375"/>
      <c r="E100" s="375"/>
      <c r="F100" s="220" t="s">
        <v>300</v>
      </c>
      <c r="G100" s="35" t="s">
        <v>28</v>
      </c>
      <c r="H100" s="133">
        <v>1</v>
      </c>
      <c r="I100" s="37">
        <v>1</v>
      </c>
      <c r="J100" s="37">
        <v>1</v>
      </c>
      <c r="K100" s="68">
        <v>1580.8</v>
      </c>
      <c r="L100" s="40"/>
      <c r="M100" s="39">
        <f t="shared" si="0"/>
        <v>0</v>
      </c>
      <c r="N100" s="39"/>
      <c r="O100" s="41"/>
      <c r="P100" s="115">
        <v>1</v>
      </c>
      <c r="Q100" s="68">
        <v>1377.7</v>
      </c>
      <c r="R100" s="40"/>
      <c r="S100" s="39">
        <f t="shared" si="1"/>
        <v>0</v>
      </c>
      <c r="T100" s="39"/>
      <c r="U100" s="41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382"/>
      <c r="B101" s="381" t="s">
        <v>104</v>
      </c>
      <c r="C101" s="381" t="s">
        <v>39</v>
      </c>
      <c r="D101" s="381" t="s">
        <v>301</v>
      </c>
      <c r="E101" s="381" t="s">
        <v>27</v>
      </c>
      <c r="F101" s="223" t="s">
        <v>302</v>
      </c>
      <c r="G101" s="23" t="s">
        <v>24</v>
      </c>
      <c r="H101" s="48">
        <v>4</v>
      </c>
      <c r="I101" s="203">
        <v>1</v>
      </c>
      <c r="J101" s="203">
        <v>1</v>
      </c>
      <c r="K101" s="65">
        <v>576.29999999999995</v>
      </c>
      <c r="L101" s="51"/>
      <c r="M101" s="50">
        <f t="shared" si="0"/>
        <v>0</v>
      </c>
      <c r="N101" s="50"/>
      <c r="O101" s="31"/>
      <c r="P101" s="108">
        <v>9</v>
      </c>
      <c r="Q101" s="65">
        <v>23599.96</v>
      </c>
      <c r="R101" s="51"/>
      <c r="S101" s="50">
        <f t="shared" si="1"/>
        <v>6809.92</v>
      </c>
      <c r="T101" s="50"/>
      <c r="U101" s="225">
        <v>6809.92</v>
      </c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379"/>
      <c r="B102" s="380"/>
      <c r="C102" s="380"/>
      <c r="D102" s="380"/>
      <c r="E102" s="380"/>
      <c r="F102" s="54"/>
      <c r="G102" s="55" t="s">
        <v>28</v>
      </c>
      <c r="H102" s="116"/>
      <c r="I102" s="57"/>
      <c r="J102" s="57"/>
      <c r="K102" s="43"/>
      <c r="L102" s="44"/>
      <c r="M102" s="43">
        <f t="shared" si="0"/>
        <v>0</v>
      </c>
      <c r="N102" s="43"/>
      <c r="O102" s="41"/>
      <c r="P102" s="103"/>
      <c r="Q102" s="43"/>
      <c r="R102" s="44"/>
      <c r="S102" s="43">
        <f t="shared" si="1"/>
        <v>0</v>
      </c>
      <c r="T102" s="43"/>
      <c r="U102" s="41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372"/>
      <c r="B103" s="374" t="s">
        <v>106</v>
      </c>
      <c r="C103" s="374" t="s">
        <v>22</v>
      </c>
      <c r="D103" s="374" t="s">
        <v>107</v>
      </c>
      <c r="E103" s="374" t="s">
        <v>27</v>
      </c>
      <c r="F103" s="22"/>
      <c r="G103" s="23" t="s">
        <v>24</v>
      </c>
      <c r="H103" s="48">
        <v>1</v>
      </c>
      <c r="I103" s="25"/>
      <c r="J103" s="25"/>
      <c r="K103" s="26"/>
      <c r="L103" s="27"/>
      <c r="M103" s="26">
        <f t="shared" si="0"/>
        <v>0</v>
      </c>
      <c r="N103" s="26"/>
      <c r="O103" s="31"/>
      <c r="P103" s="53">
        <v>6</v>
      </c>
      <c r="Q103" s="30">
        <v>20735.55</v>
      </c>
      <c r="R103" s="27"/>
      <c r="S103" s="26">
        <f t="shared" si="1"/>
        <v>0</v>
      </c>
      <c r="T103" s="26"/>
      <c r="U103" s="31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379"/>
      <c r="B104" s="380"/>
      <c r="C104" s="380"/>
      <c r="D104" s="380"/>
      <c r="E104" s="380"/>
      <c r="F104" s="233" t="s">
        <v>233</v>
      </c>
      <c r="G104" s="227" t="s">
        <v>28</v>
      </c>
      <c r="H104" s="153">
        <v>1</v>
      </c>
      <c r="I104" s="57"/>
      <c r="J104" s="57"/>
      <c r="K104" s="43"/>
      <c r="L104" s="44"/>
      <c r="M104" s="43">
        <f t="shared" si="0"/>
        <v>0</v>
      </c>
      <c r="N104" s="43"/>
      <c r="O104" s="41"/>
      <c r="P104" s="103"/>
      <c r="Q104" s="43"/>
      <c r="R104" s="44"/>
      <c r="S104" s="43">
        <f t="shared" si="1"/>
        <v>0</v>
      </c>
      <c r="T104" s="57"/>
      <c r="U104" s="41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372"/>
      <c r="B105" s="374" t="s">
        <v>108</v>
      </c>
      <c r="C105" s="374" t="s">
        <v>46</v>
      </c>
      <c r="D105" s="374" t="s">
        <v>109</v>
      </c>
      <c r="E105" s="374" t="s">
        <v>27</v>
      </c>
      <c r="F105" s="204" t="s">
        <v>273</v>
      </c>
      <c r="G105" s="176" t="s">
        <v>24</v>
      </c>
      <c r="H105" s="98"/>
      <c r="I105" s="25"/>
      <c r="J105" s="25"/>
      <c r="K105" s="26"/>
      <c r="L105" s="27"/>
      <c r="M105" s="26">
        <f t="shared" si="0"/>
        <v>0</v>
      </c>
      <c r="N105" s="26"/>
      <c r="O105" s="31"/>
      <c r="P105" s="53">
        <v>4</v>
      </c>
      <c r="Q105" s="30">
        <v>14334.39</v>
      </c>
      <c r="R105" s="27"/>
      <c r="S105" s="26">
        <f t="shared" si="1"/>
        <v>13277.84</v>
      </c>
      <c r="T105" s="26"/>
      <c r="U105" s="225">
        <v>13277.84</v>
      </c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387"/>
      <c r="B106" s="386"/>
      <c r="C106" s="386"/>
      <c r="D106" s="386"/>
      <c r="E106" s="386"/>
      <c r="F106" s="235" t="s">
        <v>234</v>
      </c>
      <c r="G106" s="252" t="s">
        <v>28</v>
      </c>
      <c r="H106" s="48">
        <v>2</v>
      </c>
      <c r="I106" s="246">
        <v>1</v>
      </c>
      <c r="J106" s="246">
        <v>1</v>
      </c>
      <c r="K106" s="158">
        <v>576.29999999999995</v>
      </c>
      <c r="L106" s="143"/>
      <c r="M106" s="142">
        <f t="shared" si="0"/>
        <v>0</v>
      </c>
      <c r="N106" s="142"/>
      <c r="O106" s="45"/>
      <c r="P106" s="157">
        <v>3</v>
      </c>
      <c r="Q106" s="158">
        <v>6513.21</v>
      </c>
      <c r="R106" s="143"/>
      <c r="S106" s="142">
        <f t="shared" si="1"/>
        <v>0</v>
      </c>
      <c r="T106" s="142"/>
      <c r="U106" s="45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373"/>
      <c r="B107" s="375"/>
      <c r="C107" s="375"/>
      <c r="D107" s="375"/>
      <c r="E107" s="375"/>
      <c r="F107" s="145"/>
      <c r="G107" s="253" t="s">
        <v>25</v>
      </c>
      <c r="H107" s="147"/>
      <c r="I107" s="38"/>
      <c r="J107" s="38"/>
      <c r="K107" s="39"/>
      <c r="L107" s="40"/>
      <c r="M107" s="39">
        <f t="shared" si="0"/>
        <v>0</v>
      </c>
      <c r="N107" s="39"/>
      <c r="O107" s="41"/>
      <c r="P107" s="59"/>
      <c r="Q107" s="39"/>
      <c r="R107" s="40"/>
      <c r="S107" s="39">
        <f t="shared" si="1"/>
        <v>0</v>
      </c>
      <c r="T107" s="39"/>
      <c r="U107" s="41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376"/>
      <c r="B108" s="377" t="s">
        <v>110</v>
      </c>
      <c r="C108" s="377" t="s">
        <v>22</v>
      </c>
      <c r="D108" s="377"/>
      <c r="E108" s="377" t="s">
        <v>67</v>
      </c>
      <c r="F108" s="232" t="s">
        <v>274</v>
      </c>
      <c r="G108" s="23" t="s">
        <v>24</v>
      </c>
      <c r="H108" s="48">
        <v>1</v>
      </c>
      <c r="I108" s="49"/>
      <c r="J108" s="49"/>
      <c r="K108" s="50"/>
      <c r="L108" s="51"/>
      <c r="M108" s="50">
        <f t="shared" si="0"/>
        <v>0</v>
      </c>
      <c r="N108" s="50"/>
      <c r="O108" s="31"/>
      <c r="P108" s="108">
        <v>3</v>
      </c>
      <c r="Q108" s="65">
        <v>8558.75</v>
      </c>
      <c r="R108" s="51"/>
      <c r="S108" s="50">
        <f t="shared" si="1"/>
        <v>3034.34</v>
      </c>
      <c r="T108" s="50"/>
      <c r="U108" s="225">
        <v>3034.34</v>
      </c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379"/>
      <c r="B109" s="380"/>
      <c r="C109" s="380"/>
      <c r="D109" s="380"/>
      <c r="E109" s="380"/>
      <c r="F109" s="54"/>
      <c r="G109" s="55" t="s">
        <v>28</v>
      </c>
      <c r="H109" s="116"/>
      <c r="I109" s="57"/>
      <c r="J109" s="57"/>
      <c r="K109" s="43"/>
      <c r="L109" s="44"/>
      <c r="M109" s="43">
        <f t="shared" si="0"/>
        <v>0</v>
      </c>
      <c r="N109" s="43"/>
      <c r="O109" s="41"/>
      <c r="P109" s="103"/>
      <c r="Q109" s="43"/>
      <c r="R109" s="44"/>
      <c r="S109" s="43">
        <f t="shared" si="1"/>
        <v>0</v>
      </c>
      <c r="T109" s="43"/>
      <c r="U109" s="41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372"/>
      <c r="B110" s="374" t="s">
        <v>111</v>
      </c>
      <c r="C110" s="374" t="s">
        <v>22</v>
      </c>
      <c r="D110" s="374"/>
      <c r="E110" s="374" t="s">
        <v>112</v>
      </c>
      <c r="F110" s="22"/>
      <c r="G110" s="23" t="s">
        <v>24</v>
      </c>
      <c r="H110" s="48">
        <v>1</v>
      </c>
      <c r="I110" s="25"/>
      <c r="J110" s="25"/>
      <c r="K110" s="26"/>
      <c r="L110" s="27"/>
      <c r="M110" s="26">
        <f t="shared" si="0"/>
        <v>0</v>
      </c>
      <c r="N110" s="26"/>
      <c r="O110" s="31"/>
      <c r="P110" s="53">
        <v>2</v>
      </c>
      <c r="Q110" s="30">
        <v>1306.28</v>
      </c>
      <c r="R110" s="27"/>
      <c r="S110" s="26">
        <f t="shared" si="1"/>
        <v>0</v>
      </c>
      <c r="T110" s="26"/>
      <c r="U110" s="31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379"/>
      <c r="B111" s="380"/>
      <c r="C111" s="380"/>
      <c r="D111" s="380"/>
      <c r="E111" s="380"/>
      <c r="F111" s="233" t="s">
        <v>235</v>
      </c>
      <c r="G111" s="227" t="s">
        <v>28</v>
      </c>
      <c r="H111" s="133">
        <v>1</v>
      </c>
      <c r="I111" s="57"/>
      <c r="J111" s="57"/>
      <c r="K111" s="43"/>
      <c r="L111" s="44"/>
      <c r="M111" s="43">
        <f t="shared" si="0"/>
        <v>0</v>
      </c>
      <c r="N111" s="43"/>
      <c r="O111" s="41"/>
      <c r="P111" s="103"/>
      <c r="Q111" s="43"/>
      <c r="R111" s="44"/>
      <c r="S111" s="43">
        <f t="shared" si="1"/>
        <v>0</v>
      </c>
      <c r="T111" s="43"/>
      <c r="U111" s="41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372"/>
      <c r="B112" s="374" t="s">
        <v>113</v>
      </c>
      <c r="C112" s="374" t="s">
        <v>39</v>
      </c>
      <c r="D112" s="374" t="s">
        <v>114</v>
      </c>
      <c r="E112" s="374" t="s">
        <v>27</v>
      </c>
      <c r="F112" s="204" t="s">
        <v>305</v>
      </c>
      <c r="G112" s="176" t="s">
        <v>24</v>
      </c>
      <c r="H112" s="48">
        <v>4</v>
      </c>
      <c r="I112" s="62">
        <v>2</v>
      </c>
      <c r="J112" s="62">
        <v>3</v>
      </c>
      <c r="K112" s="30">
        <v>3350.71</v>
      </c>
      <c r="L112" s="27"/>
      <c r="M112" s="26">
        <f t="shared" si="0"/>
        <v>0</v>
      </c>
      <c r="N112" s="26"/>
      <c r="O112" s="31"/>
      <c r="P112" s="53">
        <v>7</v>
      </c>
      <c r="Q112" s="30">
        <v>18129.560000000001</v>
      </c>
      <c r="R112" s="27"/>
      <c r="S112" s="26">
        <f t="shared" si="1"/>
        <v>7729.47</v>
      </c>
      <c r="T112" s="26"/>
      <c r="U112" s="225">
        <v>7729.47</v>
      </c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373"/>
      <c r="B113" s="375"/>
      <c r="C113" s="375"/>
      <c r="D113" s="375"/>
      <c r="E113" s="375"/>
      <c r="F113" s="220" t="s">
        <v>306</v>
      </c>
      <c r="G113" s="229" t="s">
        <v>28</v>
      </c>
      <c r="H113" s="56">
        <v>2</v>
      </c>
      <c r="I113" s="57"/>
      <c r="J113" s="57"/>
      <c r="K113" s="43"/>
      <c r="L113" s="44"/>
      <c r="M113" s="43">
        <f t="shared" si="0"/>
        <v>0</v>
      </c>
      <c r="N113" s="43"/>
      <c r="O113" s="45"/>
      <c r="P113" s="113">
        <v>2</v>
      </c>
      <c r="Q113" s="114">
        <v>5186.7</v>
      </c>
      <c r="R113" s="44"/>
      <c r="S113" s="43">
        <f t="shared" si="1"/>
        <v>0</v>
      </c>
      <c r="T113" s="43"/>
      <c r="U113" s="41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372"/>
      <c r="B114" s="374" t="s">
        <v>115</v>
      </c>
      <c r="C114" s="374" t="s">
        <v>22</v>
      </c>
      <c r="D114" s="374"/>
      <c r="E114" s="374" t="s">
        <v>27</v>
      </c>
      <c r="F114" s="22"/>
      <c r="G114" s="23" t="s">
        <v>24</v>
      </c>
      <c r="H114" s="104"/>
      <c r="I114" s="25"/>
      <c r="J114" s="25"/>
      <c r="K114" s="26"/>
      <c r="L114" s="148"/>
      <c r="M114" s="149">
        <f t="shared" si="0"/>
        <v>0</v>
      </c>
      <c r="N114" s="26"/>
      <c r="O114" s="100"/>
      <c r="P114" s="120"/>
      <c r="Q114" s="26"/>
      <c r="R114" s="27"/>
      <c r="S114" s="26">
        <f t="shared" si="1"/>
        <v>0</v>
      </c>
      <c r="T114" s="26"/>
      <c r="U114" s="31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373"/>
      <c r="B115" s="375"/>
      <c r="C115" s="375"/>
      <c r="D115" s="375"/>
      <c r="E115" s="375"/>
      <c r="F115" s="34"/>
      <c r="G115" s="35" t="s">
        <v>28</v>
      </c>
      <c r="H115" s="106"/>
      <c r="I115" s="38"/>
      <c r="J115" s="38"/>
      <c r="K115" s="39"/>
      <c r="L115" s="40"/>
      <c r="M115" s="39">
        <f t="shared" si="0"/>
        <v>0</v>
      </c>
      <c r="N115" s="39"/>
      <c r="O115" s="41"/>
      <c r="P115" s="69"/>
      <c r="Q115" s="39"/>
      <c r="R115" s="40"/>
      <c r="S115" s="39">
        <f t="shared" si="1"/>
        <v>0</v>
      </c>
      <c r="T115" s="39"/>
      <c r="U115" s="41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382"/>
      <c r="B116" s="381" t="s">
        <v>116</v>
      </c>
      <c r="C116" s="381" t="s">
        <v>22</v>
      </c>
      <c r="D116" s="381"/>
      <c r="E116" s="381" t="s">
        <v>27</v>
      </c>
      <c r="F116" s="223" t="s">
        <v>307</v>
      </c>
      <c r="G116" s="47" t="s">
        <v>24</v>
      </c>
      <c r="H116" s="61">
        <v>3</v>
      </c>
      <c r="I116" s="62">
        <v>3</v>
      </c>
      <c r="J116" s="62">
        <v>3</v>
      </c>
      <c r="K116" s="30">
        <v>3189.98</v>
      </c>
      <c r="L116" s="27"/>
      <c r="M116" s="26">
        <f t="shared" si="0"/>
        <v>0</v>
      </c>
      <c r="N116" s="26"/>
      <c r="O116" s="100"/>
      <c r="P116" s="64">
        <v>2</v>
      </c>
      <c r="Q116" s="65">
        <v>3540.18</v>
      </c>
      <c r="R116" s="51"/>
      <c r="S116" s="50">
        <f t="shared" si="1"/>
        <v>2272.3200000000002</v>
      </c>
      <c r="T116" s="50"/>
      <c r="U116" s="225">
        <v>2272.3200000000002</v>
      </c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373"/>
      <c r="B117" s="375"/>
      <c r="C117" s="375"/>
      <c r="D117" s="375"/>
      <c r="E117" s="375"/>
      <c r="F117" s="34"/>
      <c r="G117" s="35" t="s">
        <v>28</v>
      </c>
      <c r="H117" s="116"/>
      <c r="I117" s="38"/>
      <c r="J117" s="38"/>
      <c r="K117" s="39"/>
      <c r="L117" s="40"/>
      <c r="M117" s="39">
        <f t="shared" si="0"/>
        <v>0</v>
      </c>
      <c r="N117" s="39"/>
      <c r="O117" s="41"/>
      <c r="P117" s="69"/>
      <c r="Q117" s="39"/>
      <c r="R117" s="40"/>
      <c r="S117" s="39">
        <f t="shared" si="1"/>
        <v>0</v>
      </c>
      <c r="T117" s="39"/>
      <c r="U117" s="41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382"/>
      <c r="B118" s="381" t="s">
        <v>117</v>
      </c>
      <c r="C118" s="381" t="s">
        <v>22</v>
      </c>
      <c r="D118" s="381"/>
      <c r="E118" s="381" t="s">
        <v>67</v>
      </c>
      <c r="F118" s="223" t="s">
        <v>308</v>
      </c>
      <c r="G118" s="23" t="s">
        <v>24</v>
      </c>
      <c r="H118" s="48">
        <v>6</v>
      </c>
      <c r="I118" s="203">
        <v>4</v>
      </c>
      <c r="J118" s="203">
        <v>5</v>
      </c>
      <c r="K118" s="65">
        <v>15263.87</v>
      </c>
      <c r="L118" s="51"/>
      <c r="M118" s="50">
        <f t="shared" si="0"/>
        <v>0</v>
      </c>
      <c r="N118" s="50"/>
      <c r="O118" s="31"/>
      <c r="P118" s="108">
        <v>19</v>
      </c>
      <c r="Q118" s="65">
        <v>61934.03</v>
      </c>
      <c r="R118" s="51"/>
      <c r="S118" s="50">
        <f t="shared" si="1"/>
        <v>10009.61</v>
      </c>
      <c r="T118" s="50"/>
      <c r="U118" s="225">
        <v>10009.61</v>
      </c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379"/>
      <c r="B119" s="380"/>
      <c r="C119" s="380"/>
      <c r="D119" s="380"/>
      <c r="E119" s="380"/>
      <c r="F119" s="226"/>
      <c r="G119" s="227" t="s">
        <v>28</v>
      </c>
      <c r="H119" s="116"/>
      <c r="I119" s="57"/>
      <c r="J119" s="57"/>
      <c r="K119" s="43"/>
      <c r="L119" s="44"/>
      <c r="M119" s="43">
        <f t="shared" si="0"/>
        <v>0</v>
      </c>
      <c r="N119" s="43"/>
      <c r="O119" s="41"/>
      <c r="P119" s="103"/>
      <c r="Q119" s="43"/>
      <c r="R119" s="44"/>
      <c r="S119" s="43">
        <f t="shared" si="1"/>
        <v>0</v>
      </c>
      <c r="T119" s="43"/>
      <c r="U119" s="41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372"/>
      <c r="B120" s="374" t="s">
        <v>118</v>
      </c>
      <c r="C120" s="374" t="s">
        <v>39</v>
      </c>
      <c r="D120" s="374" t="s">
        <v>309</v>
      </c>
      <c r="E120" s="374" t="s">
        <v>27</v>
      </c>
      <c r="F120" s="204" t="s">
        <v>310</v>
      </c>
      <c r="G120" s="176" t="s">
        <v>24</v>
      </c>
      <c r="H120" s="151">
        <v>2</v>
      </c>
      <c r="I120" s="25"/>
      <c r="J120" s="25"/>
      <c r="K120" s="26"/>
      <c r="L120" s="27"/>
      <c r="M120" s="26">
        <f t="shared" si="0"/>
        <v>0</v>
      </c>
      <c r="N120" s="26"/>
      <c r="O120" s="31"/>
      <c r="P120" s="53">
        <v>6</v>
      </c>
      <c r="Q120" s="30">
        <v>21153.67</v>
      </c>
      <c r="R120" s="27"/>
      <c r="S120" s="26">
        <f t="shared" si="1"/>
        <v>21153.67</v>
      </c>
      <c r="T120" s="26"/>
      <c r="U120" s="225">
        <v>21153.67</v>
      </c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373"/>
      <c r="B121" s="375"/>
      <c r="C121" s="375"/>
      <c r="D121" s="375"/>
      <c r="E121" s="375"/>
      <c r="F121" s="152"/>
      <c r="G121" s="229" t="s">
        <v>28</v>
      </c>
      <c r="H121" s="116"/>
      <c r="I121" s="38"/>
      <c r="J121" s="38"/>
      <c r="K121" s="39"/>
      <c r="L121" s="40"/>
      <c r="M121" s="39">
        <f t="shared" si="0"/>
        <v>0</v>
      </c>
      <c r="N121" s="39"/>
      <c r="O121" s="41"/>
      <c r="P121" s="59"/>
      <c r="Q121" s="39"/>
      <c r="R121" s="40"/>
      <c r="S121" s="39">
        <f t="shared" si="1"/>
        <v>0</v>
      </c>
      <c r="T121" s="39"/>
      <c r="U121" s="41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372"/>
      <c r="B122" s="374" t="s">
        <v>119</v>
      </c>
      <c r="C122" s="374" t="s">
        <v>39</v>
      </c>
      <c r="D122" s="374" t="s">
        <v>311</v>
      </c>
      <c r="E122" s="374" t="s">
        <v>121</v>
      </c>
      <c r="F122" s="232" t="s">
        <v>312</v>
      </c>
      <c r="G122" s="23" t="s">
        <v>24</v>
      </c>
      <c r="H122" s="151">
        <v>1</v>
      </c>
      <c r="I122" s="25"/>
      <c r="J122" s="25"/>
      <c r="K122" s="26"/>
      <c r="L122" s="27"/>
      <c r="M122" s="26">
        <f t="shared" si="0"/>
        <v>0</v>
      </c>
      <c r="N122" s="26"/>
      <c r="O122" s="31"/>
      <c r="P122" s="53">
        <v>19</v>
      </c>
      <c r="Q122" s="30">
        <v>28164.47</v>
      </c>
      <c r="R122" s="27"/>
      <c r="S122" s="26">
        <f t="shared" si="1"/>
        <v>4998.1400000000003</v>
      </c>
      <c r="T122" s="26"/>
      <c r="U122" s="225">
        <v>4998.1400000000003</v>
      </c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373"/>
      <c r="B123" s="380"/>
      <c r="C123" s="380"/>
      <c r="D123" s="380"/>
      <c r="E123" s="380"/>
      <c r="F123" s="233" t="s">
        <v>313</v>
      </c>
      <c r="G123" s="227" t="s">
        <v>25</v>
      </c>
      <c r="H123" s="153">
        <v>2</v>
      </c>
      <c r="I123" s="57"/>
      <c r="J123" s="57"/>
      <c r="K123" s="43"/>
      <c r="L123" s="44"/>
      <c r="M123" s="43">
        <f t="shared" si="0"/>
        <v>0</v>
      </c>
      <c r="N123" s="43"/>
      <c r="O123" s="41"/>
      <c r="P123" s="113">
        <v>1</v>
      </c>
      <c r="Q123" s="114">
        <v>4034.1</v>
      </c>
      <c r="R123" s="44"/>
      <c r="S123" s="43">
        <f t="shared" si="1"/>
        <v>0</v>
      </c>
      <c r="T123" s="43"/>
      <c r="U123" s="41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372"/>
      <c r="B124" s="374" t="s">
        <v>122</v>
      </c>
      <c r="C124" s="374" t="s">
        <v>39</v>
      </c>
      <c r="D124" s="374" t="s">
        <v>123</v>
      </c>
      <c r="E124" s="374" t="s">
        <v>55</v>
      </c>
      <c r="F124" s="204" t="s">
        <v>236</v>
      </c>
      <c r="G124" s="176" t="s">
        <v>24</v>
      </c>
      <c r="H124" s="48">
        <v>4</v>
      </c>
      <c r="I124" s="62">
        <v>1</v>
      </c>
      <c r="J124" s="62">
        <v>2</v>
      </c>
      <c r="K124" s="30">
        <v>3016.65</v>
      </c>
      <c r="L124" s="27"/>
      <c r="M124" s="26">
        <f t="shared" si="0"/>
        <v>0</v>
      </c>
      <c r="N124" s="26"/>
      <c r="O124" s="31"/>
      <c r="P124" s="53">
        <v>11</v>
      </c>
      <c r="Q124" s="30">
        <v>41694.230000000003</v>
      </c>
      <c r="R124" s="205">
        <v>6</v>
      </c>
      <c r="S124" s="26">
        <f t="shared" si="1"/>
        <v>29991.43</v>
      </c>
      <c r="T124" s="30">
        <v>15352.72</v>
      </c>
      <c r="U124" s="225">
        <v>14638.71</v>
      </c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373"/>
      <c r="B125" s="375"/>
      <c r="C125" s="375"/>
      <c r="D125" s="375"/>
      <c r="E125" s="375"/>
      <c r="F125" s="34"/>
      <c r="G125" s="229" t="s">
        <v>25</v>
      </c>
      <c r="H125" s="116"/>
      <c r="I125" s="38"/>
      <c r="J125" s="38"/>
      <c r="K125" s="39"/>
      <c r="L125" s="40"/>
      <c r="M125" s="39">
        <f t="shared" si="0"/>
        <v>0</v>
      </c>
      <c r="N125" s="39"/>
      <c r="O125" s="41"/>
      <c r="P125" s="59"/>
      <c r="Q125" s="39"/>
      <c r="R125" s="40"/>
      <c r="S125" s="39">
        <f t="shared" si="1"/>
        <v>0</v>
      </c>
      <c r="T125" s="39"/>
      <c r="U125" s="41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376"/>
      <c r="B126" s="377" t="s">
        <v>124</v>
      </c>
      <c r="C126" s="377" t="s">
        <v>39</v>
      </c>
      <c r="D126" s="377" t="s">
        <v>314</v>
      </c>
      <c r="E126" s="377" t="s">
        <v>27</v>
      </c>
      <c r="F126" s="232" t="s">
        <v>237</v>
      </c>
      <c r="G126" s="23" t="s">
        <v>24</v>
      </c>
      <c r="H126" s="48">
        <v>8</v>
      </c>
      <c r="I126" s="203">
        <v>1</v>
      </c>
      <c r="J126" s="203">
        <v>2</v>
      </c>
      <c r="K126" s="65">
        <v>1045.98</v>
      </c>
      <c r="L126" s="51"/>
      <c r="M126" s="50">
        <f t="shared" si="0"/>
        <v>0</v>
      </c>
      <c r="N126" s="50"/>
      <c r="O126" s="31"/>
      <c r="P126" s="108">
        <v>33</v>
      </c>
      <c r="Q126" s="65">
        <v>195471.48</v>
      </c>
      <c r="R126" s="224">
        <v>7</v>
      </c>
      <c r="S126" s="50">
        <f t="shared" si="1"/>
        <v>74062.510000000009</v>
      </c>
      <c r="T126" s="65">
        <v>50185.66</v>
      </c>
      <c r="U126" s="225">
        <v>23876.85</v>
      </c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387"/>
      <c r="B127" s="386"/>
      <c r="C127" s="386"/>
      <c r="D127" s="386"/>
      <c r="E127" s="386"/>
      <c r="F127" s="135"/>
      <c r="G127" s="154" t="s">
        <v>25</v>
      </c>
      <c r="H127" s="98"/>
      <c r="I127" s="155"/>
      <c r="J127" s="155"/>
      <c r="K127" s="239" t="s">
        <v>43</v>
      </c>
      <c r="L127" s="128"/>
      <c r="M127" s="129">
        <f t="shared" si="0"/>
        <v>0</v>
      </c>
      <c r="N127" s="129"/>
      <c r="O127" s="45"/>
      <c r="P127" s="156"/>
      <c r="Q127" s="129"/>
      <c r="R127" s="128"/>
      <c r="S127" s="129">
        <f t="shared" si="1"/>
        <v>0</v>
      </c>
      <c r="T127" s="129"/>
      <c r="U127" s="45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379"/>
      <c r="B128" s="380"/>
      <c r="C128" s="380"/>
      <c r="D128" s="380"/>
      <c r="E128" s="380"/>
      <c r="F128" s="54"/>
      <c r="G128" s="55" t="s">
        <v>28</v>
      </c>
      <c r="H128" s="111"/>
      <c r="I128" s="57"/>
      <c r="J128" s="57"/>
      <c r="K128" s="43"/>
      <c r="L128" s="44"/>
      <c r="M128" s="43">
        <f t="shared" si="0"/>
        <v>0</v>
      </c>
      <c r="N128" s="43"/>
      <c r="O128" s="41"/>
      <c r="P128" s="113">
        <v>1</v>
      </c>
      <c r="Q128" s="43"/>
      <c r="R128" s="44"/>
      <c r="S128" s="43">
        <f t="shared" si="1"/>
        <v>2305.1999999999998</v>
      </c>
      <c r="T128" s="43"/>
      <c r="U128" s="41">
        <f>1152.6+1152.6</f>
        <v>2305.1999999999998</v>
      </c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372"/>
      <c r="B129" s="374" t="s">
        <v>126</v>
      </c>
      <c r="C129" s="374" t="s">
        <v>22</v>
      </c>
      <c r="D129" s="378"/>
      <c r="E129" s="374" t="s">
        <v>65</v>
      </c>
      <c r="F129" s="150"/>
      <c r="G129" s="23" t="s">
        <v>24</v>
      </c>
      <c r="H129" s="98"/>
      <c r="I129" s="25"/>
      <c r="J129" s="25"/>
      <c r="K129" s="26"/>
      <c r="L129" s="27"/>
      <c r="M129" s="26">
        <f t="shared" si="0"/>
        <v>0</v>
      </c>
      <c r="N129" s="26"/>
      <c r="O129" s="31"/>
      <c r="P129" s="99"/>
      <c r="Q129" s="26"/>
      <c r="R129" s="27"/>
      <c r="S129" s="26">
        <f t="shared" si="1"/>
        <v>0</v>
      </c>
      <c r="T129" s="26"/>
      <c r="U129" s="31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373"/>
      <c r="B130" s="375"/>
      <c r="C130" s="375"/>
      <c r="D130" s="375"/>
      <c r="E130" s="375"/>
      <c r="F130" s="254" t="s">
        <v>316</v>
      </c>
      <c r="G130" s="35" t="s">
        <v>28</v>
      </c>
      <c r="H130" s="153">
        <v>3</v>
      </c>
      <c r="I130" s="37">
        <v>2</v>
      </c>
      <c r="J130" s="37">
        <v>2</v>
      </c>
      <c r="K130" s="68">
        <v>2305.1999999999998</v>
      </c>
      <c r="L130" s="40"/>
      <c r="M130" s="39">
        <f t="shared" si="0"/>
        <v>0</v>
      </c>
      <c r="N130" s="39"/>
      <c r="O130" s="41"/>
      <c r="P130" s="115">
        <v>1</v>
      </c>
      <c r="Q130" s="68">
        <v>700</v>
      </c>
      <c r="R130" s="40"/>
      <c r="S130" s="39">
        <f t="shared" si="1"/>
        <v>0</v>
      </c>
      <c r="T130" s="39"/>
      <c r="U130" s="41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382"/>
      <c r="B131" s="381" t="s">
        <v>127</v>
      </c>
      <c r="C131" s="381" t="s">
        <v>22</v>
      </c>
      <c r="D131" s="381"/>
      <c r="E131" s="381" t="s">
        <v>67</v>
      </c>
      <c r="F131" s="46"/>
      <c r="G131" s="47" t="s">
        <v>24</v>
      </c>
      <c r="H131" s="48">
        <v>4</v>
      </c>
      <c r="I131" s="49"/>
      <c r="J131" s="49"/>
      <c r="K131" s="50"/>
      <c r="L131" s="51"/>
      <c r="M131" s="50">
        <f t="shared" si="0"/>
        <v>0</v>
      </c>
      <c r="N131" s="50"/>
      <c r="O131" s="31"/>
      <c r="P131" s="108">
        <v>4</v>
      </c>
      <c r="Q131" s="65">
        <v>16831.23</v>
      </c>
      <c r="R131" s="51"/>
      <c r="S131" s="50">
        <f t="shared" si="1"/>
        <v>0</v>
      </c>
      <c r="T131" s="50"/>
      <c r="U131" s="31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373"/>
      <c r="B132" s="375"/>
      <c r="C132" s="375"/>
      <c r="D132" s="375"/>
      <c r="E132" s="375"/>
      <c r="F132" s="221" t="s">
        <v>317</v>
      </c>
      <c r="G132" s="55" t="s">
        <v>28</v>
      </c>
      <c r="H132" s="153">
        <v>7</v>
      </c>
      <c r="I132" s="37">
        <v>1</v>
      </c>
      <c r="J132" s="37">
        <v>1</v>
      </c>
      <c r="K132" s="68">
        <v>1578.8</v>
      </c>
      <c r="L132" s="40"/>
      <c r="M132" s="39">
        <f t="shared" si="0"/>
        <v>0</v>
      </c>
      <c r="N132" s="39"/>
      <c r="O132" s="41"/>
      <c r="P132" s="115">
        <v>1</v>
      </c>
      <c r="Q132" s="68">
        <v>11053.9</v>
      </c>
      <c r="R132" s="40"/>
      <c r="S132" s="39">
        <f t="shared" si="1"/>
        <v>0</v>
      </c>
      <c r="T132" s="39"/>
      <c r="U132" s="41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382"/>
      <c r="B133" s="381" t="s">
        <v>128</v>
      </c>
      <c r="C133" s="381" t="s">
        <v>39</v>
      </c>
      <c r="D133" s="381" t="s">
        <v>129</v>
      </c>
      <c r="E133" s="381" t="s">
        <v>121</v>
      </c>
      <c r="F133" s="60"/>
      <c r="G133" s="23" t="s">
        <v>24</v>
      </c>
      <c r="H133" s="107"/>
      <c r="I133" s="49"/>
      <c r="J133" s="127"/>
      <c r="K133" s="50"/>
      <c r="L133" s="51"/>
      <c r="M133" s="50">
        <f t="shared" si="0"/>
        <v>0</v>
      </c>
      <c r="N133" s="50"/>
      <c r="O133" s="31"/>
      <c r="P133" s="108">
        <v>1</v>
      </c>
      <c r="Q133" s="65">
        <v>14638.71</v>
      </c>
      <c r="R133" s="51"/>
      <c r="S133" s="50">
        <f t="shared" si="1"/>
        <v>0</v>
      </c>
      <c r="T133" s="50"/>
      <c r="U133" s="31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379"/>
      <c r="B134" s="380"/>
      <c r="C134" s="380"/>
      <c r="D134" s="380"/>
      <c r="E134" s="380"/>
      <c r="F134" s="247"/>
      <c r="G134" s="227" t="s">
        <v>25</v>
      </c>
      <c r="H134" s="153">
        <v>1</v>
      </c>
      <c r="I134" s="57"/>
      <c r="J134" s="57"/>
      <c r="K134" s="43"/>
      <c r="L134" s="44"/>
      <c r="M134" s="43">
        <f t="shared" si="0"/>
        <v>0</v>
      </c>
      <c r="N134" s="43"/>
      <c r="O134" s="41"/>
      <c r="P134" s="103"/>
      <c r="Q134" s="43"/>
      <c r="R134" s="44"/>
      <c r="S134" s="43">
        <f t="shared" si="1"/>
        <v>0</v>
      </c>
      <c r="T134" s="43"/>
      <c r="U134" s="41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372"/>
      <c r="B135" s="374" t="s">
        <v>130</v>
      </c>
      <c r="C135" s="374" t="s">
        <v>22</v>
      </c>
      <c r="D135" s="374"/>
      <c r="E135" s="374" t="s">
        <v>131</v>
      </c>
      <c r="F135" s="22"/>
      <c r="G135" s="176" t="s">
        <v>24</v>
      </c>
      <c r="H135" s="48"/>
      <c r="I135" s="25"/>
      <c r="J135" s="25"/>
      <c r="K135" s="26"/>
      <c r="L135" s="27"/>
      <c r="M135" s="26">
        <f t="shared" si="0"/>
        <v>0</v>
      </c>
      <c r="N135" s="26"/>
      <c r="O135" s="31"/>
      <c r="P135" s="53">
        <v>3</v>
      </c>
      <c r="Q135" s="30">
        <v>5532.03</v>
      </c>
      <c r="R135" s="27"/>
      <c r="S135" s="26">
        <f t="shared" si="1"/>
        <v>0</v>
      </c>
      <c r="T135" s="26"/>
      <c r="U135" s="31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373"/>
      <c r="B136" s="375"/>
      <c r="C136" s="375"/>
      <c r="D136" s="375"/>
      <c r="E136" s="375"/>
      <c r="F136" s="34"/>
      <c r="G136" s="229" t="s">
        <v>25</v>
      </c>
      <c r="H136" s="112">
        <v>4</v>
      </c>
      <c r="I136" s="57"/>
      <c r="J136" s="57"/>
      <c r="K136" s="43"/>
      <c r="L136" s="44"/>
      <c r="M136" s="43">
        <f t="shared" si="0"/>
        <v>0</v>
      </c>
      <c r="N136" s="43"/>
      <c r="O136" s="41"/>
      <c r="P136" s="103"/>
      <c r="Q136" s="43"/>
      <c r="R136" s="44"/>
      <c r="S136" s="43">
        <f t="shared" si="1"/>
        <v>0</v>
      </c>
      <c r="T136" s="43"/>
      <c r="U136" s="41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372"/>
      <c r="B137" s="374" t="s">
        <v>132</v>
      </c>
      <c r="C137" s="374" t="s">
        <v>39</v>
      </c>
      <c r="D137" s="374" t="s">
        <v>238</v>
      </c>
      <c r="E137" s="377" t="s">
        <v>136</v>
      </c>
      <c r="F137" s="232" t="s">
        <v>239</v>
      </c>
      <c r="G137" s="23" t="s">
        <v>24</v>
      </c>
      <c r="H137" s="61">
        <v>2</v>
      </c>
      <c r="I137" s="62">
        <v>1</v>
      </c>
      <c r="J137" s="62">
        <v>1</v>
      </c>
      <c r="K137" s="30">
        <v>1210.23</v>
      </c>
      <c r="L137" s="27"/>
      <c r="M137" s="26">
        <f t="shared" si="0"/>
        <v>0</v>
      </c>
      <c r="N137" s="26"/>
      <c r="O137" s="31"/>
      <c r="P137" s="53">
        <v>9</v>
      </c>
      <c r="Q137" s="30">
        <v>26912.93</v>
      </c>
      <c r="R137" s="205">
        <v>1</v>
      </c>
      <c r="S137" s="26">
        <f t="shared" si="1"/>
        <v>8445.0499999999993</v>
      </c>
      <c r="T137" s="30">
        <v>2697.08</v>
      </c>
      <c r="U137" s="225">
        <v>5747.97</v>
      </c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387"/>
      <c r="B138" s="386"/>
      <c r="C138" s="386"/>
      <c r="D138" s="386"/>
      <c r="E138" s="386"/>
      <c r="F138" s="237" t="s">
        <v>240</v>
      </c>
      <c r="G138" s="154" t="s">
        <v>28</v>
      </c>
      <c r="H138" s="112">
        <v>5</v>
      </c>
      <c r="I138" s="155"/>
      <c r="J138" s="155"/>
      <c r="K138" s="129"/>
      <c r="L138" s="128"/>
      <c r="M138" s="129">
        <f t="shared" si="0"/>
        <v>0</v>
      </c>
      <c r="N138" s="129"/>
      <c r="O138" s="45"/>
      <c r="P138" s="238">
        <v>5</v>
      </c>
      <c r="Q138" s="239">
        <v>7357.43</v>
      </c>
      <c r="R138" s="128"/>
      <c r="S138" s="129">
        <f t="shared" si="1"/>
        <v>288.14999999999998</v>
      </c>
      <c r="T138" s="129"/>
      <c r="U138" s="45">
        <f>288.15</f>
        <v>288.14999999999998</v>
      </c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373"/>
      <c r="B139" s="375"/>
      <c r="C139" s="375"/>
      <c r="D139" s="375"/>
      <c r="E139" s="375"/>
      <c r="F139" s="126"/>
      <c r="G139" s="55" t="s">
        <v>25</v>
      </c>
      <c r="H139" s="131"/>
      <c r="I139" s="57"/>
      <c r="J139" s="57"/>
      <c r="K139" s="43"/>
      <c r="L139" s="44"/>
      <c r="M139" s="43">
        <f t="shared" si="0"/>
        <v>0</v>
      </c>
      <c r="N139" s="43"/>
      <c r="O139" s="41"/>
      <c r="P139" s="103"/>
      <c r="Q139" s="43"/>
      <c r="R139" s="44"/>
      <c r="S139" s="43">
        <f t="shared" si="1"/>
        <v>0</v>
      </c>
      <c r="T139" s="43"/>
      <c r="U139" s="41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372"/>
      <c r="B140" s="374" t="s">
        <v>133</v>
      </c>
      <c r="C140" s="374"/>
      <c r="D140" s="374"/>
      <c r="E140" s="381" t="s">
        <v>23</v>
      </c>
      <c r="F140" s="22"/>
      <c r="G140" s="23" t="s">
        <v>24</v>
      </c>
      <c r="H140" s="61">
        <v>5</v>
      </c>
      <c r="I140" s="25"/>
      <c r="J140" s="25"/>
      <c r="K140" s="26"/>
      <c r="L140" s="27"/>
      <c r="M140" s="26">
        <f t="shared" si="0"/>
        <v>0</v>
      </c>
      <c r="N140" s="26"/>
      <c r="O140" s="31"/>
      <c r="P140" s="99"/>
      <c r="Q140" s="26"/>
      <c r="R140" s="27"/>
      <c r="S140" s="26">
        <f t="shared" si="1"/>
        <v>0</v>
      </c>
      <c r="T140" s="26"/>
      <c r="U140" s="31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373"/>
      <c r="B141" s="375"/>
      <c r="C141" s="375"/>
      <c r="D141" s="375"/>
      <c r="E141" s="375"/>
      <c r="F141" s="34"/>
      <c r="G141" s="35" t="s">
        <v>25</v>
      </c>
      <c r="H141" s="106"/>
      <c r="I141" s="38"/>
      <c r="J141" s="38"/>
      <c r="K141" s="39"/>
      <c r="L141" s="40"/>
      <c r="M141" s="39">
        <f t="shared" si="0"/>
        <v>0</v>
      </c>
      <c r="N141" s="39"/>
      <c r="O141" s="41"/>
      <c r="P141" s="59"/>
      <c r="Q141" s="39"/>
      <c r="R141" s="40"/>
      <c r="S141" s="39">
        <f t="shared" si="1"/>
        <v>0</v>
      </c>
      <c r="T141" s="39"/>
      <c r="U141" s="41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372"/>
      <c r="B142" s="374" t="s">
        <v>134</v>
      </c>
      <c r="C142" s="374" t="s">
        <v>39</v>
      </c>
      <c r="D142" s="374" t="s">
        <v>280</v>
      </c>
      <c r="E142" s="374" t="s">
        <v>136</v>
      </c>
      <c r="F142" s="204" t="s">
        <v>282</v>
      </c>
      <c r="G142" s="176" t="s">
        <v>24</v>
      </c>
      <c r="H142" s="48">
        <v>3</v>
      </c>
      <c r="I142" s="203">
        <v>1</v>
      </c>
      <c r="J142" s="203">
        <v>1</v>
      </c>
      <c r="K142" s="65">
        <v>2904.55</v>
      </c>
      <c r="L142" s="51"/>
      <c r="M142" s="50">
        <f t="shared" si="0"/>
        <v>0</v>
      </c>
      <c r="N142" s="50"/>
      <c r="O142" s="31"/>
      <c r="P142" s="108">
        <v>3</v>
      </c>
      <c r="Q142" s="65">
        <v>20443.740000000002</v>
      </c>
      <c r="R142" s="224">
        <v>2</v>
      </c>
      <c r="S142" s="50">
        <f t="shared" si="1"/>
        <v>3694.33</v>
      </c>
      <c r="T142" s="65">
        <v>3694.33</v>
      </c>
      <c r="U142" s="31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387"/>
      <c r="B143" s="386"/>
      <c r="C143" s="386"/>
      <c r="D143" s="386"/>
      <c r="E143" s="386"/>
      <c r="F143" s="235" t="s">
        <v>321</v>
      </c>
      <c r="G143" s="252" t="s">
        <v>28</v>
      </c>
      <c r="H143" s="151">
        <v>3</v>
      </c>
      <c r="I143" s="139"/>
      <c r="J143" s="139"/>
      <c r="K143" s="142"/>
      <c r="L143" s="143"/>
      <c r="M143" s="142">
        <f t="shared" si="0"/>
        <v>0</v>
      </c>
      <c r="N143" s="142"/>
      <c r="O143" s="45"/>
      <c r="P143" s="157">
        <v>3</v>
      </c>
      <c r="Q143" s="158">
        <v>5167.49</v>
      </c>
      <c r="R143" s="51"/>
      <c r="S143" s="50">
        <f t="shared" si="1"/>
        <v>6224.04</v>
      </c>
      <c r="T143" s="142"/>
      <c r="U143" s="45">
        <f>6224.04</f>
        <v>6224.04</v>
      </c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373"/>
      <c r="B144" s="375"/>
      <c r="C144" s="375"/>
      <c r="D144" s="375"/>
      <c r="E144" s="375"/>
      <c r="F144" s="34"/>
      <c r="G144" s="229" t="s">
        <v>25</v>
      </c>
      <c r="H144" s="118"/>
      <c r="I144" s="57"/>
      <c r="J144" s="57"/>
      <c r="K144" s="43"/>
      <c r="L144" s="44"/>
      <c r="M144" s="43">
        <f t="shared" si="0"/>
        <v>0</v>
      </c>
      <c r="N144" s="43"/>
      <c r="O144" s="41"/>
      <c r="P144" s="103"/>
      <c r="Q144" s="43"/>
      <c r="R144" s="44"/>
      <c r="S144" s="43">
        <f t="shared" si="1"/>
        <v>0</v>
      </c>
      <c r="T144" s="43"/>
      <c r="U144" s="41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372"/>
      <c r="B145" s="374" t="s">
        <v>137</v>
      </c>
      <c r="C145" s="377" t="s">
        <v>39</v>
      </c>
      <c r="D145" s="374" t="s">
        <v>322</v>
      </c>
      <c r="E145" s="377" t="s">
        <v>27</v>
      </c>
      <c r="F145" s="232" t="s">
        <v>323</v>
      </c>
      <c r="G145" s="23" t="s">
        <v>24</v>
      </c>
      <c r="H145" s="24">
        <v>2</v>
      </c>
      <c r="I145" s="62">
        <v>1</v>
      </c>
      <c r="J145" s="62">
        <v>1</v>
      </c>
      <c r="K145" s="30">
        <v>947.05</v>
      </c>
      <c r="L145" s="27"/>
      <c r="M145" s="26">
        <f t="shared" si="0"/>
        <v>0</v>
      </c>
      <c r="N145" s="26"/>
      <c r="O145" s="31"/>
      <c r="P145" s="53">
        <v>1</v>
      </c>
      <c r="Q145" s="30">
        <v>576.29999999999995</v>
      </c>
      <c r="R145" s="27"/>
      <c r="S145" s="26">
        <f t="shared" si="1"/>
        <v>576.29999999999995</v>
      </c>
      <c r="T145" s="26"/>
      <c r="U145" s="225">
        <v>576.29999999999995</v>
      </c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373"/>
      <c r="B146" s="375"/>
      <c r="C146" s="375"/>
      <c r="D146" s="375"/>
      <c r="E146" s="380"/>
      <c r="F146" s="220" t="s">
        <v>241</v>
      </c>
      <c r="G146" s="35" t="s">
        <v>28</v>
      </c>
      <c r="H146" s="66">
        <v>3</v>
      </c>
      <c r="I146" s="38"/>
      <c r="J146" s="38"/>
      <c r="K146" s="39"/>
      <c r="L146" s="40"/>
      <c r="M146" s="39">
        <f t="shared" si="0"/>
        <v>0</v>
      </c>
      <c r="N146" s="39"/>
      <c r="O146" s="41"/>
      <c r="P146" s="115">
        <v>1</v>
      </c>
      <c r="Q146" s="68">
        <v>1921</v>
      </c>
      <c r="R146" s="40"/>
      <c r="S146" s="39">
        <f t="shared" si="1"/>
        <v>0</v>
      </c>
      <c r="T146" s="39"/>
      <c r="U146" s="41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372"/>
      <c r="B147" s="374" t="s">
        <v>138</v>
      </c>
      <c r="C147" s="374" t="s">
        <v>22</v>
      </c>
      <c r="D147" s="374"/>
      <c r="E147" s="374" t="s">
        <v>27</v>
      </c>
      <c r="F147" s="204" t="s">
        <v>324</v>
      </c>
      <c r="G147" s="176" t="s">
        <v>24</v>
      </c>
      <c r="H147" s="151">
        <v>2</v>
      </c>
      <c r="I147" s="203">
        <v>1</v>
      </c>
      <c r="J147" s="203">
        <v>1</v>
      </c>
      <c r="K147" s="65">
        <v>576.29999999999995</v>
      </c>
      <c r="L147" s="51"/>
      <c r="M147" s="50">
        <f t="shared" si="0"/>
        <v>0</v>
      </c>
      <c r="N147" s="50"/>
      <c r="O147" s="31"/>
      <c r="P147" s="108">
        <v>8</v>
      </c>
      <c r="Q147" s="65">
        <v>16335.71</v>
      </c>
      <c r="R147" s="51"/>
      <c r="S147" s="50">
        <f t="shared" si="1"/>
        <v>11686.89</v>
      </c>
      <c r="T147" s="50"/>
      <c r="U147" s="225">
        <v>11686.89</v>
      </c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373"/>
      <c r="B148" s="375"/>
      <c r="C148" s="375"/>
      <c r="D148" s="375"/>
      <c r="E148" s="375"/>
      <c r="F148" s="220" t="s">
        <v>242</v>
      </c>
      <c r="G148" s="229" t="s">
        <v>28</v>
      </c>
      <c r="H148" s="133">
        <v>3</v>
      </c>
      <c r="I148" s="57"/>
      <c r="J148" s="57"/>
      <c r="K148" s="43"/>
      <c r="L148" s="44"/>
      <c r="M148" s="43">
        <f t="shared" si="0"/>
        <v>0</v>
      </c>
      <c r="N148" s="43"/>
      <c r="O148" s="41"/>
      <c r="P148" s="113">
        <v>2</v>
      </c>
      <c r="Q148" s="114">
        <v>5859.05</v>
      </c>
      <c r="R148" s="44"/>
      <c r="S148" s="43">
        <f t="shared" si="1"/>
        <v>4802.5</v>
      </c>
      <c r="T148" s="43"/>
      <c r="U148" s="41">
        <f>4802.5</f>
        <v>4802.5</v>
      </c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372"/>
      <c r="B149" s="374" t="s">
        <v>139</v>
      </c>
      <c r="C149" s="374" t="s">
        <v>22</v>
      </c>
      <c r="D149" s="374"/>
      <c r="E149" s="374" t="s">
        <v>67</v>
      </c>
      <c r="F149" s="232" t="s">
        <v>325</v>
      </c>
      <c r="G149" s="23" t="s">
        <v>24</v>
      </c>
      <c r="H149" s="151">
        <v>4</v>
      </c>
      <c r="I149" s="62">
        <v>3</v>
      </c>
      <c r="J149" s="62">
        <v>3</v>
      </c>
      <c r="K149" s="30">
        <v>6365.22</v>
      </c>
      <c r="L149" s="27"/>
      <c r="M149" s="26">
        <f t="shared" si="0"/>
        <v>0</v>
      </c>
      <c r="N149" s="26"/>
      <c r="O149" s="31"/>
      <c r="P149" s="53">
        <v>9</v>
      </c>
      <c r="Q149" s="30">
        <v>20468.02</v>
      </c>
      <c r="R149" s="27"/>
      <c r="S149" s="26">
        <f t="shared" si="1"/>
        <v>5290.28</v>
      </c>
      <c r="T149" s="26"/>
      <c r="U149" s="225">
        <v>5290.28</v>
      </c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373"/>
      <c r="B150" s="375"/>
      <c r="C150" s="375"/>
      <c r="D150" s="375"/>
      <c r="E150" s="375"/>
      <c r="F150" s="221" t="s">
        <v>326</v>
      </c>
      <c r="G150" s="55" t="s">
        <v>28</v>
      </c>
      <c r="H150" s="112">
        <v>3</v>
      </c>
      <c r="I150" s="57"/>
      <c r="J150" s="57"/>
      <c r="K150" s="43"/>
      <c r="L150" s="44"/>
      <c r="M150" s="43">
        <f t="shared" si="0"/>
        <v>0</v>
      </c>
      <c r="N150" s="43"/>
      <c r="O150" s="45"/>
      <c r="P150" s="113">
        <v>2</v>
      </c>
      <c r="Q150" s="114">
        <v>3976.1</v>
      </c>
      <c r="R150" s="44"/>
      <c r="S150" s="43">
        <f t="shared" si="1"/>
        <v>6269.7</v>
      </c>
      <c r="T150" s="43"/>
      <c r="U150" s="45">
        <f>6269.7</f>
        <v>6269.7</v>
      </c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372"/>
      <c r="B151" s="374" t="s">
        <v>140</v>
      </c>
      <c r="C151" s="374"/>
      <c r="D151" s="374"/>
      <c r="E151" s="374"/>
      <c r="F151" s="60"/>
      <c r="G151" s="23" t="s">
        <v>24</v>
      </c>
      <c r="H151" s="24">
        <v>1</v>
      </c>
      <c r="I151" s="25"/>
      <c r="J151" s="25"/>
      <c r="K151" s="26"/>
      <c r="L151" s="27"/>
      <c r="M151" s="26">
        <f t="shared" si="0"/>
        <v>0</v>
      </c>
      <c r="N151" s="26"/>
      <c r="O151" s="159"/>
      <c r="P151" s="53">
        <v>3</v>
      </c>
      <c r="Q151" s="30">
        <v>20168.78</v>
      </c>
      <c r="R151" s="27"/>
      <c r="S151" s="26">
        <f t="shared" si="1"/>
        <v>0</v>
      </c>
      <c r="T151" s="26"/>
      <c r="U151" s="2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373"/>
      <c r="B152" s="375"/>
      <c r="C152" s="375"/>
      <c r="D152" s="375"/>
      <c r="E152" s="375"/>
      <c r="F152" s="220" t="s">
        <v>243</v>
      </c>
      <c r="G152" s="35" t="s">
        <v>28</v>
      </c>
      <c r="H152" s="66">
        <v>4</v>
      </c>
      <c r="I152" s="37">
        <v>1</v>
      </c>
      <c r="J152" s="37">
        <v>1</v>
      </c>
      <c r="K152" s="68">
        <v>1728</v>
      </c>
      <c r="L152" s="40"/>
      <c r="M152" s="39">
        <f t="shared" si="0"/>
        <v>0</v>
      </c>
      <c r="N152" s="39"/>
      <c r="O152" s="58"/>
      <c r="P152" s="59"/>
      <c r="Q152" s="39"/>
      <c r="R152" s="40"/>
      <c r="S152" s="39">
        <f t="shared" si="1"/>
        <v>0</v>
      </c>
      <c r="T152" s="39"/>
      <c r="U152" s="41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382"/>
      <c r="B153" s="381" t="s">
        <v>141</v>
      </c>
      <c r="C153" s="381" t="s">
        <v>22</v>
      </c>
      <c r="D153" s="381"/>
      <c r="E153" s="381" t="s">
        <v>27</v>
      </c>
      <c r="F153" s="127"/>
      <c r="G153" s="47" t="s">
        <v>24</v>
      </c>
      <c r="H153" s="98"/>
      <c r="I153" s="49"/>
      <c r="J153" s="49"/>
      <c r="K153" s="50"/>
      <c r="L153" s="51"/>
      <c r="M153" s="50">
        <f t="shared" si="0"/>
        <v>0</v>
      </c>
      <c r="N153" s="50"/>
      <c r="O153" s="31"/>
      <c r="P153" s="108">
        <v>1</v>
      </c>
      <c r="Q153" s="65">
        <v>2497.3000000000002</v>
      </c>
      <c r="R153" s="51"/>
      <c r="S153" s="50">
        <f t="shared" si="1"/>
        <v>0</v>
      </c>
      <c r="T153" s="50"/>
      <c r="U153" s="31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373"/>
      <c r="B154" s="375"/>
      <c r="C154" s="375"/>
      <c r="D154" s="375"/>
      <c r="E154" s="375"/>
      <c r="F154" s="54"/>
      <c r="G154" s="55" t="s">
        <v>28</v>
      </c>
      <c r="H154" s="118"/>
      <c r="I154" s="57"/>
      <c r="J154" s="57"/>
      <c r="K154" s="43"/>
      <c r="L154" s="44"/>
      <c r="M154" s="43">
        <f t="shared" si="0"/>
        <v>0</v>
      </c>
      <c r="N154" s="43"/>
      <c r="O154" s="45"/>
      <c r="P154" s="103"/>
      <c r="Q154" s="43"/>
      <c r="R154" s="44"/>
      <c r="S154" s="43">
        <f t="shared" si="1"/>
        <v>0</v>
      </c>
      <c r="T154" s="43"/>
      <c r="U154" s="45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372"/>
      <c r="B155" s="374" t="s">
        <v>142</v>
      </c>
      <c r="C155" s="374"/>
      <c r="D155" s="374"/>
      <c r="E155" s="374" t="s">
        <v>27</v>
      </c>
      <c r="F155" s="22"/>
      <c r="G155" s="23" t="s">
        <v>24</v>
      </c>
      <c r="H155" s="24">
        <v>2</v>
      </c>
      <c r="I155" s="62">
        <v>2</v>
      </c>
      <c r="J155" s="62">
        <v>2</v>
      </c>
      <c r="K155" s="30">
        <v>524.91</v>
      </c>
      <c r="L155" s="27"/>
      <c r="M155" s="26">
        <f t="shared" si="0"/>
        <v>0</v>
      </c>
      <c r="N155" s="26"/>
      <c r="O155" s="28"/>
      <c r="P155" s="53">
        <v>1</v>
      </c>
      <c r="Q155" s="30">
        <v>412.05</v>
      </c>
      <c r="R155" s="27"/>
      <c r="S155" s="26">
        <f t="shared" si="1"/>
        <v>0</v>
      </c>
      <c r="T155" s="26"/>
      <c r="U155" s="2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373"/>
      <c r="B156" s="375"/>
      <c r="C156" s="375"/>
      <c r="D156" s="375"/>
      <c r="E156" s="375"/>
      <c r="F156" s="105"/>
      <c r="G156" s="35" t="s">
        <v>28</v>
      </c>
      <c r="H156" s="36"/>
      <c r="I156" s="38"/>
      <c r="J156" s="38"/>
      <c r="K156" s="39"/>
      <c r="L156" s="40"/>
      <c r="M156" s="39">
        <f t="shared" si="0"/>
        <v>0</v>
      </c>
      <c r="N156" s="39"/>
      <c r="O156" s="41"/>
      <c r="P156" s="59"/>
      <c r="Q156" s="39"/>
      <c r="R156" s="40"/>
      <c r="S156" s="39">
        <f t="shared" si="1"/>
        <v>0</v>
      </c>
      <c r="T156" s="39"/>
      <c r="U156" s="41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382"/>
      <c r="B157" s="381" t="s">
        <v>143</v>
      </c>
      <c r="C157" s="381" t="s">
        <v>39</v>
      </c>
      <c r="D157" s="381" t="s">
        <v>327</v>
      </c>
      <c r="E157" s="381" t="s">
        <v>145</v>
      </c>
      <c r="F157" s="223" t="s">
        <v>215</v>
      </c>
      <c r="G157" s="47" t="s">
        <v>24</v>
      </c>
      <c r="H157" s="151">
        <v>1</v>
      </c>
      <c r="I157" s="49"/>
      <c r="J157" s="49"/>
      <c r="K157" s="50"/>
      <c r="L157" s="51"/>
      <c r="M157" s="50">
        <f t="shared" si="0"/>
        <v>0</v>
      </c>
      <c r="N157" s="50"/>
      <c r="O157" s="31"/>
      <c r="P157" s="108">
        <v>10</v>
      </c>
      <c r="Q157" s="65">
        <v>34619.06</v>
      </c>
      <c r="R157" s="224">
        <v>4</v>
      </c>
      <c r="S157" s="50">
        <f t="shared" si="1"/>
        <v>16502.04</v>
      </c>
      <c r="T157" s="65">
        <v>14714.18</v>
      </c>
      <c r="U157" s="225">
        <v>1787.86</v>
      </c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379"/>
      <c r="B158" s="380"/>
      <c r="C158" s="380"/>
      <c r="D158" s="380"/>
      <c r="E158" s="380"/>
      <c r="F158" s="233" t="s">
        <v>244</v>
      </c>
      <c r="G158" s="227" t="s">
        <v>28</v>
      </c>
      <c r="H158" s="133">
        <v>4</v>
      </c>
      <c r="I158" s="57"/>
      <c r="J158" s="57"/>
      <c r="K158" s="43"/>
      <c r="L158" s="128"/>
      <c r="M158" s="50">
        <f t="shared" si="0"/>
        <v>0</v>
      </c>
      <c r="N158" s="43"/>
      <c r="O158" s="41"/>
      <c r="P158" s="113">
        <v>1</v>
      </c>
      <c r="Q158" s="114">
        <v>5426.7</v>
      </c>
      <c r="R158" s="44"/>
      <c r="S158" s="43">
        <f t="shared" si="1"/>
        <v>576.29999999999995</v>
      </c>
      <c r="T158" s="43"/>
      <c r="U158" s="41">
        <f>576.3</f>
        <v>576.29999999999995</v>
      </c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372"/>
      <c r="B159" s="374" t="s">
        <v>146</v>
      </c>
      <c r="C159" s="374" t="s">
        <v>39</v>
      </c>
      <c r="D159" s="374" t="s">
        <v>328</v>
      </c>
      <c r="E159" s="374" t="s">
        <v>27</v>
      </c>
      <c r="F159" s="204" t="s">
        <v>329</v>
      </c>
      <c r="G159" s="176" t="s">
        <v>24</v>
      </c>
      <c r="H159" s="48">
        <v>1</v>
      </c>
      <c r="I159" s="62">
        <v>1</v>
      </c>
      <c r="J159" s="62">
        <v>1</v>
      </c>
      <c r="K159" s="30">
        <v>1477.25</v>
      </c>
      <c r="L159" s="27"/>
      <c r="M159" s="26">
        <f t="shared" si="0"/>
        <v>0</v>
      </c>
      <c r="N159" s="26"/>
      <c r="O159" s="31"/>
      <c r="P159" s="53">
        <v>8</v>
      </c>
      <c r="Q159" s="30">
        <v>17730.189999999999</v>
      </c>
      <c r="R159" s="27"/>
      <c r="S159" s="26">
        <f t="shared" si="1"/>
        <v>1267.8599999999999</v>
      </c>
      <c r="T159" s="26"/>
      <c r="U159" s="225">
        <v>1267.8599999999999</v>
      </c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373"/>
      <c r="B160" s="375"/>
      <c r="C160" s="375"/>
      <c r="D160" s="375"/>
      <c r="E160" s="375"/>
      <c r="F160" s="220" t="s">
        <v>330</v>
      </c>
      <c r="G160" s="229" t="s">
        <v>28</v>
      </c>
      <c r="H160" s="153">
        <v>1</v>
      </c>
      <c r="I160" s="57"/>
      <c r="J160" s="57"/>
      <c r="K160" s="43"/>
      <c r="L160" s="44"/>
      <c r="M160" s="43">
        <f t="shared" si="0"/>
        <v>0</v>
      </c>
      <c r="N160" s="43"/>
      <c r="O160" s="41"/>
      <c r="P160" s="115">
        <v>3</v>
      </c>
      <c r="Q160" s="68">
        <v>16520.599999999999</v>
      </c>
      <c r="R160" s="40"/>
      <c r="S160" s="39">
        <f t="shared" si="1"/>
        <v>576.29999999999995</v>
      </c>
      <c r="T160" s="39"/>
      <c r="U160" s="41">
        <f>576.3</f>
        <v>576.29999999999995</v>
      </c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372"/>
      <c r="B161" s="374" t="s">
        <v>148</v>
      </c>
      <c r="C161" s="374" t="s">
        <v>39</v>
      </c>
      <c r="D161" s="374" t="s">
        <v>149</v>
      </c>
      <c r="E161" s="374" t="s">
        <v>27</v>
      </c>
      <c r="F161" s="232" t="s">
        <v>218</v>
      </c>
      <c r="G161" s="23" t="s">
        <v>24</v>
      </c>
      <c r="H161" s="48">
        <v>9</v>
      </c>
      <c r="I161" s="62">
        <v>3</v>
      </c>
      <c r="J161" s="204">
        <v>3</v>
      </c>
      <c r="K161" s="30">
        <v>3379.04</v>
      </c>
      <c r="L161" s="27"/>
      <c r="M161" s="26">
        <f t="shared" si="0"/>
        <v>0</v>
      </c>
      <c r="N161" s="26"/>
      <c r="O161" s="31"/>
      <c r="P161" s="108">
        <v>15</v>
      </c>
      <c r="Q161" s="65">
        <v>47053.26</v>
      </c>
      <c r="R161" s="224">
        <v>5</v>
      </c>
      <c r="S161" s="50">
        <f t="shared" si="1"/>
        <v>17249.09</v>
      </c>
      <c r="T161" s="65">
        <v>17249.09</v>
      </c>
      <c r="U161" s="225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373"/>
      <c r="B162" s="375"/>
      <c r="C162" s="375"/>
      <c r="D162" s="375"/>
      <c r="E162" s="375"/>
      <c r="F162" s="54"/>
      <c r="G162" s="55" t="s">
        <v>28</v>
      </c>
      <c r="H162" s="118"/>
      <c r="I162" s="57"/>
      <c r="J162" s="57"/>
      <c r="K162" s="43"/>
      <c r="L162" s="44"/>
      <c r="M162" s="43">
        <f t="shared" si="0"/>
        <v>0</v>
      </c>
      <c r="N162" s="43"/>
      <c r="O162" s="45"/>
      <c r="P162" s="113">
        <v>1</v>
      </c>
      <c r="Q162" s="114">
        <v>576.29999999999995</v>
      </c>
      <c r="R162" s="44"/>
      <c r="S162" s="43">
        <f t="shared" si="1"/>
        <v>1921</v>
      </c>
      <c r="T162" s="43"/>
      <c r="U162" s="45">
        <f>1921</f>
        <v>1921</v>
      </c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372"/>
      <c r="B163" s="388" t="s">
        <v>150</v>
      </c>
      <c r="C163" s="374" t="s">
        <v>39</v>
      </c>
      <c r="D163" s="374" t="s">
        <v>151</v>
      </c>
      <c r="E163" s="374" t="s">
        <v>152</v>
      </c>
      <c r="F163" s="22"/>
      <c r="G163" s="23" t="s">
        <v>24</v>
      </c>
      <c r="H163" s="104"/>
      <c r="I163" s="25"/>
      <c r="J163" s="25"/>
      <c r="K163" s="162"/>
      <c r="L163" s="163"/>
      <c r="M163" s="162">
        <f t="shared" si="0"/>
        <v>0</v>
      </c>
      <c r="N163" s="162"/>
      <c r="O163" s="28"/>
      <c r="P163" s="120"/>
      <c r="Q163" s="26"/>
      <c r="R163" s="27"/>
      <c r="S163" s="26">
        <f t="shared" si="1"/>
        <v>0</v>
      </c>
      <c r="T163" s="26"/>
      <c r="U163" s="2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373"/>
      <c r="B164" s="389"/>
      <c r="C164" s="375"/>
      <c r="D164" s="375"/>
      <c r="E164" s="375"/>
      <c r="F164" s="220" t="s">
        <v>331</v>
      </c>
      <c r="G164" s="35" t="s">
        <v>25</v>
      </c>
      <c r="H164" s="106"/>
      <c r="I164" s="38"/>
      <c r="J164" s="38"/>
      <c r="K164" s="164"/>
      <c r="L164" s="165"/>
      <c r="M164" s="164">
        <f t="shared" si="0"/>
        <v>0</v>
      </c>
      <c r="N164" s="164"/>
      <c r="O164" s="41"/>
      <c r="P164" s="67">
        <v>3</v>
      </c>
      <c r="Q164" s="68">
        <v>10841.33</v>
      </c>
      <c r="R164" s="40"/>
      <c r="S164" s="39">
        <f t="shared" si="1"/>
        <v>0</v>
      </c>
      <c r="T164" s="39"/>
      <c r="U164" s="41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382"/>
      <c r="B165" s="381" t="s">
        <v>153</v>
      </c>
      <c r="C165" s="374" t="s">
        <v>39</v>
      </c>
      <c r="D165" s="381" t="s">
        <v>332</v>
      </c>
      <c r="E165" s="381" t="s">
        <v>27</v>
      </c>
      <c r="F165" s="223" t="s">
        <v>333</v>
      </c>
      <c r="G165" s="47" t="s">
        <v>24</v>
      </c>
      <c r="H165" s="48">
        <v>3</v>
      </c>
      <c r="I165" s="203">
        <v>3</v>
      </c>
      <c r="J165" s="203">
        <v>3</v>
      </c>
      <c r="K165" s="242">
        <v>5772.22</v>
      </c>
      <c r="L165" s="167"/>
      <c r="M165" s="166">
        <f t="shared" si="0"/>
        <v>0</v>
      </c>
      <c r="N165" s="166"/>
      <c r="O165" s="31"/>
      <c r="P165" s="108">
        <v>5</v>
      </c>
      <c r="Q165" s="65">
        <v>16635.98</v>
      </c>
      <c r="R165" s="51"/>
      <c r="S165" s="50">
        <f t="shared" si="1"/>
        <v>15452.64</v>
      </c>
      <c r="T165" s="50"/>
      <c r="U165" s="225">
        <v>15452.64</v>
      </c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379"/>
      <c r="B166" s="380"/>
      <c r="C166" s="375"/>
      <c r="D166" s="380"/>
      <c r="E166" s="380"/>
      <c r="F166" s="34"/>
      <c r="G166" s="35" t="s">
        <v>28</v>
      </c>
      <c r="H166" s="111"/>
      <c r="I166" s="57"/>
      <c r="J166" s="57"/>
      <c r="K166" s="43"/>
      <c r="L166" s="44"/>
      <c r="M166" s="43">
        <f t="shared" si="0"/>
        <v>0</v>
      </c>
      <c r="N166" s="43"/>
      <c r="O166" s="41"/>
      <c r="P166" s="103"/>
      <c r="Q166" s="43"/>
      <c r="R166" s="44"/>
      <c r="S166" s="43">
        <f t="shared" si="1"/>
        <v>1921</v>
      </c>
      <c r="T166" s="43"/>
      <c r="U166" s="41">
        <f>1921</f>
        <v>1921</v>
      </c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372"/>
      <c r="B167" s="374" t="s">
        <v>155</v>
      </c>
      <c r="C167" s="374" t="s">
        <v>22</v>
      </c>
      <c r="D167" s="374"/>
      <c r="E167" s="374" t="s">
        <v>37</v>
      </c>
      <c r="F167" s="223" t="s">
        <v>245</v>
      </c>
      <c r="G167" s="23" t="s">
        <v>24</v>
      </c>
      <c r="H167" s="48">
        <v>3</v>
      </c>
      <c r="I167" s="25"/>
      <c r="J167" s="25"/>
      <c r="K167" s="26"/>
      <c r="L167" s="27"/>
      <c r="M167" s="26">
        <f t="shared" si="0"/>
        <v>0</v>
      </c>
      <c r="N167" s="26"/>
      <c r="O167" s="31"/>
      <c r="P167" s="53">
        <v>4</v>
      </c>
      <c r="Q167" s="30">
        <v>10125.48</v>
      </c>
      <c r="R167" s="205">
        <v>1</v>
      </c>
      <c r="S167" s="26">
        <f t="shared" si="1"/>
        <v>3759.09</v>
      </c>
      <c r="T167" s="30">
        <v>3759.09</v>
      </c>
      <c r="U167" s="225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373"/>
      <c r="B168" s="375"/>
      <c r="C168" s="375"/>
      <c r="D168" s="375"/>
      <c r="E168" s="375"/>
      <c r="F168" s="105"/>
      <c r="G168" s="35" t="s">
        <v>28</v>
      </c>
      <c r="H168" s="116"/>
      <c r="I168" s="38"/>
      <c r="J168" s="38"/>
      <c r="K168" s="39"/>
      <c r="L168" s="40"/>
      <c r="M168" s="39">
        <f t="shared" si="0"/>
        <v>0</v>
      </c>
      <c r="N168" s="39"/>
      <c r="O168" s="41"/>
      <c r="P168" s="59"/>
      <c r="Q168" s="39"/>
      <c r="R168" s="40"/>
      <c r="S168" s="39">
        <f t="shared" si="1"/>
        <v>0</v>
      </c>
      <c r="T168" s="39"/>
      <c r="U168" s="41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382"/>
      <c r="B169" s="381" t="s">
        <v>156</v>
      </c>
      <c r="C169" s="381" t="s">
        <v>22</v>
      </c>
      <c r="D169" s="385"/>
      <c r="E169" s="381" t="s">
        <v>27</v>
      </c>
      <c r="F169" s="126"/>
      <c r="G169" s="23" t="s">
        <v>24</v>
      </c>
      <c r="H169" s="98"/>
      <c r="I169" s="49"/>
      <c r="J169" s="49"/>
      <c r="K169" s="50"/>
      <c r="L169" s="51"/>
      <c r="M169" s="50">
        <f t="shared" si="0"/>
        <v>0</v>
      </c>
      <c r="N169" s="50"/>
      <c r="O169" s="31"/>
      <c r="P169" s="123"/>
      <c r="Q169" s="50"/>
      <c r="R169" s="51"/>
      <c r="S169" s="50">
        <f t="shared" si="1"/>
        <v>0</v>
      </c>
      <c r="T169" s="50"/>
      <c r="U169" s="31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379"/>
      <c r="B170" s="380"/>
      <c r="C170" s="380"/>
      <c r="D170" s="380"/>
      <c r="E170" s="380"/>
      <c r="F170" s="54"/>
      <c r="G170" s="55" t="s">
        <v>28</v>
      </c>
      <c r="H170" s="118"/>
      <c r="I170" s="57"/>
      <c r="J170" s="57"/>
      <c r="K170" s="43"/>
      <c r="L170" s="44"/>
      <c r="M170" s="43">
        <f t="shared" si="0"/>
        <v>0</v>
      </c>
      <c r="N170" s="43"/>
      <c r="O170" s="41"/>
      <c r="P170" s="103"/>
      <c r="Q170" s="43"/>
      <c r="R170" s="44"/>
      <c r="S170" s="43">
        <f t="shared" si="1"/>
        <v>0</v>
      </c>
      <c r="T170" s="43"/>
      <c r="U170" s="41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372"/>
      <c r="B171" s="374" t="s">
        <v>157</v>
      </c>
      <c r="C171" s="390"/>
      <c r="D171" s="374"/>
      <c r="E171" s="374"/>
      <c r="F171" s="22"/>
      <c r="G171" s="23" t="s">
        <v>24</v>
      </c>
      <c r="H171" s="104"/>
      <c r="I171" s="25"/>
      <c r="J171" s="25"/>
      <c r="K171" s="26"/>
      <c r="L171" s="27"/>
      <c r="M171" s="26">
        <f t="shared" si="0"/>
        <v>0</v>
      </c>
      <c r="N171" s="26"/>
      <c r="O171" s="31"/>
      <c r="P171" s="120"/>
      <c r="Q171" s="26"/>
      <c r="R171" s="27"/>
      <c r="S171" s="26">
        <f t="shared" si="1"/>
        <v>0</v>
      </c>
      <c r="T171" s="26"/>
      <c r="U171" s="31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373"/>
      <c r="B172" s="375"/>
      <c r="C172" s="375"/>
      <c r="D172" s="375"/>
      <c r="E172" s="375"/>
      <c r="F172" s="34"/>
      <c r="G172" s="35" t="s">
        <v>28</v>
      </c>
      <c r="H172" s="106"/>
      <c r="I172" s="38"/>
      <c r="J172" s="38"/>
      <c r="K172" s="39"/>
      <c r="L172" s="40"/>
      <c r="M172" s="39">
        <f t="shared" si="0"/>
        <v>0</v>
      </c>
      <c r="N172" s="39"/>
      <c r="O172" s="41"/>
      <c r="P172" s="69"/>
      <c r="Q172" s="39"/>
      <c r="R172" s="40"/>
      <c r="S172" s="39">
        <f t="shared" si="1"/>
        <v>0</v>
      </c>
      <c r="T172" s="39"/>
      <c r="U172" s="41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372"/>
      <c r="B173" s="374" t="s">
        <v>158</v>
      </c>
      <c r="C173" s="374" t="s">
        <v>39</v>
      </c>
      <c r="D173" s="374" t="s">
        <v>288</v>
      </c>
      <c r="E173" s="374" t="s">
        <v>27</v>
      </c>
      <c r="F173" s="204" t="s">
        <v>289</v>
      </c>
      <c r="G173" s="176" t="s">
        <v>24</v>
      </c>
      <c r="H173" s="48">
        <v>6</v>
      </c>
      <c r="I173" s="203">
        <v>4</v>
      </c>
      <c r="J173" s="203">
        <v>4</v>
      </c>
      <c r="K173" s="65">
        <v>5163.6499999999996</v>
      </c>
      <c r="L173" s="51"/>
      <c r="M173" s="50">
        <f t="shared" si="0"/>
        <v>0</v>
      </c>
      <c r="N173" s="50"/>
      <c r="O173" s="31"/>
      <c r="P173" s="108">
        <v>4</v>
      </c>
      <c r="Q173" s="65">
        <v>7345.91</v>
      </c>
      <c r="R173" s="51"/>
      <c r="S173" s="50">
        <f t="shared" si="1"/>
        <v>2627.93</v>
      </c>
      <c r="T173" s="50"/>
      <c r="U173" s="225">
        <v>2627.93</v>
      </c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373"/>
      <c r="B174" s="375"/>
      <c r="C174" s="375"/>
      <c r="D174" s="375"/>
      <c r="E174" s="375"/>
      <c r="F174" s="220" t="s">
        <v>334</v>
      </c>
      <c r="G174" s="229" t="s">
        <v>28</v>
      </c>
      <c r="H174" s="117">
        <v>1</v>
      </c>
      <c r="I174" s="38"/>
      <c r="J174" s="38"/>
      <c r="K174" s="39"/>
      <c r="L174" s="40"/>
      <c r="M174" s="39">
        <f t="shared" si="0"/>
        <v>0</v>
      </c>
      <c r="N174" s="39"/>
      <c r="O174" s="41"/>
      <c r="P174" s="59"/>
      <c r="Q174" s="39"/>
      <c r="R174" s="40"/>
      <c r="S174" s="39">
        <f t="shared" si="1"/>
        <v>1152.5999999999999</v>
      </c>
      <c r="T174" s="39"/>
      <c r="U174" s="41">
        <f>1152.6</f>
        <v>1152.5999999999999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376"/>
      <c r="B175" s="377" t="s">
        <v>159</v>
      </c>
      <c r="C175" s="377" t="s">
        <v>22</v>
      </c>
      <c r="D175" s="377"/>
      <c r="E175" s="377" t="s">
        <v>160</v>
      </c>
      <c r="F175" s="232" t="s">
        <v>246</v>
      </c>
      <c r="G175" s="95" t="s">
        <v>24</v>
      </c>
      <c r="H175" s="48">
        <v>3</v>
      </c>
      <c r="I175" s="203">
        <v>2</v>
      </c>
      <c r="J175" s="203">
        <v>2</v>
      </c>
      <c r="K175" s="65">
        <v>2313.84</v>
      </c>
      <c r="L175" s="51"/>
      <c r="M175" s="50">
        <f t="shared" si="0"/>
        <v>0</v>
      </c>
      <c r="N175" s="50"/>
      <c r="O175" s="31"/>
      <c r="P175" s="108">
        <v>20</v>
      </c>
      <c r="Q175" s="65">
        <v>30855.19</v>
      </c>
      <c r="R175" s="224">
        <v>9</v>
      </c>
      <c r="S175" s="50">
        <f t="shared" si="1"/>
        <v>12661.42</v>
      </c>
      <c r="T175" s="65">
        <v>12661.42</v>
      </c>
      <c r="U175" s="225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373"/>
      <c r="B176" s="375"/>
      <c r="C176" s="375"/>
      <c r="D176" s="375"/>
      <c r="E176" s="375"/>
      <c r="F176" s="54"/>
      <c r="G176" s="55" t="s">
        <v>28</v>
      </c>
      <c r="H176" s="112">
        <v>2</v>
      </c>
      <c r="I176" s="57"/>
      <c r="J176" s="57"/>
      <c r="K176" s="43"/>
      <c r="L176" s="128"/>
      <c r="M176" s="50">
        <f t="shared" si="0"/>
        <v>0</v>
      </c>
      <c r="N176" s="43"/>
      <c r="O176" s="41"/>
      <c r="P176" s="113">
        <v>2</v>
      </c>
      <c r="Q176" s="114">
        <v>3246.49</v>
      </c>
      <c r="R176" s="44"/>
      <c r="S176" s="43">
        <f t="shared" si="1"/>
        <v>0</v>
      </c>
      <c r="T176" s="43"/>
      <c r="U176" s="41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372"/>
      <c r="B177" s="374" t="s">
        <v>161</v>
      </c>
      <c r="C177" s="374"/>
      <c r="D177" s="374"/>
      <c r="E177" s="374"/>
      <c r="F177" s="60"/>
      <c r="G177" s="23" t="s">
        <v>24</v>
      </c>
      <c r="H177" s="24">
        <v>2</v>
      </c>
      <c r="I177" s="25"/>
      <c r="J177" s="25"/>
      <c r="K177" s="26"/>
      <c r="L177" s="27"/>
      <c r="M177" s="26">
        <f t="shared" si="0"/>
        <v>0</v>
      </c>
      <c r="N177" s="26"/>
      <c r="O177" s="31"/>
      <c r="P177" s="53">
        <v>3</v>
      </c>
      <c r="Q177" s="30">
        <v>8280.19</v>
      </c>
      <c r="R177" s="27"/>
      <c r="S177" s="26">
        <f t="shared" si="1"/>
        <v>0</v>
      </c>
      <c r="T177" s="26"/>
      <c r="U177" s="31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373"/>
      <c r="B178" s="375"/>
      <c r="C178" s="375"/>
      <c r="D178" s="375"/>
      <c r="E178" s="392"/>
      <c r="F178" s="34"/>
      <c r="G178" s="35" t="s">
        <v>28</v>
      </c>
      <c r="H178" s="66">
        <v>1</v>
      </c>
      <c r="I178" s="38"/>
      <c r="J178" s="38"/>
      <c r="K178" s="39"/>
      <c r="L178" s="40"/>
      <c r="M178" s="39">
        <f t="shared" si="0"/>
        <v>0</v>
      </c>
      <c r="N178" s="39"/>
      <c r="O178" s="41"/>
      <c r="P178" s="59"/>
      <c r="Q178" s="39"/>
      <c r="R178" s="40"/>
      <c r="S178" s="39">
        <f t="shared" si="1"/>
        <v>0</v>
      </c>
      <c r="T178" s="39"/>
      <c r="U178" s="41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382"/>
      <c r="B179" s="381" t="s">
        <v>162</v>
      </c>
      <c r="C179" s="381" t="s">
        <v>39</v>
      </c>
      <c r="D179" s="381" t="s">
        <v>163</v>
      </c>
      <c r="E179" s="374" t="s">
        <v>27</v>
      </c>
      <c r="F179" s="135"/>
      <c r="G179" s="47" t="s">
        <v>24</v>
      </c>
      <c r="H179" s="98"/>
      <c r="I179" s="49"/>
      <c r="J179" s="49"/>
      <c r="K179" s="50"/>
      <c r="L179" s="51"/>
      <c r="M179" s="50">
        <f t="shared" si="0"/>
        <v>0</v>
      </c>
      <c r="N179" s="50"/>
      <c r="O179" s="31"/>
      <c r="P179" s="123"/>
      <c r="Q179" s="50"/>
      <c r="R179" s="51"/>
      <c r="S179" s="50">
        <f t="shared" si="1"/>
        <v>0</v>
      </c>
      <c r="T179" s="50"/>
      <c r="U179" s="31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387"/>
      <c r="B180" s="386"/>
      <c r="C180" s="386"/>
      <c r="D180" s="386"/>
      <c r="E180" s="386"/>
      <c r="F180" s="54"/>
      <c r="G180" s="47" t="s">
        <v>25</v>
      </c>
      <c r="H180" s="98"/>
      <c r="I180" s="49"/>
      <c r="J180" s="49"/>
      <c r="K180" s="50"/>
      <c r="L180" s="51"/>
      <c r="M180" s="50">
        <f t="shared" si="0"/>
        <v>0</v>
      </c>
      <c r="N180" s="50"/>
      <c r="O180" s="45"/>
      <c r="P180" s="123"/>
      <c r="Q180" s="50"/>
      <c r="R180" s="51"/>
      <c r="S180" s="50">
        <f t="shared" si="1"/>
        <v>0</v>
      </c>
      <c r="T180" s="50"/>
      <c r="U180" s="45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379"/>
      <c r="B181" s="380"/>
      <c r="C181" s="380"/>
      <c r="D181" s="380"/>
      <c r="E181" s="380"/>
      <c r="F181" s="54"/>
      <c r="G181" s="55" t="s">
        <v>28</v>
      </c>
      <c r="H181" s="116"/>
      <c r="I181" s="57"/>
      <c r="J181" s="57"/>
      <c r="K181" s="43"/>
      <c r="L181" s="44"/>
      <c r="M181" s="43">
        <f t="shared" si="0"/>
        <v>0</v>
      </c>
      <c r="N181" s="43"/>
      <c r="O181" s="41"/>
      <c r="P181" s="113">
        <v>1</v>
      </c>
      <c r="Q181" s="114">
        <v>4602.5</v>
      </c>
      <c r="R181" s="44"/>
      <c r="S181" s="43">
        <f t="shared" si="1"/>
        <v>4602.5</v>
      </c>
      <c r="T181" s="43"/>
      <c r="U181" s="234">
        <f>4602.5</f>
        <v>4602.5</v>
      </c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372"/>
      <c r="B182" s="374" t="s">
        <v>164</v>
      </c>
      <c r="C182" s="374" t="s">
        <v>22</v>
      </c>
      <c r="D182" s="374"/>
      <c r="E182" s="374" t="s">
        <v>27</v>
      </c>
      <c r="F182" s="22"/>
      <c r="G182" s="23" t="s">
        <v>24</v>
      </c>
      <c r="H182" s="98"/>
      <c r="I182" s="25"/>
      <c r="J182" s="25"/>
      <c r="K182" s="26"/>
      <c r="L182" s="27"/>
      <c r="M182" s="26">
        <f t="shared" si="0"/>
        <v>0</v>
      </c>
      <c r="N182" s="26"/>
      <c r="O182" s="31"/>
      <c r="P182" s="99"/>
      <c r="Q182" s="26"/>
      <c r="R182" s="27"/>
      <c r="S182" s="26">
        <f t="shared" si="1"/>
        <v>0</v>
      </c>
      <c r="T182" s="26"/>
      <c r="U182" s="31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373"/>
      <c r="B183" s="375"/>
      <c r="C183" s="375"/>
      <c r="D183" s="375"/>
      <c r="E183" s="375"/>
      <c r="F183" s="221" t="s">
        <v>335</v>
      </c>
      <c r="G183" s="55" t="s">
        <v>28</v>
      </c>
      <c r="H183" s="56">
        <v>2</v>
      </c>
      <c r="I183" s="57"/>
      <c r="J183" s="57"/>
      <c r="K183" s="43"/>
      <c r="L183" s="44"/>
      <c r="M183" s="43">
        <f t="shared" si="0"/>
        <v>0</v>
      </c>
      <c r="N183" s="43"/>
      <c r="O183" s="41"/>
      <c r="P183" s="113">
        <v>3</v>
      </c>
      <c r="Q183" s="114">
        <v>4898.55</v>
      </c>
      <c r="R183" s="44"/>
      <c r="S183" s="43">
        <f t="shared" si="1"/>
        <v>4034.1</v>
      </c>
      <c r="T183" s="43"/>
      <c r="U183" s="41">
        <f>4034.1</f>
        <v>4034.1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372"/>
      <c r="B184" s="374" t="s">
        <v>165</v>
      </c>
      <c r="C184" s="374"/>
      <c r="D184" s="374"/>
      <c r="E184" s="374"/>
      <c r="F184" s="22"/>
      <c r="G184" s="23" t="s">
        <v>24</v>
      </c>
      <c r="H184" s="119"/>
      <c r="I184" s="25"/>
      <c r="J184" s="25"/>
      <c r="K184" s="26"/>
      <c r="L184" s="27"/>
      <c r="M184" s="26">
        <f t="shared" si="0"/>
        <v>0</v>
      </c>
      <c r="N184" s="26"/>
      <c r="O184" s="31"/>
      <c r="P184" s="99"/>
      <c r="Q184" s="26"/>
      <c r="R184" s="27"/>
      <c r="S184" s="26">
        <f t="shared" si="1"/>
        <v>0</v>
      </c>
      <c r="T184" s="26"/>
      <c r="U184" s="31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373"/>
      <c r="B185" s="375"/>
      <c r="C185" s="375"/>
      <c r="D185" s="375"/>
      <c r="E185" s="375"/>
      <c r="F185" s="34"/>
      <c r="G185" s="35" t="s">
        <v>25</v>
      </c>
      <c r="H185" s="36"/>
      <c r="I185" s="38"/>
      <c r="J185" s="38"/>
      <c r="K185" s="39"/>
      <c r="L185" s="40"/>
      <c r="M185" s="39">
        <f t="shared" si="0"/>
        <v>0</v>
      </c>
      <c r="N185" s="39"/>
      <c r="O185" s="41"/>
      <c r="P185" s="115">
        <v>1</v>
      </c>
      <c r="Q185" s="68">
        <v>288.14999999999998</v>
      </c>
      <c r="R185" s="40"/>
      <c r="S185" s="39">
        <f t="shared" si="1"/>
        <v>0</v>
      </c>
      <c r="T185" s="39"/>
      <c r="U185" s="41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382"/>
      <c r="B186" s="381" t="s">
        <v>166</v>
      </c>
      <c r="C186" s="381" t="s">
        <v>22</v>
      </c>
      <c r="D186" s="381"/>
      <c r="E186" s="381" t="s">
        <v>27</v>
      </c>
      <c r="F186" s="46"/>
      <c r="G186" s="47" t="s">
        <v>24</v>
      </c>
      <c r="H186" s="98"/>
      <c r="I186" s="49"/>
      <c r="J186" s="49"/>
      <c r="K186" s="50"/>
      <c r="L186" s="51"/>
      <c r="M186" s="50">
        <f t="shared" si="0"/>
        <v>0</v>
      </c>
      <c r="N186" s="50"/>
      <c r="O186" s="31"/>
      <c r="P186" s="108">
        <v>2</v>
      </c>
      <c r="Q186" s="65">
        <v>2761.51</v>
      </c>
      <c r="R186" s="51"/>
      <c r="S186" s="50">
        <f t="shared" si="1"/>
        <v>0</v>
      </c>
      <c r="T186" s="50"/>
      <c r="U186" s="31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373"/>
      <c r="B187" s="375"/>
      <c r="C187" s="375"/>
      <c r="D187" s="375"/>
      <c r="E187" s="375"/>
      <c r="F187" s="126"/>
      <c r="G187" s="55" t="s">
        <v>28</v>
      </c>
      <c r="H187" s="118"/>
      <c r="I187" s="57"/>
      <c r="J187" s="57"/>
      <c r="K187" s="43"/>
      <c r="L187" s="44"/>
      <c r="M187" s="43">
        <f t="shared" si="0"/>
        <v>0</v>
      </c>
      <c r="N187" s="43"/>
      <c r="O187" s="45"/>
      <c r="P187" s="103"/>
      <c r="Q187" s="43"/>
      <c r="R187" s="44"/>
      <c r="S187" s="43">
        <f t="shared" si="1"/>
        <v>0</v>
      </c>
      <c r="T187" s="43"/>
      <c r="U187" s="45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168"/>
      <c r="B188" s="374" t="s">
        <v>167</v>
      </c>
      <c r="C188" s="169"/>
      <c r="D188" s="381" t="s">
        <v>168</v>
      </c>
      <c r="E188" s="169"/>
      <c r="F188" s="170"/>
      <c r="G188" s="23" t="s">
        <v>24</v>
      </c>
      <c r="H188" s="24">
        <v>1</v>
      </c>
      <c r="I188" s="62">
        <v>1</v>
      </c>
      <c r="J188" s="62">
        <v>1</v>
      </c>
      <c r="K188" s="30">
        <v>576.29999999999995</v>
      </c>
      <c r="L188" s="27"/>
      <c r="M188" s="26">
        <f t="shared" si="0"/>
        <v>0</v>
      </c>
      <c r="N188" s="26"/>
      <c r="O188" s="159"/>
      <c r="P188" s="99"/>
      <c r="Q188" s="26"/>
      <c r="R188" s="27"/>
      <c r="S188" s="26">
        <f t="shared" si="1"/>
        <v>0</v>
      </c>
      <c r="T188" s="26"/>
      <c r="U188" s="28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171"/>
      <c r="B189" s="375"/>
      <c r="C189" s="172"/>
      <c r="D189" s="375"/>
      <c r="E189" s="172"/>
      <c r="F189" s="240" t="s">
        <v>247</v>
      </c>
      <c r="G189" s="35" t="s">
        <v>28</v>
      </c>
      <c r="H189" s="66">
        <v>1</v>
      </c>
      <c r="I189" s="37"/>
      <c r="J189" s="37"/>
      <c r="K189" s="39"/>
      <c r="L189" s="40"/>
      <c r="M189" s="39">
        <f t="shared" si="0"/>
        <v>0</v>
      </c>
      <c r="N189" s="39"/>
      <c r="O189" s="58"/>
      <c r="P189" s="244">
        <v>2</v>
      </c>
      <c r="Q189" s="245">
        <v>5186.7</v>
      </c>
      <c r="R189" s="40"/>
      <c r="S189" s="39">
        <f t="shared" si="1"/>
        <v>4034.1</v>
      </c>
      <c r="T189" s="39"/>
      <c r="U189" s="41">
        <f>4034.1</f>
        <v>4034.1</v>
      </c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372"/>
      <c r="B190" s="374" t="s">
        <v>169</v>
      </c>
      <c r="C190" s="374" t="s">
        <v>22</v>
      </c>
      <c r="D190" s="374"/>
      <c r="E190" s="374" t="s">
        <v>27</v>
      </c>
      <c r="F190" s="22"/>
      <c r="G190" s="176" t="s">
        <v>24</v>
      </c>
      <c r="H190" s="98"/>
      <c r="I190" s="49"/>
      <c r="J190" s="49"/>
      <c r="K190" s="50"/>
      <c r="L190" s="51"/>
      <c r="M190" s="50">
        <f t="shared" si="0"/>
        <v>0</v>
      </c>
      <c r="N190" s="50"/>
      <c r="O190" s="31"/>
      <c r="P190" s="123"/>
      <c r="Q190" s="50"/>
      <c r="R190" s="51"/>
      <c r="S190" s="50">
        <f t="shared" si="1"/>
        <v>0</v>
      </c>
      <c r="T190" s="50"/>
      <c r="U190" s="31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373"/>
      <c r="B191" s="375"/>
      <c r="C191" s="375"/>
      <c r="D191" s="375"/>
      <c r="E191" s="375"/>
      <c r="F191" s="220" t="s">
        <v>336</v>
      </c>
      <c r="G191" s="229" t="s">
        <v>28</v>
      </c>
      <c r="H191" s="153">
        <v>1</v>
      </c>
      <c r="I191" s="57"/>
      <c r="J191" s="57"/>
      <c r="K191" s="43"/>
      <c r="L191" s="44"/>
      <c r="M191" s="43">
        <f t="shared" si="0"/>
        <v>0</v>
      </c>
      <c r="N191" s="43"/>
      <c r="O191" s="41"/>
      <c r="P191" s="103"/>
      <c r="Q191" s="43"/>
      <c r="R191" s="128"/>
      <c r="S191" s="50">
        <f t="shared" si="1"/>
        <v>0</v>
      </c>
      <c r="T191" s="43"/>
      <c r="U191" s="41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372"/>
      <c r="B192" s="374" t="s">
        <v>170</v>
      </c>
      <c r="C192" s="374" t="s">
        <v>22</v>
      </c>
      <c r="D192" s="374"/>
      <c r="E192" s="374" t="s">
        <v>160</v>
      </c>
      <c r="F192" s="232" t="s">
        <v>248</v>
      </c>
      <c r="G192" s="23" t="s">
        <v>24</v>
      </c>
      <c r="H192" s="48">
        <v>3</v>
      </c>
      <c r="I192" s="62">
        <v>1</v>
      </c>
      <c r="J192" s="62">
        <v>1</v>
      </c>
      <c r="K192" s="30">
        <v>1233.28</v>
      </c>
      <c r="L192" s="27"/>
      <c r="M192" s="26">
        <f t="shared" si="0"/>
        <v>0</v>
      </c>
      <c r="N192" s="26"/>
      <c r="O192" s="31"/>
      <c r="P192" s="53">
        <v>13</v>
      </c>
      <c r="Q192" s="30">
        <v>34299.050000000003</v>
      </c>
      <c r="R192" s="205">
        <v>2</v>
      </c>
      <c r="S192" s="26">
        <f t="shared" si="1"/>
        <v>5534.4</v>
      </c>
      <c r="T192" s="30">
        <v>5534.4</v>
      </c>
      <c r="U192" s="225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373"/>
      <c r="B193" s="375"/>
      <c r="C193" s="375"/>
      <c r="D193" s="375"/>
      <c r="E193" s="375"/>
      <c r="F193" s="105"/>
      <c r="G193" s="35" t="s">
        <v>28</v>
      </c>
      <c r="H193" s="116"/>
      <c r="I193" s="38"/>
      <c r="J193" s="38"/>
      <c r="K193" s="39"/>
      <c r="L193" s="40"/>
      <c r="M193" s="39">
        <f t="shared" si="0"/>
        <v>0</v>
      </c>
      <c r="N193" s="39"/>
      <c r="O193" s="41"/>
      <c r="P193" s="59"/>
      <c r="Q193" s="39"/>
      <c r="R193" s="40"/>
      <c r="S193" s="39">
        <f t="shared" si="1"/>
        <v>0</v>
      </c>
      <c r="T193" s="39"/>
      <c r="U193" s="41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372"/>
      <c r="B194" s="374" t="s">
        <v>171</v>
      </c>
      <c r="C194" s="374" t="s">
        <v>22</v>
      </c>
      <c r="D194" s="374"/>
      <c r="E194" s="374" t="s">
        <v>27</v>
      </c>
      <c r="F194" s="22"/>
      <c r="G194" s="176" t="s">
        <v>24</v>
      </c>
      <c r="H194" s="48">
        <v>1</v>
      </c>
      <c r="I194" s="49"/>
      <c r="J194" s="49"/>
      <c r="K194" s="50"/>
      <c r="L194" s="51"/>
      <c r="M194" s="50">
        <f t="shared" si="0"/>
        <v>0</v>
      </c>
      <c r="N194" s="50"/>
      <c r="O194" s="31"/>
      <c r="P194" s="108">
        <v>5</v>
      </c>
      <c r="Q194" s="65">
        <v>16087.92</v>
      </c>
      <c r="R194" s="51"/>
      <c r="S194" s="50">
        <f t="shared" si="1"/>
        <v>0</v>
      </c>
      <c r="T194" s="50"/>
      <c r="U194" s="31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373"/>
      <c r="B195" s="375"/>
      <c r="C195" s="375"/>
      <c r="D195" s="375"/>
      <c r="E195" s="375"/>
      <c r="F195" s="220" t="s">
        <v>337</v>
      </c>
      <c r="G195" s="229" t="s">
        <v>28</v>
      </c>
      <c r="H195" s="133">
        <v>2</v>
      </c>
      <c r="I195" s="57"/>
      <c r="J195" s="57"/>
      <c r="K195" s="43"/>
      <c r="L195" s="128"/>
      <c r="M195" s="50">
        <f t="shared" si="0"/>
        <v>0</v>
      </c>
      <c r="N195" s="43"/>
      <c r="O195" s="41"/>
      <c r="P195" s="103"/>
      <c r="Q195" s="43"/>
      <c r="R195" s="44"/>
      <c r="S195" s="43">
        <f t="shared" si="1"/>
        <v>0</v>
      </c>
      <c r="T195" s="43"/>
      <c r="U195" s="41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372"/>
      <c r="B196" s="374" t="s">
        <v>172</v>
      </c>
      <c r="C196" s="377" t="s">
        <v>39</v>
      </c>
      <c r="D196" s="374" t="s">
        <v>303</v>
      </c>
      <c r="E196" s="374" t="s">
        <v>121</v>
      </c>
      <c r="F196" s="232" t="s">
        <v>304</v>
      </c>
      <c r="G196" s="23" t="s">
        <v>24</v>
      </c>
      <c r="H196" s="48">
        <v>4</v>
      </c>
      <c r="I196" s="62">
        <v>2</v>
      </c>
      <c r="J196" s="62">
        <v>2</v>
      </c>
      <c r="K196" s="30">
        <v>806.82</v>
      </c>
      <c r="L196" s="27"/>
      <c r="M196" s="26">
        <f t="shared" si="0"/>
        <v>0</v>
      </c>
      <c r="N196" s="26"/>
      <c r="O196" s="31"/>
      <c r="P196" s="53">
        <v>25</v>
      </c>
      <c r="Q196" s="30">
        <v>34901.07</v>
      </c>
      <c r="R196" s="27"/>
      <c r="S196" s="26">
        <f t="shared" si="1"/>
        <v>6109.65</v>
      </c>
      <c r="T196" s="30"/>
      <c r="U196" s="30">
        <v>6109.65</v>
      </c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373"/>
      <c r="B197" s="375"/>
      <c r="C197" s="380"/>
      <c r="D197" s="375"/>
      <c r="E197" s="375"/>
      <c r="F197" s="54"/>
      <c r="G197" s="55" t="s">
        <v>25</v>
      </c>
      <c r="H197" s="102"/>
      <c r="I197" s="57"/>
      <c r="J197" s="57"/>
      <c r="K197" s="43"/>
      <c r="L197" s="44"/>
      <c r="M197" s="43">
        <f t="shared" si="0"/>
        <v>0</v>
      </c>
      <c r="N197" s="43"/>
      <c r="O197" s="41"/>
      <c r="P197" s="103"/>
      <c r="Q197" s="43"/>
      <c r="R197" s="44"/>
      <c r="S197" s="43">
        <f t="shared" si="1"/>
        <v>0</v>
      </c>
      <c r="T197" s="43"/>
      <c r="U197" s="41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372"/>
      <c r="B198" s="374" t="s">
        <v>173</v>
      </c>
      <c r="C198" s="374"/>
      <c r="D198" s="374" t="s">
        <v>338</v>
      </c>
      <c r="E198" s="374"/>
      <c r="F198" s="22"/>
      <c r="G198" s="23" t="s">
        <v>24</v>
      </c>
      <c r="H198" s="61">
        <v>11</v>
      </c>
      <c r="I198" s="25"/>
      <c r="J198" s="25"/>
      <c r="K198" s="26"/>
      <c r="L198" s="27"/>
      <c r="M198" s="26">
        <f t="shared" si="0"/>
        <v>0</v>
      </c>
      <c r="N198" s="26"/>
      <c r="O198" s="31"/>
      <c r="P198" s="53">
        <v>6</v>
      </c>
      <c r="Q198" s="30">
        <v>5292.88</v>
      </c>
      <c r="R198" s="27"/>
      <c r="S198" s="26">
        <f t="shared" si="1"/>
        <v>0</v>
      </c>
      <c r="T198" s="26"/>
      <c r="U198" s="31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373"/>
      <c r="B199" s="375"/>
      <c r="C199" s="375"/>
      <c r="D199" s="375"/>
      <c r="E199" s="375"/>
      <c r="F199" s="220" t="s">
        <v>339</v>
      </c>
      <c r="G199" s="35" t="s">
        <v>25</v>
      </c>
      <c r="H199" s="117">
        <v>4</v>
      </c>
      <c r="I199" s="38"/>
      <c r="J199" s="38"/>
      <c r="K199" s="39"/>
      <c r="L199" s="40"/>
      <c r="M199" s="39">
        <f t="shared" si="0"/>
        <v>0</v>
      </c>
      <c r="N199" s="39"/>
      <c r="O199" s="41"/>
      <c r="P199" s="59"/>
      <c r="Q199" s="39"/>
      <c r="R199" s="40"/>
      <c r="S199" s="39">
        <f t="shared" si="1"/>
        <v>0</v>
      </c>
      <c r="T199" s="39"/>
      <c r="U199" s="41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372"/>
      <c r="B200" s="374" t="s">
        <v>174</v>
      </c>
      <c r="C200" s="374" t="s">
        <v>39</v>
      </c>
      <c r="D200" s="374" t="s">
        <v>175</v>
      </c>
      <c r="E200" s="374" t="s">
        <v>176</v>
      </c>
      <c r="F200" s="22"/>
      <c r="G200" s="176" t="s">
        <v>24</v>
      </c>
      <c r="H200" s="48">
        <v>5</v>
      </c>
      <c r="I200" s="203">
        <v>2</v>
      </c>
      <c r="J200" s="203">
        <v>2</v>
      </c>
      <c r="K200" s="65">
        <v>2579.9</v>
      </c>
      <c r="L200" s="51"/>
      <c r="M200" s="50">
        <f t="shared" si="0"/>
        <v>0</v>
      </c>
      <c r="N200" s="50"/>
      <c r="O200" s="31"/>
      <c r="P200" s="108">
        <v>12</v>
      </c>
      <c r="Q200" s="65">
        <v>36941.42</v>
      </c>
      <c r="R200" s="51"/>
      <c r="S200" s="50">
        <f t="shared" si="1"/>
        <v>0</v>
      </c>
      <c r="T200" s="50"/>
      <c r="U200" s="31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373"/>
      <c r="B201" s="375"/>
      <c r="C201" s="375"/>
      <c r="D201" s="375"/>
      <c r="E201" s="375"/>
      <c r="F201" s="220" t="s">
        <v>340</v>
      </c>
      <c r="G201" s="229" t="s">
        <v>25</v>
      </c>
      <c r="H201" s="111"/>
      <c r="I201" s="57"/>
      <c r="J201" s="57"/>
      <c r="K201" s="43"/>
      <c r="L201" s="44"/>
      <c r="M201" s="43">
        <f t="shared" si="0"/>
        <v>0</v>
      </c>
      <c r="N201" s="43"/>
      <c r="O201" s="41"/>
      <c r="P201" s="113">
        <v>3</v>
      </c>
      <c r="Q201" s="114">
        <v>19142.64</v>
      </c>
      <c r="R201" s="44"/>
      <c r="S201" s="43">
        <f t="shared" si="1"/>
        <v>0</v>
      </c>
      <c r="T201" s="43"/>
      <c r="U201" s="41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372"/>
      <c r="B202" s="374" t="s">
        <v>177</v>
      </c>
      <c r="C202" s="377" t="s">
        <v>39</v>
      </c>
      <c r="D202" s="374" t="s">
        <v>226</v>
      </c>
      <c r="E202" s="374" t="s">
        <v>27</v>
      </c>
      <c r="F202" s="204" t="s">
        <v>227</v>
      </c>
      <c r="G202" s="23" t="s">
        <v>24</v>
      </c>
      <c r="H202" s="48">
        <v>1</v>
      </c>
      <c r="I202" s="25"/>
      <c r="J202" s="25"/>
      <c r="K202" s="26"/>
      <c r="L202" s="27"/>
      <c r="M202" s="26">
        <f t="shared" si="0"/>
        <v>0</v>
      </c>
      <c r="N202" s="26"/>
      <c r="O202" s="31"/>
      <c r="P202" s="53">
        <v>14</v>
      </c>
      <c r="Q202" s="30">
        <v>45509.18</v>
      </c>
      <c r="R202" s="205">
        <v>3</v>
      </c>
      <c r="S202" s="26">
        <f t="shared" si="1"/>
        <v>7081.87</v>
      </c>
      <c r="T202" s="30">
        <v>7081.87</v>
      </c>
      <c r="U202" s="31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373"/>
      <c r="B203" s="375"/>
      <c r="C203" s="380"/>
      <c r="D203" s="375"/>
      <c r="E203" s="375"/>
      <c r="F203" s="126"/>
      <c r="G203" s="55" t="s">
        <v>28</v>
      </c>
      <c r="H203" s="118"/>
      <c r="I203" s="57"/>
      <c r="J203" s="57"/>
      <c r="K203" s="43"/>
      <c r="L203" s="44"/>
      <c r="M203" s="43">
        <f t="shared" si="0"/>
        <v>0</v>
      </c>
      <c r="N203" s="43"/>
      <c r="O203" s="41"/>
      <c r="P203" s="103"/>
      <c r="Q203" s="43"/>
      <c r="R203" s="44"/>
      <c r="S203" s="43">
        <f t="shared" si="1"/>
        <v>0</v>
      </c>
      <c r="T203" s="43"/>
      <c r="U203" s="41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372"/>
      <c r="B204" s="374" t="s">
        <v>178</v>
      </c>
      <c r="C204" s="374"/>
      <c r="D204" s="374"/>
      <c r="E204" s="374"/>
      <c r="F204" s="22"/>
      <c r="G204" s="176" t="s">
        <v>24</v>
      </c>
      <c r="H204" s="61">
        <v>1</v>
      </c>
      <c r="I204" s="25"/>
      <c r="J204" s="25"/>
      <c r="K204" s="26"/>
      <c r="L204" s="27"/>
      <c r="M204" s="26">
        <f t="shared" si="0"/>
        <v>0</v>
      </c>
      <c r="N204" s="26"/>
      <c r="O204" s="31"/>
      <c r="P204" s="120"/>
      <c r="Q204" s="26"/>
      <c r="R204" s="27"/>
      <c r="S204" s="26">
        <f t="shared" si="1"/>
        <v>0</v>
      </c>
      <c r="T204" s="26"/>
      <c r="U204" s="31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373"/>
      <c r="B205" s="375"/>
      <c r="C205" s="375"/>
      <c r="D205" s="375"/>
      <c r="E205" s="375"/>
      <c r="F205" s="126"/>
      <c r="G205" s="177" t="s">
        <v>28</v>
      </c>
      <c r="H205" s="131"/>
      <c r="I205" s="57"/>
      <c r="J205" s="57"/>
      <c r="K205" s="43"/>
      <c r="L205" s="44"/>
      <c r="M205" s="43">
        <f t="shared" si="0"/>
        <v>0</v>
      </c>
      <c r="N205" s="43"/>
      <c r="O205" s="45"/>
      <c r="P205" s="42"/>
      <c r="Q205" s="43"/>
      <c r="R205" s="44"/>
      <c r="S205" s="43">
        <f t="shared" si="1"/>
        <v>0</v>
      </c>
      <c r="T205" s="43"/>
      <c r="U205" s="45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372"/>
      <c r="B206" s="374" t="s">
        <v>179</v>
      </c>
      <c r="C206" s="374"/>
      <c r="D206" s="374"/>
      <c r="E206" s="374" t="s">
        <v>27</v>
      </c>
      <c r="F206" s="22"/>
      <c r="G206" s="23" t="s">
        <v>24</v>
      </c>
      <c r="H206" s="61">
        <v>2</v>
      </c>
      <c r="I206" s="25"/>
      <c r="J206" s="25"/>
      <c r="K206" s="26"/>
      <c r="L206" s="27"/>
      <c r="M206" s="26">
        <f t="shared" si="0"/>
        <v>0</v>
      </c>
      <c r="N206" s="26"/>
      <c r="O206" s="28"/>
      <c r="P206" s="120"/>
      <c r="Q206" s="26"/>
      <c r="R206" s="27"/>
      <c r="S206" s="26">
        <f t="shared" si="1"/>
        <v>0</v>
      </c>
      <c r="T206" s="26"/>
      <c r="U206" s="28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373"/>
      <c r="B207" s="375"/>
      <c r="C207" s="375"/>
      <c r="D207" s="375"/>
      <c r="E207" s="375"/>
      <c r="F207" s="105"/>
      <c r="G207" s="35" t="s">
        <v>28</v>
      </c>
      <c r="H207" s="106"/>
      <c r="I207" s="38"/>
      <c r="J207" s="38"/>
      <c r="K207" s="39"/>
      <c r="L207" s="40"/>
      <c r="M207" s="39">
        <f t="shared" si="0"/>
        <v>0</v>
      </c>
      <c r="N207" s="39"/>
      <c r="O207" s="41"/>
      <c r="P207" s="69"/>
      <c r="Q207" s="39"/>
      <c r="R207" s="40"/>
      <c r="S207" s="39">
        <f t="shared" si="1"/>
        <v>0</v>
      </c>
      <c r="T207" s="39"/>
      <c r="U207" s="41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382"/>
      <c r="B208" s="381" t="s">
        <v>180</v>
      </c>
      <c r="C208" s="381" t="s">
        <v>46</v>
      </c>
      <c r="D208" s="381" t="s">
        <v>181</v>
      </c>
      <c r="E208" s="381" t="s">
        <v>27</v>
      </c>
      <c r="F208" s="204" t="s">
        <v>228</v>
      </c>
      <c r="G208" s="47" t="s">
        <v>24</v>
      </c>
      <c r="H208" s="48">
        <v>6</v>
      </c>
      <c r="I208" s="203">
        <v>3</v>
      </c>
      <c r="J208" s="203">
        <v>3</v>
      </c>
      <c r="K208" s="65">
        <v>1527.2</v>
      </c>
      <c r="L208" s="51"/>
      <c r="M208" s="50">
        <f t="shared" si="0"/>
        <v>0</v>
      </c>
      <c r="N208" s="50"/>
      <c r="O208" s="31"/>
      <c r="P208" s="108">
        <v>10</v>
      </c>
      <c r="Q208" s="65">
        <v>31753.040000000001</v>
      </c>
      <c r="R208" s="224">
        <v>8</v>
      </c>
      <c r="S208" s="50">
        <f t="shared" si="1"/>
        <v>31034.59</v>
      </c>
      <c r="T208" s="65">
        <v>28968.84</v>
      </c>
      <c r="U208" s="225">
        <v>2065.75</v>
      </c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379"/>
      <c r="B209" s="380"/>
      <c r="C209" s="380"/>
      <c r="D209" s="380"/>
      <c r="E209" s="380"/>
      <c r="F209" s="54"/>
      <c r="G209" s="55" t="s">
        <v>28</v>
      </c>
      <c r="H209" s="116"/>
      <c r="I209" s="57"/>
      <c r="J209" s="57"/>
      <c r="K209" s="43"/>
      <c r="L209" s="128"/>
      <c r="M209" s="50">
        <f t="shared" si="0"/>
        <v>0</v>
      </c>
      <c r="N209" s="43"/>
      <c r="O209" s="41"/>
      <c r="P209" s="113">
        <v>1</v>
      </c>
      <c r="Q209" s="114">
        <v>2209.1999999999998</v>
      </c>
      <c r="R209" s="44"/>
      <c r="S209" s="43">
        <f t="shared" si="1"/>
        <v>2209.1999999999998</v>
      </c>
      <c r="T209" s="43"/>
      <c r="U209" s="45">
        <f>2209.2</f>
        <v>2209.1999999999998</v>
      </c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6.5" customHeight="1">
      <c r="A210" s="372"/>
      <c r="B210" s="374" t="s">
        <v>182</v>
      </c>
      <c r="C210" s="374" t="s">
        <v>46</v>
      </c>
      <c r="D210" s="374" t="s">
        <v>181</v>
      </c>
      <c r="E210" s="374" t="s">
        <v>27</v>
      </c>
      <c r="F210" s="22"/>
      <c r="G210" s="23" t="s">
        <v>24</v>
      </c>
      <c r="H210" s="48">
        <v>8</v>
      </c>
      <c r="I210" s="62">
        <v>7</v>
      </c>
      <c r="J210" s="62">
        <v>8</v>
      </c>
      <c r="K210" s="30">
        <v>12866.49</v>
      </c>
      <c r="L210" s="27"/>
      <c r="M210" s="26">
        <f t="shared" si="0"/>
        <v>0</v>
      </c>
      <c r="N210" s="26"/>
      <c r="O210" s="31"/>
      <c r="P210" s="53">
        <v>6</v>
      </c>
      <c r="Q210" s="30">
        <v>31478.57</v>
      </c>
      <c r="R210" s="27"/>
      <c r="S210" s="26">
        <f t="shared" si="1"/>
        <v>0</v>
      </c>
      <c r="T210" s="26"/>
      <c r="U210" s="100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6.5" customHeight="1">
      <c r="A211" s="373"/>
      <c r="B211" s="375"/>
      <c r="C211" s="375"/>
      <c r="D211" s="375"/>
      <c r="E211" s="375"/>
      <c r="F211" s="34"/>
      <c r="G211" s="35" t="s">
        <v>28</v>
      </c>
      <c r="H211" s="116"/>
      <c r="I211" s="38"/>
      <c r="J211" s="38"/>
      <c r="K211" s="39"/>
      <c r="L211" s="40"/>
      <c r="M211" s="39">
        <f t="shared" si="0"/>
        <v>0</v>
      </c>
      <c r="N211" s="39"/>
      <c r="O211" s="41"/>
      <c r="P211" s="59"/>
      <c r="Q211" s="39"/>
      <c r="R211" s="40"/>
      <c r="S211" s="39">
        <f t="shared" si="1"/>
        <v>0</v>
      </c>
      <c r="T211" s="39"/>
      <c r="U211" s="41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6.5" customHeight="1">
      <c r="A212" s="382"/>
      <c r="B212" s="381" t="s">
        <v>183</v>
      </c>
      <c r="C212" s="381" t="s">
        <v>22</v>
      </c>
      <c r="D212" s="381"/>
      <c r="E212" s="381" t="s">
        <v>99</v>
      </c>
      <c r="F212" s="127"/>
      <c r="G212" s="23" t="s">
        <v>24</v>
      </c>
      <c r="H212" s="48">
        <v>1</v>
      </c>
      <c r="I212" s="49"/>
      <c r="J212" s="49"/>
      <c r="K212" s="50"/>
      <c r="L212" s="51"/>
      <c r="M212" s="50">
        <f t="shared" si="0"/>
        <v>0</v>
      </c>
      <c r="N212" s="50"/>
      <c r="O212" s="31"/>
      <c r="P212" s="108">
        <v>7</v>
      </c>
      <c r="Q212" s="65">
        <v>8340.7099999999991</v>
      </c>
      <c r="R212" s="51"/>
      <c r="S212" s="50">
        <f t="shared" si="1"/>
        <v>0</v>
      </c>
      <c r="T212" s="50"/>
      <c r="U212" s="31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6.5" customHeight="1">
      <c r="A213" s="379"/>
      <c r="B213" s="380"/>
      <c r="C213" s="380"/>
      <c r="D213" s="380"/>
      <c r="E213" s="380"/>
      <c r="F213" s="221" t="s">
        <v>252</v>
      </c>
      <c r="G213" s="55" t="s">
        <v>28</v>
      </c>
      <c r="H213" s="133">
        <v>3</v>
      </c>
      <c r="I213" s="57"/>
      <c r="J213" s="57"/>
      <c r="K213" s="43"/>
      <c r="L213" s="44"/>
      <c r="M213" s="43">
        <f t="shared" si="0"/>
        <v>0</v>
      </c>
      <c r="N213" s="43"/>
      <c r="O213" s="41"/>
      <c r="P213" s="113">
        <v>1</v>
      </c>
      <c r="Q213" s="114">
        <v>4034.1</v>
      </c>
      <c r="R213" s="44"/>
      <c r="S213" s="43">
        <f t="shared" si="1"/>
        <v>0</v>
      </c>
      <c r="T213" s="43"/>
      <c r="U213" s="41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6.5" customHeight="1">
      <c r="A214" s="372"/>
      <c r="B214" s="374" t="s">
        <v>184</v>
      </c>
      <c r="C214" s="374" t="s">
        <v>22</v>
      </c>
      <c r="D214" s="374"/>
      <c r="E214" s="374" t="s">
        <v>27</v>
      </c>
      <c r="F214" s="60"/>
      <c r="G214" s="23" t="s">
        <v>24</v>
      </c>
      <c r="H214" s="107"/>
      <c r="I214" s="25"/>
      <c r="J214" s="25"/>
      <c r="K214" s="26"/>
      <c r="L214" s="27"/>
      <c r="M214" s="26">
        <f t="shared" si="0"/>
        <v>0</v>
      </c>
      <c r="N214" s="26"/>
      <c r="O214" s="31"/>
      <c r="P214" s="99"/>
      <c r="Q214" s="26"/>
      <c r="R214" s="27"/>
      <c r="S214" s="26">
        <f t="shared" si="1"/>
        <v>0</v>
      </c>
      <c r="T214" s="26"/>
      <c r="U214" s="31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6.5" customHeight="1">
      <c r="A215" s="379"/>
      <c r="B215" s="380"/>
      <c r="C215" s="380"/>
      <c r="D215" s="380"/>
      <c r="E215" s="380"/>
      <c r="F215" s="233" t="s">
        <v>253</v>
      </c>
      <c r="G215" s="227" t="s">
        <v>28</v>
      </c>
      <c r="H215" s="153">
        <v>2</v>
      </c>
      <c r="I215" s="57"/>
      <c r="J215" s="57"/>
      <c r="K215" s="43"/>
      <c r="L215" s="44"/>
      <c r="M215" s="43">
        <f t="shared" si="0"/>
        <v>0</v>
      </c>
      <c r="N215" s="43"/>
      <c r="O215" s="41"/>
      <c r="P215" s="113">
        <v>2</v>
      </c>
      <c r="Q215" s="114">
        <v>2958.34</v>
      </c>
      <c r="R215" s="44"/>
      <c r="S215" s="43">
        <f t="shared" si="1"/>
        <v>2958.34</v>
      </c>
      <c r="T215" s="43"/>
      <c r="U215" s="41">
        <f>2958.34</f>
        <v>2958.34</v>
      </c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6.5" customHeight="1">
      <c r="A216" s="372"/>
      <c r="B216" s="374" t="s">
        <v>185</v>
      </c>
      <c r="C216" s="374" t="s">
        <v>22</v>
      </c>
      <c r="D216" s="374"/>
      <c r="E216" s="374" t="s">
        <v>27</v>
      </c>
      <c r="F216" s="204" t="s">
        <v>341</v>
      </c>
      <c r="G216" s="176" t="s">
        <v>24</v>
      </c>
      <c r="H216" s="98"/>
      <c r="I216" s="25"/>
      <c r="J216" s="25"/>
      <c r="K216" s="26"/>
      <c r="L216" s="27"/>
      <c r="M216" s="26">
        <f t="shared" si="0"/>
        <v>0</v>
      </c>
      <c r="N216" s="26"/>
      <c r="O216" s="31"/>
      <c r="P216" s="53">
        <v>2</v>
      </c>
      <c r="Q216" s="30">
        <v>2577.4</v>
      </c>
      <c r="R216" s="27"/>
      <c r="S216" s="26">
        <f t="shared" si="1"/>
        <v>1288.7</v>
      </c>
      <c r="T216" s="26"/>
      <c r="U216" s="225">
        <v>1288.7</v>
      </c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373"/>
      <c r="B217" s="375"/>
      <c r="C217" s="375"/>
      <c r="D217" s="375"/>
      <c r="E217" s="375"/>
      <c r="F217" s="220" t="s">
        <v>342</v>
      </c>
      <c r="G217" s="229" t="s">
        <v>28</v>
      </c>
      <c r="H217" s="133">
        <v>1</v>
      </c>
      <c r="I217" s="57"/>
      <c r="J217" s="57"/>
      <c r="K217" s="43"/>
      <c r="L217" s="44"/>
      <c r="M217" s="43">
        <f t="shared" si="0"/>
        <v>0</v>
      </c>
      <c r="N217" s="43"/>
      <c r="O217" s="41"/>
      <c r="P217" s="113">
        <v>1</v>
      </c>
      <c r="Q217" s="114">
        <v>2994.47</v>
      </c>
      <c r="R217" s="44"/>
      <c r="S217" s="43">
        <f t="shared" si="1"/>
        <v>0</v>
      </c>
      <c r="T217" s="43"/>
      <c r="U217" s="41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372"/>
      <c r="B218" s="374" t="s">
        <v>186</v>
      </c>
      <c r="C218" s="374" t="s">
        <v>22</v>
      </c>
      <c r="D218" s="374"/>
      <c r="E218" s="374" t="s">
        <v>99</v>
      </c>
      <c r="F218" s="232" t="s">
        <v>315</v>
      </c>
      <c r="G218" s="23" t="s">
        <v>24</v>
      </c>
      <c r="H218" s="48">
        <v>1</v>
      </c>
      <c r="I218" s="25"/>
      <c r="J218" s="25"/>
      <c r="K218" s="26"/>
      <c r="L218" s="27"/>
      <c r="M218" s="26">
        <f t="shared" si="0"/>
        <v>0</v>
      </c>
      <c r="N218" s="26"/>
      <c r="O218" s="31"/>
      <c r="P218" s="53">
        <v>12</v>
      </c>
      <c r="Q218" s="30">
        <v>23681.66</v>
      </c>
      <c r="R218" s="205">
        <v>3</v>
      </c>
      <c r="S218" s="26">
        <f t="shared" si="1"/>
        <v>6447.76</v>
      </c>
      <c r="T218" s="30">
        <v>6447.76</v>
      </c>
      <c r="U218" s="31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373"/>
      <c r="B219" s="375"/>
      <c r="C219" s="375"/>
      <c r="D219" s="375"/>
      <c r="E219" s="375"/>
      <c r="F219" s="220" t="s">
        <v>254</v>
      </c>
      <c r="G219" s="35" t="s">
        <v>28</v>
      </c>
      <c r="H219" s="153">
        <v>5</v>
      </c>
      <c r="I219" s="38"/>
      <c r="J219" s="38"/>
      <c r="K219" s="39"/>
      <c r="L219" s="40"/>
      <c r="M219" s="39">
        <f t="shared" si="0"/>
        <v>0</v>
      </c>
      <c r="N219" s="39"/>
      <c r="O219" s="41"/>
      <c r="P219" s="59"/>
      <c r="Q219" s="39"/>
      <c r="R219" s="40"/>
      <c r="S219" s="39">
        <f t="shared" si="1"/>
        <v>0</v>
      </c>
      <c r="T219" s="39"/>
      <c r="U219" s="41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382"/>
      <c r="B220" s="381" t="s">
        <v>187</v>
      </c>
      <c r="C220" s="381" t="s">
        <v>22</v>
      </c>
      <c r="D220" s="381"/>
      <c r="E220" s="381" t="s">
        <v>131</v>
      </c>
      <c r="F220" s="223" t="s">
        <v>343</v>
      </c>
      <c r="G220" s="23" t="s">
        <v>24</v>
      </c>
      <c r="H220" s="48">
        <v>7</v>
      </c>
      <c r="I220" s="203">
        <v>2</v>
      </c>
      <c r="J220" s="203">
        <v>2</v>
      </c>
      <c r="K220" s="65">
        <v>2218.7600000000002</v>
      </c>
      <c r="L220" s="51"/>
      <c r="M220" s="50">
        <f t="shared" si="0"/>
        <v>0</v>
      </c>
      <c r="N220" s="50"/>
      <c r="O220" s="31"/>
      <c r="P220" s="108">
        <v>14</v>
      </c>
      <c r="Q220" s="65">
        <v>37752.99</v>
      </c>
      <c r="R220" s="51"/>
      <c r="S220" s="50">
        <f t="shared" si="1"/>
        <v>1046.6300000000001</v>
      </c>
      <c r="T220" s="50"/>
      <c r="U220" s="225">
        <v>1046.6300000000001</v>
      </c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379"/>
      <c r="B221" s="380"/>
      <c r="C221" s="380"/>
      <c r="D221" s="380"/>
      <c r="E221" s="380"/>
      <c r="F221" s="54"/>
      <c r="G221" s="55" t="s">
        <v>25</v>
      </c>
      <c r="H221" s="111"/>
      <c r="I221" s="57"/>
      <c r="J221" s="57"/>
      <c r="K221" s="43"/>
      <c r="L221" s="44"/>
      <c r="M221" s="43">
        <f t="shared" si="0"/>
        <v>0</v>
      </c>
      <c r="N221" s="43"/>
      <c r="O221" s="41"/>
      <c r="P221" s="113">
        <v>1</v>
      </c>
      <c r="Q221" s="114">
        <v>2996.76</v>
      </c>
      <c r="R221" s="44"/>
      <c r="S221" s="43">
        <f t="shared" si="1"/>
        <v>0</v>
      </c>
      <c r="T221" s="43"/>
      <c r="U221" s="41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372"/>
      <c r="B222" s="374" t="s">
        <v>188</v>
      </c>
      <c r="C222" s="374" t="s">
        <v>22</v>
      </c>
      <c r="D222" s="374"/>
      <c r="E222" s="374" t="s">
        <v>27</v>
      </c>
      <c r="F222" s="22"/>
      <c r="G222" s="23" t="s">
        <v>24</v>
      </c>
      <c r="H222" s="98"/>
      <c r="I222" s="25"/>
      <c r="J222" s="25"/>
      <c r="K222" s="26"/>
      <c r="L222" s="27"/>
      <c r="M222" s="26">
        <f t="shared" si="0"/>
        <v>0</v>
      </c>
      <c r="N222" s="26"/>
      <c r="O222" s="31"/>
      <c r="P222" s="99"/>
      <c r="Q222" s="26"/>
      <c r="R222" s="27"/>
      <c r="S222" s="26">
        <f t="shared" si="1"/>
        <v>0</v>
      </c>
      <c r="T222" s="26"/>
      <c r="U222" s="31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20.25" customHeight="1">
      <c r="A223" s="373"/>
      <c r="B223" s="375"/>
      <c r="C223" s="375"/>
      <c r="D223" s="375"/>
      <c r="E223" s="375"/>
      <c r="F223" s="221" t="s">
        <v>344</v>
      </c>
      <c r="G223" s="55" t="s">
        <v>28</v>
      </c>
      <c r="H223" s="56">
        <v>2</v>
      </c>
      <c r="I223" s="57"/>
      <c r="J223" s="57"/>
      <c r="K223" s="43"/>
      <c r="L223" s="44"/>
      <c r="M223" s="43">
        <f t="shared" si="0"/>
        <v>0</v>
      </c>
      <c r="N223" s="43"/>
      <c r="O223" s="45"/>
      <c r="P223" s="103"/>
      <c r="Q223" s="43"/>
      <c r="R223" s="44"/>
      <c r="S223" s="43">
        <f t="shared" si="1"/>
        <v>4050.2</v>
      </c>
      <c r="T223" s="43"/>
      <c r="U223" s="222">
        <v>4050.2</v>
      </c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372"/>
      <c r="B224" s="374" t="s">
        <v>189</v>
      </c>
      <c r="C224" s="374"/>
      <c r="D224" s="374"/>
      <c r="E224" s="374" t="s">
        <v>27</v>
      </c>
      <c r="F224" s="22"/>
      <c r="G224" s="23" t="s">
        <v>24</v>
      </c>
      <c r="H224" s="24">
        <v>5</v>
      </c>
      <c r="I224" s="62">
        <v>3</v>
      </c>
      <c r="J224" s="62">
        <v>3</v>
      </c>
      <c r="K224" s="30">
        <v>5760.14</v>
      </c>
      <c r="L224" s="27"/>
      <c r="M224" s="26">
        <f t="shared" si="0"/>
        <v>0</v>
      </c>
      <c r="N224" s="26"/>
      <c r="O224" s="28"/>
      <c r="P224" s="29">
        <v>2</v>
      </c>
      <c r="Q224" s="30">
        <v>1870.81</v>
      </c>
      <c r="R224" s="27"/>
      <c r="S224" s="26">
        <f t="shared" si="1"/>
        <v>0</v>
      </c>
      <c r="T224" s="26"/>
      <c r="U224" s="28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373"/>
      <c r="B225" s="375"/>
      <c r="C225" s="375"/>
      <c r="D225" s="375"/>
      <c r="E225" s="375"/>
      <c r="F225" s="220" t="s">
        <v>256</v>
      </c>
      <c r="G225" s="35" t="s">
        <v>28</v>
      </c>
      <c r="H225" s="66">
        <v>3</v>
      </c>
      <c r="I225" s="38"/>
      <c r="J225" s="38"/>
      <c r="K225" s="39"/>
      <c r="L225" s="40"/>
      <c r="M225" s="39">
        <f t="shared" si="0"/>
        <v>0</v>
      </c>
      <c r="N225" s="39"/>
      <c r="O225" s="41"/>
      <c r="P225" s="69"/>
      <c r="Q225" s="39"/>
      <c r="R225" s="40"/>
      <c r="S225" s="39">
        <f t="shared" si="1"/>
        <v>0</v>
      </c>
      <c r="T225" s="39"/>
      <c r="U225" s="41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382"/>
      <c r="B226" s="381" t="s">
        <v>190</v>
      </c>
      <c r="C226" s="381" t="s">
        <v>39</v>
      </c>
      <c r="D226" s="381" t="s">
        <v>191</v>
      </c>
      <c r="E226" s="381" t="s">
        <v>27</v>
      </c>
      <c r="F226" s="46"/>
      <c r="G226" s="47" t="s">
        <v>24</v>
      </c>
      <c r="H226" s="98"/>
      <c r="I226" s="49"/>
      <c r="J226" s="49"/>
      <c r="K226" s="50"/>
      <c r="L226" s="51"/>
      <c r="M226" s="50">
        <f t="shared" si="0"/>
        <v>0</v>
      </c>
      <c r="N226" s="50"/>
      <c r="O226" s="31"/>
      <c r="P226" s="123"/>
      <c r="Q226" s="50"/>
      <c r="R226" s="51"/>
      <c r="S226" s="50">
        <f t="shared" si="1"/>
        <v>0</v>
      </c>
      <c r="T226" s="50"/>
      <c r="U226" s="31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373"/>
      <c r="B227" s="375"/>
      <c r="C227" s="375"/>
      <c r="D227" s="375"/>
      <c r="E227" s="375"/>
      <c r="F227" s="220" t="s">
        <v>345</v>
      </c>
      <c r="G227" s="35" t="s">
        <v>28</v>
      </c>
      <c r="H227" s="112">
        <v>2</v>
      </c>
      <c r="I227" s="57"/>
      <c r="J227" s="57"/>
      <c r="K227" s="43"/>
      <c r="L227" s="44"/>
      <c r="M227" s="43">
        <f t="shared" si="0"/>
        <v>0</v>
      </c>
      <c r="N227" s="43"/>
      <c r="O227" s="45"/>
      <c r="P227" s="115">
        <v>4</v>
      </c>
      <c r="Q227" s="68">
        <v>5106.7</v>
      </c>
      <c r="R227" s="40"/>
      <c r="S227" s="39">
        <f t="shared" si="1"/>
        <v>3818</v>
      </c>
      <c r="T227" s="39"/>
      <c r="U227" s="41">
        <f>3818</f>
        <v>3818</v>
      </c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372"/>
      <c r="B228" s="374" t="s">
        <v>192</v>
      </c>
      <c r="C228" s="374" t="s">
        <v>22</v>
      </c>
      <c r="D228" s="374"/>
      <c r="E228" s="374" t="s">
        <v>193</v>
      </c>
      <c r="F228" s="204" t="s">
        <v>318</v>
      </c>
      <c r="G228" s="176" t="s">
        <v>24</v>
      </c>
      <c r="H228" s="61">
        <v>3</v>
      </c>
      <c r="I228" s="25"/>
      <c r="J228" s="25"/>
      <c r="K228" s="26"/>
      <c r="L228" s="27"/>
      <c r="M228" s="26">
        <f t="shared" si="0"/>
        <v>0</v>
      </c>
      <c r="N228" s="26"/>
      <c r="O228" s="100"/>
      <c r="P228" s="64">
        <v>15</v>
      </c>
      <c r="Q228" s="65">
        <v>35123.96</v>
      </c>
      <c r="R228" s="224">
        <v>9</v>
      </c>
      <c r="S228" s="50">
        <f t="shared" si="1"/>
        <v>15520.42</v>
      </c>
      <c r="T228" s="65">
        <v>15520.42</v>
      </c>
      <c r="U228" s="31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373"/>
      <c r="B229" s="375"/>
      <c r="C229" s="375"/>
      <c r="D229" s="375"/>
      <c r="E229" s="375"/>
      <c r="F229" s="220" t="s">
        <v>346</v>
      </c>
      <c r="G229" s="229" t="s">
        <v>28</v>
      </c>
      <c r="H229" s="133">
        <v>1</v>
      </c>
      <c r="I229" s="38"/>
      <c r="J229" s="38"/>
      <c r="K229" s="39"/>
      <c r="L229" s="40"/>
      <c r="M229" s="39">
        <f t="shared" si="0"/>
        <v>0</v>
      </c>
      <c r="N229" s="39"/>
      <c r="O229" s="41"/>
      <c r="P229" s="42"/>
      <c r="Q229" s="43"/>
      <c r="R229" s="44"/>
      <c r="S229" s="43">
        <f t="shared" si="1"/>
        <v>0</v>
      </c>
      <c r="T229" s="43"/>
      <c r="U229" s="41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372"/>
      <c r="B230" s="374" t="s">
        <v>194</v>
      </c>
      <c r="C230" s="377" t="s">
        <v>39</v>
      </c>
      <c r="D230" s="377" t="s">
        <v>319</v>
      </c>
      <c r="E230" s="374" t="s">
        <v>160</v>
      </c>
      <c r="F230" s="232" t="s">
        <v>320</v>
      </c>
      <c r="G230" s="23" t="s">
        <v>24</v>
      </c>
      <c r="H230" s="48">
        <v>2</v>
      </c>
      <c r="I230" s="203">
        <v>1</v>
      </c>
      <c r="J230" s="203">
        <v>1</v>
      </c>
      <c r="K230" s="65">
        <v>288.14999999999998</v>
      </c>
      <c r="L230" s="128"/>
      <c r="M230" s="129">
        <f t="shared" si="0"/>
        <v>0</v>
      </c>
      <c r="N230" s="50"/>
      <c r="O230" s="31"/>
      <c r="P230" s="29">
        <v>3</v>
      </c>
      <c r="Q230" s="30">
        <v>6107.21</v>
      </c>
      <c r="R230" s="27"/>
      <c r="S230" s="26">
        <f t="shared" si="1"/>
        <v>2951.62</v>
      </c>
      <c r="T230" s="26"/>
      <c r="U230" s="225">
        <v>2951.62</v>
      </c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373"/>
      <c r="B231" s="375"/>
      <c r="C231" s="375"/>
      <c r="D231" s="375"/>
      <c r="E231" s="375"/>
      <c r="F231" s="220" t="s">
        <v>347</v>
      </c>
      <c r="G231" s="35" t="s">
        <v>28</v>
      </c>
      <c r="H231" s="117">
        <v>1</v>
      </c>
      <c r="I231" s="37"/>
      <c r="J231" s="37"/>
      <c r="K231" s="39"/>
      <c r="L231" s="44"/>
      <c r="M231" s="43">
        <f t="shared" si="0"/>
        <v>0</v>
      </c>
      <c r="N231" s="39"/>
      <c r="O231" s="41"/>
      <c r="P231" s="37">
        <v>3</v>
      </c>
      <c r="Q231" s="37">
        <v>4473.3</v>
      </c>
      <c r="R231" s="40"/>
      <c r="S231" s="39">
        <f t="shared" si="1"/>
        <v>576.29999999999995</v>
      </c>
      <c r="T231" s="39"/>
      <c r="U231" s="41">
        <f>576.3</f>
        <v>576.29999999999995</v>
      </c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382"/>
      <c r="B232" s="381" t="s">
        <v>195</v>
      </c>
      <c r="C232" s="377" t="s">
        <v>39</v>
      </c>
      <c r="D232" s="377" t="s">
        <v>231</v>
      </c>
      <c r="E232" s="381" t="s">
        <v>27</v>
      </c>
      <c r="F232" s="204" t="s">
        <v>232</v>
      </c>
      <c r="G232" s="47" t="s">
        <v>24</v>
      </c>
      <c r="H232" s="61">
        <v>1</v>
      </c>
      <c r="I232" s="25"/>
      <c r="J232" s="25"/>
      <c r="K232" s="26"/>
      <c r="L232" s="27"/>
      <c r="M232" s="26">
        <f t="shared" si="0"/>
        <v>0</v>
      </c>
      <c r="N232" s="26"/>
      <c r="O232" s="31"/>
      <c r="P232" s="64">
        <v>7</v>
      </c>
      <c r="Q232" s="65">
        <v>46859.35</v>
      </c>
      <c r="R232" s="224">
        <v>3</v>
      </c>
      <c r="S232" s="50">
        <f t="shared" si="1"/>
        <v>38298.170000000006</v>
      </c>
      <c r="T232" s="65">
        <v>35948.410000000003</v>
      </c>
      <c r="U232" s="225">
        <v>2349.7600000000002</v>
      </c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373"/>
      <c r="B233" s="375"/>
      <c r="C233" s="375"/>
      <c r="D233" s="375"/>
      <c r="E233" s="375"/>
      <c r="F233" s="221" t="s">
        <v>260</v>
      </c>
      <c r="G233" s="55" t="s">
        <v>28</v>
      </c>
      <c r="H233" s="178">
        <v>3</v>
      </c>
      <c r="I233" s="130">
        <v>1</v>
      </c>
      <c r="J233" s="130">
        <v>1</v>
      </c>
      <c r="K233" s="114">
        <v>1152.5999999999999</v>
      </c>
      <c r="L233" s="44"/>
      <c r="M233" s="43">
        <f t="shared" si="0"/>
        <v>0</v>
      </c>
      <c r="N233" s="43"/>
      <c r="O233" s="45"/>
      <c r="P233" s="130">
        <v>3</v>
      </c>
      <c r="Q233" s="130">
        <v>8188.85</v>
      </c>
      <c r="R233" s="44"/>
      <c r="S233" s="43">
        <f t="shared" si="1"/>
        <v>4994.6000000000004</v>
      </c>
      <c r="T233" s="43"/>
      <c r="U233" s="222">
        <v>4994.6000000000004</v>
      </c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372"/>
      <c r="B234" s="374" t="s">
        <v>196</v>
      </c>
      <c r="C234" s="381" t="s">
        <v>22</v>
      </c>
      <c r="D234" s="374"/>
      <c r="E234" s="381" t="s">
        <v>27</v>
      </c>
      <c r="F234" s="22"/>
      <c r="G234" s="23" t="s">
        <v>24</v>
      </c>
      <c r="H234" s="119"/>
      <c r="I234" s="25"/>
      <c r="J234" s="25"/>
      <c r="K234" s="26"/>
      <c r="L234" s="27"/>
      <c r="M234" s="26">
        <f t="shared" si="0"/>
        <v>0</v>
      </c>
      <c r="N234" s="26"/>
      <c r="O234" s="28"/>
      <c r="P234" s="120"/>
      <c r="Q234" s="26"/>
      <c r="R234" s="27"/>
      <c r="S234" s="26">
        <f t="shared" si="1"/>
        <v>0</v>
      </c>
      <c r="T234" s="26"/>
      <c r="U234" s="28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373"/>
      <c r="B235" s="375"/>
      <c r="C235" s="375"/>
      <c r="D235" s="375"/>
      <c r="E235" s="375"/>
      <c r="F235" s="220" t="s">
        <v>348</v>
      </c>
      <c r="G235" s="35" t="s">
        <v>28</v>
      </c>
      <c r="H235" s="66">
        <v>3</v>
      </c>
      <c r="I235" s="38"/>
      <c r="J235" s="38"/>
      <c r="K235" s="39"/>
      <c r="L235" s="40"/>
      <c r="M235" s="39">
        <f t="shared" si="0"/>
        <v>0</v>
      </c>
      <c r="N235" s="39"/>
      <c r="O235" s="41"/>
      <c r="P235" s="67">
        <v>1</v>
      </c>
      <c r="Q235" s="68">
        <v>2497.3000000000002</v>
      </c>
      <c r="R235" s="40"/>
      <c r="S235" s="39">
        <f t="shared" si="1"/>
        <v>0</v>
      </c>
      <c r="T235" s="39"/>
      <c r="U235" s="41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382"/>
      <c r="B236" s="381" t="s">
        <v>197</v>
      </c>
      <c r="C236" s="381" t="s">
        <v>22</v>
      </c>
      <c r="D236" s="381"/>
      <c r="E236" s="381" t="s">
        <v>27</v>
      </c>
      <c r="F236" s="46"/>
      <c r="G236" s="47" t="s">
        <v>24</v>
      </c>
      <c r="H236" s="98"/>
      <c r="I236" s="49"/>
      <c r="J236" s="49"/>
      <c r="K236" s="50"/>
      <c r="L236" s="51"/>
      <c r="M236" s="50">
        <f t="shared" si="0"/>
        <v>0</v>
      </c>
      <c r="N236" s="50"/>
      <c r="O236" s="31"/>
      <c r="P236" s="108">
        <v>1</v>
      </c>
      <c r="Q236" s="65">
        <v>748.24</v>
      </c>
      <c r="R236" s="51"/>
      <c r="S236" s="50">
        <f t="shared" si="1"/>
        <v>0</v>
      </c>
      <c r="T236" s="50"/>
      <c r="U236" s="31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379"/>
      <c r="B237" s="380"/>
      <c r="C237" s="380"/>
      <c r="D237" s="380"/>
      <c r="E237" s="380"/>
      <c r="F237" s="221" t="s">
        <v>349</v>
      </c>
      <c r="G237" s="55" t="s">
        <v>28</v>
      </c>
      <c r="H237" s="153">
        <v>2</v>
      </c>
      <c r="I237" s="130">
        <v>1</v>
      </c>
      <c r="J237" s="130">
        <v>1</v>
      </c>
      <c r="K237" s="114">
        <v>1344.7</v>
      </c>
      <c r="L237" s="44"/>
      <c r="M237" s="43">
        <f t="shared" si="0"/>
        <v>0</v>
      </c>
      <c r="N237" s="43"/>
      <c r="O237" s="41"/>
      <c r="P237" s="103"/>
      <c r="Q237" s="43"/>
      <c r="R237" s="44"/>
      <c r="S237" s="43">
        <f t="shared" si="1"/>
        <v>1440.75</v>
      </c>
      <c r="T237" s="43"/>
      <c r="U237" s="41">
        <f>1440.75</f>
        <v>1440.75</v>
      </c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372"/>
      <c r="B238" s="374" t="s">
        <v>198</v>
      </c>
      <c r="C238" s="374" t="s">
        <v>22</v>
      </c>
      <c r="D238" s="374"/>
      <c r="E238" s="374" t="s">
        <v>112</v>
      </c>
      <c r="F238" s="22"/>
      <c r="G238" s="23" t="s">
        <v>24</v>
      </c>
      <c r="H238" s="48">
        <v>5</v>
      </c>
      <c r="I238" s="25"/>
      <c r="J238" s="25"/>
      <c r="K238" s="26"/>
      <c r="L238" s="27"/>
      <c r="M238" s="26">
        <f t="shared" si="0"/>
        <v>0</v>
      </c>
      <c r="N238" s="26"/>
      <c r="O238" s="31"/>
      <c r="P238" s="53">
        <v>7</v>
      </c>
      <c r="Q238" s="30">
        <v>27470.31</v>
      </c>
      <c r="R238" s="27"/>
      <c r="S238" s="26">
        <f t="shared" si="1"/>
        <v>0</v>
      </c>
      <c r="T238" s="26"/>
      <c r="U238" s="31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373"/>
      <c r="B239" s="375"/>
      <c r="C239" s="375"/>
      <c r="D239" s="375"/>
      <c r="E239" s="375"/>
      <c r="F239" s="220" t="s">
        <v>350</v>
      </c>
      <c r="G239" s="35" t="s">
        <v>28</v>
      </c>
      <c r="H239" s="111"/>
      <c r="I239" s="38"/>
      <c r="J239" s="38"/>
      <c r="K239" s="39"/>
      <c r="L239" s="40"/>
      <c r="M239" s="39">
        <f t="shared" si="0"/>
        <v>0</v>
      </c>
      <c r="N239" s="39"/>
      <c r="O239" s="41"/>
      <c r="P239" s="59"/>
      <c r="Q239" s="39"/>
      <c r="R239" s="40"/>
      <c r="S239" s="39">
        <f t="shared" si="1"/>
        <v>0</v>
      </c>
      <c r="T239" s="39"/>
      <c r="U239" s="41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382"/>
      <c r="B240" s="381" t="s">
        <v>199</v>
      </c>
      <c r="C240" s="381" t="s">
        <v>22</v>
      </c>
      <c r="D240" s="381"/>
      <c r="E240" s="381" t="s">
        <v>131</v>
      </c>
      <c r="F240" s="46"/>
      <c r="G240" s="23" t="s">
        <v>24</v>
      </c>
      <c r="H240" s="98"/>
      <c r="I240" s="49"/>
      <c r="J240" s="49"/>
      <c r="K240" s="50"/>
      <c r="L240" s="51"/>
      <c r="M240" s="50">
        <f t="shared" si="0"/>
        <v>0</v>
      </c>
      <c r="N240" s="50"/>
      <c r="O240" s="31"/>
      <c r="P240" s="123"/>
      <c r="Q240" s="50"/>
      <c r="R240" s="51"/>
      <c r="S240" s="50">
        <f t="shared" si="1"/>
        <v>0</v>
      </c>
      <c r="T240" s="50"/>
      <c r="U240" s="31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379"/>
      <c r="B241" s="380"/>
      <c r="C241" s="380"/>
      <c r="D241" s="380"/>
      <c r="E241" s="380"/>
      <c r="F241" s="126"/>
      <c r="G241" s="55" t="s">
        <v>25</v>
      </c>
      <c r="H241" s="118"/>
      <c r="I241" s="57"/>
      <c r="J241" s="57"/>
      <c r="K241" s="43"/>
      <c r="L241" s="44"/>
      <c r="M241" s="43">
        <f t="shared" si="0"/>
        <v>0</v>
      </c>
      <c r="N241" s="43"/>
      <c r="O241" s="41"/>
      <c r="P241" s="103"/>
      <c r="Q241" s="43"/>
      <c r="R241" s="44"/>
      <c r="S241" s="43">
        <f t="shared" si="1"/>
        <v>0</v>
      </c>
      <c r="T241" s="43"/>
      <c r="U241" s="41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372"/>
      <c r="B242" s="374" t="s">
        <v>200</v>
      </c>
      <c r="C242" s="374" t="s">
        <v>22</v>
      </c>
      <c r="D242" s="374"/>
      <c r="E242" s="374" t="s">
        <v>27</v>
      </c>
      <c r="F242" s="60"/>
      <c r="G242" s="23" t="s">
        <v>24</v>
      </c>
      <c r="H242" s="104"/>
      <c r="I242" s="25"/>
      <c r="J242" s="25"/>
      <c r="K242" s="26"/>
      <c r="L242" s="27"/>
      <c r="M242" s="26">
        <f t="shared" si="0"/>
        <v>0</v>
      </c>
      <c r="N242" s="26"/>
      <c r="O242" s="31"/>
      <c r="P242" s="29">
        <v>3</v>
      </c>
      <c r="Q242" s="30">
        <v>10285.26</v>
      </c>
      <c r="R242" s="27"/>
      <c r="S242" s="26">
        <f t="shared" si="1"/>
        <v>0</v>
      </c>
      <c r="T242" s="26"/>
      <c r="U242" s="31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373"/>
      <c r="B243" s="375"/>
      <c r="C243" s="375"/>
      <c r="D243" s="375"/>
      <c r="E243" s="375"/>
      <c r="F243" s="221" t="s">
        <v>351</v>
      </c>
      <c r="G243" s="55" t="s">
        <v>28</v>
      </c>
      <c r="H243" s="122"/>
      <c r="I243" s="57"/>
      <c r="J243" s="57"/>
      <c r="K243" s="43"/>
      <c r="L243" s="44"/>
      <c r="M243" s="43">
        <f t="shared" si="0"/>
        <v>0</v>
      </c>
      <c r="N243" s="43"/>
      <c r="O243" s="45"/>
      <c r="P243" s="42"/>
      <c r="Q243" s="43"/>
      <c r="R243" s="44"/>
      <c r="S243" s="43">
        <f t="shared" si="1"/>
        <v>1921</v>
      </c>
      <c r="T243" s="43"/>
      <c r="U243" s="45">
        <f>1921</f>
        <v>1921</v>
      </c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372"/>
      <c r="B244" s="374" t="s">
        <v>201</v>
      </c>
      <c r="C244" s="374"/>
      <c r="D244" s="374"/>
      <c r="E244" s="374"/>
      <c r="F244" s="22"/>
      <c r="G244" s="23" t="s">
        <v>24</v>
      </c>
      <c r="H244" s="61">
        <v>6</v>
      </c>
      <c r="I244" s="62">
        <v>1</v>
      </c>
      <c r="J244" s="62">
        <v>2</v>
      </c>
      <c r="K244" s="30">
        <v>2011.09</v>
      </c>
      <c r="L244" s="27"/>
      <c r="M244" s="26">
        <f t="shared" si="0"/>
        <v>0</v>
      </c>
      <c r="N244" s="26"/>
      <c r="O244" s="159"/>
      <c r="P244" s="53">
        <v>2</v>
      </c>
      <c r="Q244" s="30">
        <v>4356.83</v>
      </c>
      <c r="R244" s="27"/>
      <c r="S244" s="26">
        <f t="shared" si="1"/>
        <v>0</v>
      </c>
      <c r="T244" s="26"/>
      <c r="U244" s="28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373"/>
      <c r="B245" s="375"/>
      <c r="C245" s="375"/>
      <c r="D245" s="375"/>
      <c r="E245" s="375"/>
      <c r="F245" s="105"/>
      <c r="G245" s="35" t="s">
        <v>25</v>
      </c>
      <c r="H245" s="106"/>
      <c r="I245" s="38"/>
      <c r="J245" s="38"/>
      <c r="K245" s="39"/>
      <c r="L245" s="40"/>
      <c r="M245" s="39">
        <f t="shared" si="0"/>
        <v>0</v>
      </c>
      <c r="N245" s="39"/>
      <c r="O245" s="58"/>
      <c r="P245" s="115">
        <v>1</v>
      </c>
      <c r="Q245" s="68">
        <v>3073.6</v>
      </c>
      <c r="R245" s="40"/>
      <c r="S245" s="39">
        <f t="shared" si="1"/>
        <v>0</v>
      </c>
      <c r="T245" s="39"/>
      <c r="U245" s="41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382"/>
      <c r="B246" s="381" t="s">
        <v>202</v>
      </c>
      <c r="C246" s="381" t="s">
        <v>22</v>
      </c>
      <c r="D246" s="381"/>
      <c r="E246" s="381" t="s">
        <v>27</v>
      </c>
      <c r="F246" s="110"/>
      <c r="G246" s="47" t="s">
        <v>24</v>
      </c>
      <c r="H246" s="48">
        <v>1</v>
      </c>
      <c r="I246" s="49"/>
      <c r="J246" s="49"/>
      <c r="K246" s="50"/>
      <c r="L246" s="51"/>
      <c r="M246" s="50">
        <f t="shared" si="0"/>
        <v>0</v>
      </c>
      <c r="N246" s="50"/>
      <c r="O246" s="31"/>
      <c r="P246" s="108">
        <v>1</v>
      </c>
      <c r="Q246" s="65">
        <v>1124.17</v>
      </c>
      <c r="R246" s="51"/>
      <c r="S246" s="50">
        <f t="shared" si="1"/>
        <v>0</v>
      </c>
      <c r="T246" s="50"/>
      <c r="U246" s="31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373"/>
      <c r="B247" s="375"/>
      <c r="C247" s="375"/>
      <c r="D247" s="375"/>
      <c r="E247" s="375"/>
      <c r="F247" s="221" t="s">
        <v>262</v>
      </c>
      <c r="G247" s="55" t="s">
        <v>28</v>
      </c>
      <c r="H247" s="112">
        <v>1</v>
      </c>
      <c r="I247" s="57"/>
      <c r="J247" s="57"/>
      <c r="K247" s="43"/>
      <c r="L247" s="128"/>
      <c r="M247" s="129">
        <f t="shared" si="0"/>
        <v>0</v>
      </c>
      <c r="N247" s="43"/>
      <c r="O247" s="45"/>
      <c r="P247" s="113">
        <v>1</v>
      </c>
      <c r="Q247" s="114">
        <v>1344.7</v>
      </c>
      <c r="R247" s="128"/>
      <c r="S247" s="129">
        <f t="shared" si="1"/>
        <v>3649.9</v>
      </c>
      <c r="T247" s="43"/>
      <c r="U247" s="45">
        <f>3649.9</f>
        <v>3649.9</v>
      </c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372"/>
      <c r="B248" s="374" t="s">
        <v>203</v>
      </c>
      <c r="C248" s="374"/>
      <c r="D248" s="374"/>
      <c r="E248" s="374" t="s">
        <v>27</v>
      </c>
      <c r="F248" s="60"/>
      <c r="G248" s="23" t="s">
        <v>24</v>
      </c>
      <c r="H248" s="104"/>
      <c r="I248" s="25"/>
      <c r="J248" s="25"/>
      <c r="K248" s="26"/>
      <c r="L248" s="27"/>
      <c r="M248" s="26">
        <f t="shared" si="0"/>
        <v>0</v>
      </c>
      <c r="N248" s="26"/>
      <c r="O248" s="28"/>
      <c r="P248" s="120"/>
      <c r="Q248" s="26"/>
      <c r="R248" s="27"/>
      <c r="S248" s="26">
        <f t="shared" si="1"/>
        <v>0</v>
      </c>
      <c r="T248" s="26"/>
      <c r="U248" s="28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373"/>
      <c r="B249" s="375"/>
      <c r="C249" s="375"/>
      <c r="D249" s="375"/>
      <c r="E249" s="375"/>
      <c r="F249" s="34"/>
      <c r="G249" s="35" t="s">
        <v>28</v>
      </c>
      <c r="H249" s="117"/>
      <c r="I249" s="38"/>
      <c r="J249" s="38"/>
      <c r="K249" s="39"/>
      <c r="L249" s="40"/>
      <c r="M249" s="39">
        <f t="shared" si="0"/>
        <v>0</v>
      </c>
      <c r="N249" s="39"/>
      <c r="O249" s="41"/>
      <c r="P249" s="69"/>
      <c r="Q249" s="39"/>
      <c r="R249" s="40"/>
      <c r="S249" s="39">
        <f t="shared" si="1"/>
        <v>0</v>
      </c>
      <c r="T249" s="39"/>
      <c r="U249" s="41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382"/>
      <c r="B250" s="381" t="s">
        <v>204</v>
      </c>
      <c r="C250" s="381" t="s">
        <v>22</v>
      </c>
      <c r="D250" s="381"/>
      <c r="E250" s="381" t="s">
        <v>23</v>
      </c>
      <c r="F250" s="127"/>
      <c r="G250" s="47" t="s">
        <v>24</v>
      </c>
      <c r="H250" s="48">
        <v>6</v>
      </c>
      <c r="I250" s="203">
        <v>1</v>
      </c>
      <c r="J250" s="203">
        <v>1</v>
      </c>
      <c r="K250" s="65">
        <v>384.2</v>
      </c>
      <c r="L250" s="51"/>
      <c r="M250" s="50">
        <f t="shared" si="0"/>
        <v>0</v>
      </c>
      <c r="N250" s="50"/>
      <c r="O250" s="31"/>
      <c r="P250" s="108">
        <v>4</v>
      </c>
      <c r="Q250" s="65">
        <v>3363.11</v>
      </c>
      <c r="R250" s="51"/>
      <c r="S250" s="50">
        <f t="shared" si="1"/>
        <v>0</v>
      </c>
      <c r="T250" s="50"/>
      <c r="U250" s="31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373"/>
      <c r="B251" s="375"/>
      <c r="C251" s="375"/>
      <c r="D251" s="375"/>
      <c r="E251" s="375"/>
      <c r="F251" s="34"/>
      <c r="G251" s="35" t="s">
        <v>25</v>
      </c>
      <c r="H251" s="111"/>
      <c r="I251" s="38"/>
      <c r="J251" s="38"/>
      <c r="K251" s="39"/>
      <c r="L251" s="40"/>
      <c r="M251" s="39">
        <f t="shared" si="0"/>
        <v>0</v>
      </c>
      <c r="N251" s="39"/>
      <c r="O251" s="41"/>
      <c r="P251" s="59"/>
      <c r="Q251" s="39"/>
      <c r="R251" s="40"/>
      <c r="S251" s="39">
        <f t="shared" si="1"/>
        <v>0</v>
      </c>
      <c r="T251" s="39"/>
      <c r="U251" s="41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179"/>
      <c r="B252" s="180" t="s">
        <v>205</v>
      </c>
      <c r="C252" s="180"/>
      <c r="D252" s="180"/>
      <c r="E252" s="180"/>
      <c r="F252" s="180"/>
      <c r="G252" s="181"/>
      <c r="H252" s="182">
        <f t="shared" ref="H252:U252" si="2">SUM(H9:H251)</f>
        <v>432</v>
      </c>
      <c r="I252" s="183">
        <f t="shared" si="2"/>
        <v>109</v>
      </c>
      <c r="J252" s="183">
        <f t="shared" si="2"/>
        <v>119</v>
      </c>
      <c r="K252" s="184">
        <f t="shared" si="2"/>
        <v>172565.56999999998</v>
      </c>
      <c r="L252" s="185">
        <f t="shared" si="2"/>
        <v>0</v>
      </c>
      <c r="M252" s="184">
        <f t="shared" si="2"/>
        <v>1344.7</v>
      </c>
      <c r="N252" s="184">
        <f t="shared" si="2"/>
        <v>0</v>
      </c>
      <c r="O252" s="186">
        <f t="shared" si="2"/>
        <v>1344.7</v>
      </c>
      <c r="P252" s="187">
        <f t="shared" si="2"/>
        <v>754</v>
      </c>
      <c r="Q252" s="188">
        <f t="shared" si="2"/>
        <v>2222882.8699999996</v>
      </c>
      <c r="R252" s="185">
        <f t="shared" si="2"/>
        <v>98</v>
      </c>
      <c r="S252" s="188">
        <f t="shared" si="2"/>
        <v>745995.41</v>
      </c>
      <c r="T252" s="188">
        <f t="shared" si="2"/>
        <v>296287.53000000003</v>
      </c>
      <c r="U252" s="189">
        <f t="shared" si="2"/>
        <v>449707.88</v>
      </c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I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 t="s">
        <v>206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27.75" customHeight="1">
      <c r="A256" s="4"/>
      <c r="B256" s="4"/>
      <c r="C256" s="4"/>
      <c r="D256" s="4"/>
      <c r="E256" s="4"/>
      <c r="F256" s="394"/>
      <c r="G256" s="395" t="s">
        <v>5</v>
      </c>
      <c r="H256" s="396"/>
      <c r="I256" s="396"/>
      <c r="J256" s="396"/>
      <c r="K256" s="396"/>
      <c r="L256" s="396"/>
      <c r="M256" s="396"/>
      <c r="N256" s="397"/>
      <c r="O256" s="395" t="s">
        <v>6</v>
      </c>
      <c r="P256" s="396"/>
      <c r="Q256" s="396"/>
      <c r="R256" s="396"/>
      <c r="S256" s="396"/>
      <c r="T256" s="397"/>
      <c r="U256" s="393" t="s">
        <v>207</v>
      </c>
      <c r="V256" s="393" t="s">
        <v>208</v>
      </c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386"/>
      <c r="G257" s="190" t="s">
        <v>13</v>
      </c>
      <c r="H257" s="190" t="s">
        <v>14</v>
      </c>
      <c r="I257" s="190" t="s">
        <v>15</v>
      </c>
      <c r="J257" s="190" t="s">
        <v>16</v>
      </c>
      <c r="K257" s="191" t="s">
        <v>17</v>
      </c>
      <c r="L257" s="190" t="s">
        <v>18</v>
      </c>
      <c r="M257" s="190" t="s">
        <v>19</v>
      </c>
      <c r="N257" s="190" t="s">
        <v>20</v>
      </c>
      <c r="O257" s="190" t="s">
        <v>15</v>
      </c>
      <c r="P257" s="190" t="s">
        <v>16</v>
      </c>
      <c r="Q257" s="191" t="s">
        <v>17</v>
      </c>
      <c r="R257" s="190" t="s">
        <v>18</v>
      </c>
      <c r="S257" s="190" t="s">
        <v>19</v>
      </c>
      <c r="T257" s="190" t="s">
        <v>20</v>
      </c>
      <c r="U257" s="392"/>
      <c r="V257" s="392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192" t="s">
        <v>24</v>
      </c>
      <c r="G258" s="193">
        <f t="shared" ref="G258:I258" si="3">SUMIF($G$9:$G$251,$F$258,H9:H251)</f>
        <v>281</v>
      </c>
      <c r="H258" s="193">
        <f t="shared" si="3"/>
        <v>93</v>
      </c>
      <c r="I258" s="193">
        <f t="shared" si="3"/>
        <v>103</v>
      </c>
      <c r="J258" s="194">
        <f t="shared" ref="J258:J260" si="4">SUMIF($G$9:$G$251,F258,$K$9:$K$251)</f>
        <v>150581.07</v>
      </c>
      <c r="K258" s="195">
        <f t="shared" ref="K258:K260" si="5">SUMIF($G$9:$G$251,F258,$L$9:$L$251)</f>
        <v>0</v>
      </c>
      <c r="L258" s="194">
        <f t="shared" ref="L258:L260" si="6">SUMIF($G$9:$G$251,F258,$M$9:$M$251)</f>
        <v>0</v>
      </c>
      <c r="M258" s="194">
        <f t="shared" ref="M258:O258" si="7">SUMIF($G$9:$G$251,$F$258,N9:N251)</f>
        <v>0</v>
      </c>
      <c r="N258" s="194">
        <f t="shared" si="7"/>
        <v>0</v>
      </c>
      <c r="O258" s="193">
        <f t="shared" si="7"/>
        <v>660</v>
      </c>
      <c r="P258" s="194">
        <f t="shared" ref="P258:P260" si="8">SUMIF($G$9:$G$251,F258,$Q$9:$Q$251)</f>
        <v>1969470.4699999997</v>
      </c>
      <c r="Q258" s="195">
        <f t="shared" ref="Q258:Q260" si="9">SUMIF($G$9:$G$251,F258,$R$9:$R$251)</f>
        <v>98</v>
      </c>
      <c r="R258" s="194">
        <f t="shared" ref="R258:R260" si="10">SUMIF($G$9:$G$251,F258,$S$9:$S$251)</f>
        <v>630507.25000000012</v>
      </c>
      <c r="S258" s="194">
        <f t="shared" ref="S258:T258" si="11">SUMIF($G$9:$G$251,$F$258,T9:T251)</f>
        <v>296287.53000000003</v>
      </c>
      <c r="T258" s="194">
        <f t="shared" si="11"/>
        <v>334219.72000000003</v>
      </c>
      <c r="U258" s="194">
        <f t="shared" ref="U258:U260" si="12">S258+M258</f>
        <v>296287.53000000003</v>
      </c>
      <c r="V258" s="196">
        <f t="shared" ref="V258:V260" si="13">J258-M258+P258-S258</f>
        <v>1823764.0099999995</v>
      </c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192" t="s">
        <v>28</v>
      </c>
      <c r="G259" s="236">
        <f t="shared" ref="G259:I259" si="14">SUMIF($G$9:$G$251,$F$259,H9:H251)</f>
        <v>120</v>
      </c>
      <c r="H259" s="193">
        <f t="shared" si="14"/>
        <v>11</v>
      </c>
      <c r="I259" s="193">
        <f t="shared" si="14"/>
        <v>11</v>
      </c>
      <c r="J259" s="194">
        <f t="shared" si="4"/>
        <v>14684.7</v>
      </c>
      <c r="K259" s="195">
        <f t="shared" si="5"/>
        <v>0</v>
      </c>
      <c r="L259" s="194">
        <f t="shared" si="6"/>
        <v>1344.7</v>
      </c>
      <c r="M259" s="194">
        <f t="shared" ref="M259:O259" si="15">SUMIF($G$9:$G$251,$F$259,N9:N251)</f>
        <v>0</v>
      </c>
      <c r="N259" s="194">
        <f t="shared" si="15"/>
        <v>1344.7</v>
      </c>
      <c r="O259" s="193">
        <f t="shared" si="15"/>
        <v>72</v>
      </c>
      <c r="P259" s="194">
        <f t="shared" si="8"/>
        <v>183765.81</v>
      </c>
      <c r="Q259" s="195">
        <f t="shared" si="9"/>
        <v>0</v>
      </c>
      <c r="R259" s="194">
        <f t="shared" si="10"/>
        <v>115488.16000000002</v>
      </c>
      <c r="S259" s="194">
        <f t="shared" ref="S259:T259" si="16">SUMIF($G$9:$G$251,$F$259,T9:T251)</f>
        <v>0</v>
      </c>
      <c r="T259" s="194">
        <f t="shared" si="16"/>
        <v>115488.16000000002</v>
      </c>
      <c r="U259" s="194">
        <f t="shared" si="12"/>
        <v>0</v>
      </c>
      <c r="V259" s="196">
        <f t="shared" si="13"/>
        <v>198450.51</v>
      </c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192" t="s">
        <v>25</v>
      </c>
      <c r="G260" s="193">
        <f t="shared" ref="G260:I260" si="17">SUMIF($G$9:$G$251,$F$260,H9:H251)</f>
        <v>31</v>
      </c>
      <c r="H260" s="193">
        <f t="shared" si="17"/>
        <v>5</v>
      </c>
      <c r="I260" s="193">
        <f t="shared" si="17"/>
        <v>5</v>
      </c>
      <c r="J260" s="194">
        <f t="shared" si="4"/>
        <v>7299.8</v>
      </c>
      <c r="K260" s="195">
        <f t="shared" si="5"/>
        <v>0</v>
      </c>
      <c r="L260" s="194">
        <f t="shared" si="6"/>
        <v>0</v>
      </c>
      <c r="M260" s="194">
        <f t="shared" ref="M260:O260" si="18">SUMIF($G$9:$G$251,$F$260,N9:N251)</f>
        <v>0</v>
      </c>
      <c r="N260" s="194">
        <f t="shared" si="18"/>
        <v>0</v>
      </c>
      <c r="O260" s="193">
        <f t="shared" si="18"/>
        <v>22</v>
      </c>
      <c r="P260" s="194">
        <f t="shared" si="8"/>
        <v>69646.590000000011</v>
      </c>
      <c r="Q260" s="195">
        <f t="shared" si="9"/>
        <v>0</v>
      </c>
      <c r="R260" s="194">
        <f t="shared" si="10"/>
        <v>0</v>
      </c>
      <c r="S260" s="194">
        <f t="shared" ref="S260:T260" si="19">SUMIF($G$9:$G$251,$F$260,T9:T251)</f>
        <v>0</v>
      </c>
      <c r="T260" s="194">
        <f t="shared" si="19"/>
        <v>0</v>
      </c>
      <c r="U260" s="194">
        <f t="shared" si="12"/>
        <v>0</v>
      </c>
      <c r="V260" s="196">
        <f t="shared" si="13"/>
        <v>76946.390000000014</v>
      </c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197">
        <f t="shared" ref="G261:V261" si="20">G260+G259+G258</f>
        <v>432</v>
      </c>
      <c r="H261" s="197">
        <f t="shared" si="20"/>
        <v>109</v>
      </c>
      <c r="I261" s="197">
        <f t="shared" si="20"/>
        <v>119</v>
      </c>
      <c r="J261" s="198">
        <f t="shared" si="20"/>
        <v>172565.57</v>
      </c>
      <c r="K261" s="199">
        <f t="shared" si="20"/>
        <v>0</v>
      </c>
      <c r="L261" s="198">
        <f t="shared" si="20"/>
        <v>1344.7</v>
      </c>
      <c r="M261" s="198">
        <f t="shared" si="20"/>
        <v>0</v>
      </c>
      <c r="N261" s="198">
        <f t="shared" si="20"/>
        <v>1344.7</v>
      </c>
      <c r="O261" s="197">
        <f t="shared" si="20"/>
        <v>754</v>
      </c>
      <c r="P261" s="198">
        <f t="shared" si="20"/>
        <v>2222882.8699999996</v>
      </c>
      <c r="Q261" s="200">
        <f t="shared" si="20"/>
        <v>98</v>
      </c>
      <c r="R261" s="198">
        <f t="shared" si="20"/>
        <v>745995.41000000015</v>
      </c>
      <c r="S261" s="198">
        <f t="shared" si="20"/>
        <v>296287.53000000003</v>
      </c>
      <c r="T261" s="198">
        <f t="shared" si="20"/>
        <v>449707.88000000006</v>
      </c>
      <c r="U261" s="198">
        <f t="shared" si="20"/>
        <v>296287.53000000003</v>
      </c>
      <c r="V261" s="198">
        <f t="shared" si="20"/>
        <v>2099160.9099999997</v>
      </c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K262" s="201"/>
      <c r="L262" s="201"/>
      <c r="R262" s="2"/>
    </row>
    <row r="263" spans="1:32" ht="15.75" customHeight="1">
      <c r="K263" s="201"/>
      <c r="L263" s="201"/>
      <c r="R263" s="2"/>
    </row>
    <row r="264" spans="1:32" ht="15.75" customHeight="1">
      <c r="K264" s="201"/>
      <c r="L264" s="201"/>
      <c r="R264" s="2"/>
    </row>
    <row r="265" spans="1:32" ht="15.75" customHeight="1">
      <c r="K265" s="201"/>
      <c r="L265" s="201"/>
      <c r="R265" s="2"/>
    </row>
    <row r="266" spans="1:32" ht="15.75" customHeight="1">
      <c r="K266" s="201"/>
      <c r="L266" s="201"/>
      <c r="R266" s="2"/>
    </row>
    <row r="267" spans="1:32" ht="15.75" customHeight="1">
      <c r="K267" s="201"/>
      <c r="L267" s="201"/>
      <c r="R267" s="2"/>
    </row>
    <row r="268" spans="1:32" ht="15.75" customHeight="1">
      <c r="K268" s="201"/>
      <c r="L268" s="201"/>
      <c r="R268" s="2"/>
    </row>
    <row r="269" spans="1:32" ht="15.75" customHeight="1">
      <c r="K269" s="201"/>
      <c r="L269" s="201"/>
      <c r="R269" s="2"/>
    </row>
    <row r="270" spans="1:32" ht="15.75" customHeight="1">
      <c r="K270" s="201"/>
      <c r="L270" s="201"/>
      <c r="R270" s="2"/>
    </row>
    <row r="271" spans="1:32" ht="15.75" customHeight="1">
      <c r="K271" s="201"/>
      <c r="L271" s="201"/>
      <c r="R271" s="2"/>
    </row>
    <row r="272" spans="1:32" ht="15.75" customHeight="1">
      <c r="K272" s="201"/>
      <c r="L272" s="201"/>
      <c r="R272" s="2"/>
    </row>
    <row r="273" spans="11:18" ht="15.75" customHeight="1">
      <c r="K273" s="201"/>
      <c r="L273" s="201"/>
      <c r="R273" s="2"/>
    </row>
    <row r="274" spans="11:18" ht="15.75" customHeight="1">
      <c r="K274" s="201"/>
      <c r="L274" s="201"/>
      <c r="R274" s="2"/>
    </row>
    <row r="275" spans="11:18" ht="15.75" customHeight="1">
      <c r="K275" s="201"/>
      <c r="L275" s="201"/>
      <c r="R275" s="2"/>
    </row>
    <row r="276" spans="11:18" ht="15.75" customHeight="1">
      <c r="K276" s="201"/>
      <c r="L276" s="201"/>
      <c r="R276" s="2"/>
    </row>
    <row r="277" spans="11:18" ht="15.75" customHeight="1">
      <c r="K277" s="201"/>
      <c r="L277" s="201"/>
      <c r="R277" s="2"/>
    </row>
    <row r="278" spans="11:18" ht="15.75" customHeight="1">
      <c r="K278" s="201"/>
      <c r="L278" s="201"/>
      <c r="R278" s="2"/>
    </row>
    <row r="279" spans="11:18" ht="15.75" customHeight="1">
      <c r="K279" s="201"/>
      <c r="L279" s="201"/>
      <c r="R279" s="2"/>
    </row>
    <row r="280" spans="11:18" ht="15.75" customHeight="1">
      <c r="K280" s="201"/>
      <c r="L280" s="201"/>
      <c r="R280" s="2"/>
    </row>
    <row r="281" spans="11:18" ht="15.75" customHeight="1">
      <c r="K281" s="201"/>
      <c r="L281" s="201"/>
      <c r="R281" s="2"/>
    </row>
    <row r="282" spans="11:18" ht="15.75" customHeight="1">
      <c r="K282" s="201"/>
      <c r="L282" s="201"/>
      <c r="R282" s="2"/>
    </row>
    <row r="283" spans="11:18" ht="15.75" customHeight="1">
      <c r="K283" s="201"/>
      <c r="L283" s="201"/>
      <c r="R283" s="2"/>
    </row>
    <row r="284" spans="11:18" ht="15.75" customHeight="1">
      <c r="K284" s="201"/>
      <c r="L284" s="201"/>
      <c r="R284" s="2"/>
    </row>
    <row r="285" spans="11:18" ht="15.75" customHeight="1">
      <c r="K285" s="201"/>
      <c r="L285" s="201"/>
      <c r="R285" s="2"/>
    </row>
    <row r="286" spans="11:18" ht="15.75" customHeight="1">
      <c r="K286" s="201"/>
      <c r="L286" s="201"/>
      <c r="R286" s="2"/>
    </row>
    <row r="287" spans="11:18" ht="15.75" customHeight="1">
      <c r="K287" s="201"/>
      <c r="L287" s="201"/>
      <c r="R287" s="2"/>
    </row>
    <row r="288" spans="11:18" ht="15.75" customHeight="1">
      <c r="K288" s="201"/>
      <c r="L288" s="201"/>
      <c r="R288" s="2"/>
    </row>
    <row r="289" spans="11:18" ht="15.75" customHeight="1">
      <c r="K289" s="201"/>
      <c r="L289" s="201"/>
      <c r="R289" s="2"/>
    </row>
    <row r="290" spans="11:18" ht="15.75" customHeight="1">
      <c r="K290" s="201"/>
      <c r="L290" s="201"/>
      <c r="R290" s="2"/>
    </row>
    <row r="291" spans="11:18" ht="15.75" customHeight="1">
      <c r="K291" s="201"/>
      <c r="L291" s="201"/>
      <c r="R291" s="2"/>
    </row>
    <row r="292" spans="11:18" ht="15.75" customHeight="1">
      <c r="K292" s="201"/>
      <c r="L292" s="201"/>
      <c r="R292" s="2"/>
    </row>
    <row r="293" spans="11:18" ht="15.75" customHeight="1">
      <c r="K293" s="201"/>
      <c r="L293" s="201"/>
      <c r="R293" s="2"/>
    </row>
    <row r="294" spans="11:18" ht="15.75" customHeight="1">
      <c r="K294" s="201"/>
      <c r="L294" s="201"/>
      <c r="R294" s="2"/>
    </row>
    <row r="295" spans="11:18" ht="15.75" customHeight="1">
      <c r="K295" s="201"/>
      <c r="L295" s="201"/>
      <c r="R295" s="2"/>
    </row>
    <row r="296" spans="11:18" ht="15.75" customHeight="1">
      <c r="K296" s="201"/>
      <c r="L296" s="201"/>
      <c r="R296" s="2"/>
    </row>
    <row r="297" spans="11:18" ht="15.75" customHeight="1">
      <c r="K297" s="201"/>
      <c r="L297" s="201"/>
      <c r="R297" s="2"/>
    </row>
    <row r="298" spans="11:18" ht="15.75" customHeight="1">
      <c r="K298" s="201"/>
      <c r="L298" s="201"/>
      <c r="R298" s="2"/>
    </row>
    <row r="299" spans="11:18" ht="15.75" customHeight="1">
      <c r="K299" s="201"/>
      <c r="L299" s="201"/>
      <c r="R299" s="2"/>
    </row>
    <row r="300" spans="11:18" ht="15.75" customHeight="1">
      <c r="K300" s="201"/>
      <c r="L300" s="201"/>
      <c r="R300" s="2"/>
    </row>
    <row r="301" spans="11:18" ht="15.75" customHeight="1">
      <c r="K301" s="201"/>
      <c r="L301" s="201"/>
      <c r="R301" s="2"/>
    </row>
    <row r="302" spans="11:18" ht="15.75" customHeight="1">
      <c r="K302" s="201"/>
      <c r="L302" s="201"/>
      <c r="R302" s="2"/>
    </row>
    <row r="303" spans="11:18" ht="15.75" customHeight="1">
      <c r="K303" s="201"/>
      <c r="L303" s="201"/>
      <c r="R303" s="2"/>
    </row>
    <row r="304" spans="11:18" ht="15.75" customHeight="1">
      <c r="K304" s="201"/>
      <c r="L304" s="201"/>
      <c r="R304" s="2"/>
    </row>
    <row r="305" spans="11:18" ht="15.75" customHeight="1">
      <c r="K305" s="201"/>
      <c r="L305" s="201"/>
      <c r="R305" s="2"/>
    </row>
    <row r="306" spans="11:18" ht="15.75" customHeight="1">
      <c r="K306" s="201"/>
      <c r="L306" s="201"/>
      <c r="R306" s="2"/>
    </row>
    <row r="307" spans="11:18" ht="15.75" customHeight="1">
      <c r="K307" s="201"/>
      <c r="L307" s="201"/>
      <c r="R307" s="2"/>
    </row>
    <row r="308" spans="11:18" ht="15.75" customHeight="1">
      <c r="K308" s="201"/>
      <c r="L308" s="201"/>
      <c r="R308" s="2"/>
    </row>
    <row r="309" spans="11:18" ht="15.75" customHeight="1">
      <c r="K309" s="201"/>
      <c r="L309" s="201"/>
      <c r="R309" s="2"/>
    </row>
    <row r="310" spans="11:18" ht="15.75" customHeight="1">
      <c r="K310" s="201"/>
      <c r="L310" s="201"/>
      <c r="R310" s="2"/>
    </row>
    <row r="311" spans="11:18" ht="15.75" customHeight="1">
      <c r="K311" s="201"/>
      <c r="L311" s="201"/>
      <c r="R311" s="2"/>
    </row>
    <row r="312" spans="11:18" ht="15.75" customHeight="1">
      <c r="K312" s="201"/>
      <c r="L312" s="201"/>
      <c r="R312" s="2"/>
    </row>
    <row r="313" spans="11:18" ht="15.75" customHeight="1">
      <c r="K313" s="201"/>
      <c r="L313" s="201"/>
      <c r="R313" s="2"/>
    </row>
    <row r="314" spans="11:18" ht="15.75" customHeight="1">
      <c r="K314" s="201"/>
      <c r="L314" s="201"/>
      <c r="R314" s="2"/>
    </row>
    <row r="315" spans="11:18" ht="15.75" customHeight="1">
      <c r="K315" s="201"/>
      <c r="L315" s="201"/>
      <c r="R315" s="2"/>
    </row>
    <row r="316" spans="11:18" ht="15.75" customHeight="1">
      <c r="K316" s="201"/>
      <c r="L316" s="201"/>
      <c r="R316" s="2"/>
    </row>
    <row r="317" spans="11:18" ht="15.75" customHeight="1">
      <c r="K317" s="201"/>
      <c r="L317" s="201"/>
      <c r="R317" s="2"/>
    </row>
    <row r="318" spans="11:18" ht="15.75" customHeight="1">
      <c r="K318" s="201"/>
      <c r="L318" s="201"/>
      <c r="R318" s="2"/>
    </row>
    <row r="319" spans="11:18" ht="15.75" customHeight="1">
      <c r="K319" s="201"/>
      <c r="L319" s="201"/>
      <c r="R319" s="2"/>
    </row>
    <row r="320" spans="11:18" ht="15.75" customHeight="1">
      <c r="K320" s="201"/>
      <c r="L320" s="201"/>
      <c r="R320" s="2"/>
    </row>
    <row r="321" spans="11:18" ht="15.75" customHeight="1">
      <c r="K321" s="201"/>
      <c r="L321" s="201"/>
      <c r="R321" s="2"/>
    </row>
    <row r="322" spans="11:18" ht="15.75" customHeight="1">
      <c r="K322" s="201"/>
      <c r="L322" s="201"/>
      <c r="R322" s="2"/>
    </row>
    <row r="323" spans="11:18" ht="15.75" customHeight="1">
      <c r="K323" s="201"/>
      <c r="L323" s="201"/>
      <c r="R323" s="2"/>
    </row>
    <row r="324" spans="11:18" ht="15.75" customHeight="1">
      <c r="K324" s="201"/>
      <c r="L324" s="201"/>
      <c r="R324" s="2"/>
    </row>
    <row r="325" spans="11:18" ht="15.75" customHeight="1">
      <c r="K325" s="201"/>
      <c r="L325" s="201"/>
      <c r="R325" s="2"/>
    </row>
    <row r="326" spans="11:18" ht="15.75" customHeight="1">
      <c r="K326" s="201"/>
      <c r="L326" s="201"/>
      <c r="R326" s="2"/>
    </row>
    <row r="327" spans="11:18" ht="15.75" customHeight="1">
      <c r="K327" s="201"/>
      <c r="L327" s="201"/>
      <c r="R327" s="2"/>
    </row>
    <row r="328" spans="11:18" ht="15.75" customHeight="1">
      <c r="K328" s="201"/>
      <c r="L328" s="201"/>
      <c r="R328" s="2"/>
    </row>
    <row r="329" spans="11:18" ht="15.75" customHeight="1">
      <c r="K329" s="201"/>
      <c r="L329" s="201"/>
      <c r="R329" s="2"/>
    </row>
    <row r="330" spans="11:18" ht="15.75" customHeight="1">
      <c r="K330" s="201"/>
      <c r="L330" s="201"/>
      <c r="R330" s="2"/>
    </row>
    <row r="331" spans="11:18" ht="15.75" customHeight="1">
      <c r="K331" s="201"/>
      <c r="L331" s="201"/>
      <c r="R331" s="2"/>
    </row>
    <row r="332" spans="11:18" ht="15.75" customHeight="1">
      <c r="K332" s="201"/>
      <c r="L332" s="201"/>
      <c r="R332" s="2"/>
    </row>
    <row r="333" spans="11:18" ht="15.75" customHeight="1">
      <c r="K333" s="201"/>
      <c r="L333" s="201"/>
      <c r="R333" s="2"/>
    </row>
    <row r="334" spans="11:18" ht="15.75" customHeight="1">
      <c r="K334" s="201"/>
      <c r="L334" s="201"/>
      <c r="R334" s="2"/>
    </row>
    <row r="335" spans="11:18" ht="15.75" customHeight="1">
      <c r="K335" s="201"/>
      <c r="L335" s="201"/>
      <c r="R335" s="2"/>
    </row>
    <row r="336" spans="11:18" ht="15.75" customHeight="1">
      <c r="K336" s="201"/>
      <c r="L336" s="201"/>
      <c r="R336" s="2"/>
    </row>
    <row r="337" spans="11:18" ht="15.75" customHeight="1">
      <c r="K337" s="201"/>
      <c r="L337" s="201"/>
      <c r="R337" s="2"/>
    </row>
    <row r="338" spans="11:18" ht="15.75" customHeight="1">
      <c r="K338" s="201"/>
      <c r="L338" s="201"/>
      <c r="R338" s="2"/>
    </row>
    <row r="339" spans="11:18" ht="15.75" customHeight="1">
      <c r="K339" s="201"/>
      <c r="L339" s="201"/>
      <c r="R339" s="2"/>
    </row>
    <row r="340" spans="11:18" ht="15.75" customHeight="1">
      <c r="K340" s="201"/>
      <c r="L340" s="201"/>
      <c r="R340" s="2"/>
    </row>
    <row r="341" spans="11:18" ht="15.75" customHeight="1">
      <c r="K341" s="201"/>
      <c r="L341" s="201"/>
      <c r="R341" s="2"/>
    </row>
    <row r="342" spans="11:18" ht="15.75" customHeight="1">
      <c r="K342" s="201"/>
      <c r="L342" s="201"/>
      <c r="R342" s="2"/>
    </row>
    <row r="343" spans="11:18" ht="15.75" customHeight="1">
      <c r="K343" s="201"/>
      <c r="L343" s="201"/>
      <c r="R343" s="2"/>
    </row>
    <row r="344" spans="11:18" ht="15.75" customHeight="1">
      <c r="K344" s="201"/>
      <c r="L344" s="201"/>
      <c r="R344" s="2"/>
    </row>
    <row r="345" spans="11:18" ht="15.75" customHeight="1">
      <c r="K345" s="201"/>
      <c r="L345" s="201"/>
      <c r="R345" s="2"/>
    </row>
    <row r="346" spans="11:18" ht="15.75" customHeight="1">
      <c r="K346" s="201"/>
      <c r="L346" s="201"/>
      <c r="R346" s="2"/>
    </row>
    <row r="347" spans="11:18" ht="15.75" customHeight="1">
      <c r="K347" s="201"/>
      <c r="L347" s="201"/>
      <c r="R347" s="2"/>
    </row>
    <row r="348" spans="11:18" ht="15.75" customHeight="1">
      <c r="K348" s="201"/>
      <c r="L348" s="201"/>
      <c r="R348" s="2"/>
    </row>
    <row r="349" spans="11:18" ht="15.75" customHeight="1">
      <c r="K349" s="201"/>
      <c r="L349" s="201"/>
      <c r="R349" s="2"/>
    </row>
    <row r="350" spans="11:18" ht="15.75" customHeight="1">
      <c r="K350" s="201"/>
      <c r="L350" s="201"/>
      <c r="R350" s="2"/>
    </row>
    <row r="351" spans="11:18" ht="15.75" customHeight="1">
      <c r="K351" s="201"/>
      <c r="L351" s="201"/>
      <c r="R351" s="2"/>
    </row>
    <row r="352" spans="11:18" ht="15.75" customHeight="1">
      <c r="K352" s="201"/>
      <c r="L352" s="201"/>
      <c r="R352" s="2"/>
    </row>
    <row r="353" spans="11:18" ht="15.75" customHeight="1">
      <c r="K353" s="201"/>
      <c r="L353" s="201"/>
      <c r="R353" s="2"/>
    </row>
    <row r="354" spans="11:18" ht="15.75" customHeight="1">
      <c r="K354" s="201"/>
      <c r="L354" s="201"/>
      <c r="R354" s="2"/>
    </row>
    <row r="355" spans="11:18" ht="15.75" customHeight="1">
      <c r="K355" s="201"/>
      <c r="L355" s="201"/>
      <c r="R355" s="2"/>
    </row>
    <row r="356" spans="11:18" ht="15.75" customHeight="1">
      <c r="K356" s="201"/>
      <c r="L356" s="201"/>
      <c r="R356" s="2"/>
    </row>
    <row r="357" spans="11:18" ht="15.75" customHeight="1">
      <c r="K357" s="201"/>
      <c r="L357" s="201"/>
      <c r="R357" s="2"/>
    </row>
    <row r="358" spans="11:18" ht="15.75" customHeight="1">
      <c r="K358" s="201"/>
      <c r="L358" s="201"/>
      <c r="R358" s="2"/>
    </row>
    <row r="359" spans="11:18" ht="15.75" customHeight="1">
      <c r="K359" s="201"/>
      <c r="L359" s="201"/>
      <c r="R359" s="2"/>
    </row>
    <row r="360" spans="11:18" ht="15.75" customHeight="1">
      <c r="K360" s="201"/>
      <c r="L360" s="201"/>
      <c r="R360" s="2"/>
    </row>
    <row r="361" spans="11:18" ht="15.75" customHeight="1">
      <c r="K361" s="201"/>
      <c r="L361" s="201"/>
      <c r="R361" s="2"/>
    </row>
    <row r="362" spans="11:18" ht="15.75" customHeight="1">
      <c r="K362" s="201"/>
      <c r="L362" s="201"/>
      <c r="R362" s="2"/>
    </row>
    <row r="363" spans="11:18" ht="15.75" customHeight="1">
      <c r="K363" s="201"/>
      <c r="L363" s="201"/>
      <c r="R363" s="2"/>
    </row>
    <row r="364" spans="11:18" ht="15.75" customHeight="1">
      <c r="K364" s="201"/>
      <c r="L364" s="201"/>
      <c r="R364" s="2"/>
    </row>
    <row r="365" spans="11:18" ht="15.75" customHeight="1">
      <c r="K365" s="201"/>
      <c r="L365" s="201"/>
      <c r="R365" s="2"/>
    </row>
    <row r="366" spans="11:18" ht="15.75" customHeight="1">
      <c r="K366" s="201"/>
      <c r="L366" s="201"/>
      <c r="R366" s="2"/>
    </row>
    <row r="367" spans="11:18" ht="15.75" customHeight="1">
      <c r="K367" s="201"/>
      <c r="L367" s="201"/>
      <c r="R367" s="2"/>
    </row>
    <row r="368" spans="11:18" ht="15.75" customHeight="1">
      <c r="K368" s="201"/>
      <c r="L368" s="201"/>
      <c r="R368" s="2"/>
    </row>
    <row r="369" spans="11:18" ht="15.75" customHeight="1">
      <c r="K369" s="201"/>
      <c r="L369" s="201"/>
      <c r="R369" s="2"/>
    </row>
    <row r="370" spans="11:18" ht="15.75" customHeight="1">
      <c r="K370" s="201"/>
      <c r="L370" s="201"/>
      <c r="R370" s="2"/>
    </row>
    <row r="371" spans="11:18" ht="15.75" customHeight="1">
      <c r="K371" s="201"/>
      <c r="L371" s="201"/>
      <c r="R371" s="2"/>
    </row>
    <row r="372" spans="11:18" ht="15.75" customHeight="1">
      <c r="K372" s="201"/>
      <c r="L372" s="201"/>
      <c r="R372" s="2"/>
    </row>
    <row r="373" spans="11:18" ht="15.75" customHeight="1">
      <c r="K373" s="201"/>
      <c r="L373" s="201"/>
      <c r="R373" s="2"/>
    </row>
    <row r="374" spans="11:18" ht="15.75" customHeight="1">
      <c r="K374" s="201"/>
      <c r="L374" s="201"/>
      <c r="R374" s="2"/>
    </row>
    <row r="375" spans="11:18" ht="15.75" customHeight="1">
      <c r="K375" s="201"/>
      <c r="L375" s="201"/>
      <c r="R375" s="2"/>
    </row>
    <row r="376" spans="11:18" ht="15.75" customHeight="1">
      <c r="K376" s="201"/>
      <c r="L376" s="201"/>
      <c r="R376" s="2"/>
    </row>
    <row r="377" spans="11:18" ht="15.75" customHeight="1">
      <c r="K377" s="201"/>
      <c r="L377" s="201"/>
      <c r="R377" s="2"/>
    </row>
    <row r="378" spans="11:18" ht="15.75" customHeight="1">
      <c r="K378" s="201"/>
      <c r="L378" s="201"/>
      <c r="R378" s="2"/>
    </row>
    <row r="379" spans="11:18" ht="15.75" customHeight="1">
      <c r="K379" s="201"/>
      <c r="L379" s="201"/>
      <c r="R379" s="2"/>
    </row>
    <row r="380" spans="11:18" ht="15.75" customHeight="1">
      <c r="K380" s="201"/>
      <c r="L380" s="201"/>
      <c r="R380" s="2"/>
    </row>
    <row r="381" spans="11:18" ht="15.75" customHeight="1">
      <c r="K381" s="201"/>
      <c r="L381" s="201"/>
      <c r="R381" s="2"/>
    </row>
    <row r="382" spans="11:18" ht="15.75" customHeight="1">
      <c r="K382" s="201"/>
      <c r="L382" s="201"/>
      <c r="R382" s="2"/>
    </row>
    <row r="383" spans="11:18" ht="15.75" customHeight="1">
      <c r="K383" s="201"/>
      <c r="L383" s="201"/>
      <c r="R383" s="2"/>
    </row>
    <row r="384" spans="11:18" ht="15.75" customHeight="1">
      <c r="K384" s="201"/>
      <c r="L384" s="201"/>
      <c r="R384" s="2"/>
    </row>
    <row r="385" spans="11:18" ht="15.75" customHeight="1">
      <c r="K385" s="201"/>
      <c r="L385" s="201"/>
      <c r="R385" s="2"/>
    </row>
    <row r="386" spans="11:18" ht="15.75" customHeight="1">
      <c r="K386" s="201"/>
      <c r="L386" s="201"/>
      <c r="R386" s="2"/>
    </row>
    <row r="387" spans="11:18" ht="15.75" customHeight="1">
      <c r="K387" s="201"/>
      <c r="L387" s="201"/>
      <c r="R387" s="2"/>
    </row>
    <row r="388" spans="11:18" ht="15.75" customHeight="1">
      <c r="K388" s="201"/>
      <c r="L388" s="201"/>
      <c r="R388" s="2"/>
    </row>
    <row r="389" spans="11:18" ht="15.75" customHeight="1">
      <c r="K389" s="201"/>
      <c r="L389" s="201"/>
      <c r="R389" s="2"/>
    </row>
    <row r="390" spans="11:18" ht="15.75" customHeight="1">
      <c r="K390" s="201"/>
      <c r="L390" s="201"/>
      <c r="R390" s="2"/>
    </row>
    <row r="391" spans="11:18" ht="15.75" customHeight="1">
      <c r="K391" s="201"/>
      <c r="L391" s="201"/>
      <c r="R391" s="2"/>
    </row>
    <row r="392" spans="11:18" ht="15.75" customHeight="1">
      <c r="K392" s="201"/>
      <c r="L392" s="201"/>
      <c r="R392" s="2"/>
    </row>
    <row r="393" spans="11:18" ht="15.75" customHeight="1">
      <c r="K393" s="201"/>
      <c r="L393" s="201"/>
      <c r="R393" s="2"/>
    </row>
    <row r="394" spans="11:18" ht="15.75" customHeight="1">
      <c r="K394" s="201"/>
      <c r="L394" s="201"/>
      <c r="R394" s="2"/>
    </row>
    <row r="395" spans="11:18" ht="15.75" customHeight="1">
      <c r="K395" s="201"/>
      <c r="L395" s="201"/>
      <c r="R395" s="2"/>
    </row>
    <row r="396" spans="11:18" ht="15.75" customHeight="1">
      <c r="K396" s="201"/>
      <c r="L396" s="201"/>
      <c r="R396" s="2"/>
    </row>
    <row r="397" spans="11:18" ht="15.75" customHeight="1">
      <c r="K397" s="201"/>
      <c r="L397" s="201"/>
      <c r="R397" s="2"/>
    </row>
    <row r="398" spans="11:18" ht="15.75" customHeight="1">
      <c r="K398" s="201"/>
      <c r="L398" s="201"/>
      <c r="R398" s="2"/>
    </row>
    <row r="399" spans="11:18" ht="15.75" customHeight="1">
      <c r="K399" s="201"/>
      <c r="L399" s="201"/>
      <c r="R399" s="2"/>
    </row>
    <row r="400" spans="11:18" ht="15.75" customHeight="1">
      <c r="K400" s="201"/>
      <c r="L400" s="201"/>
      <c r="R400" s="2"/>
    </row>
    <row r="401" spans="11:18" ht="15.75" customHeight="1">
      <c r="K401" s="201"/>
      <c r="L401" s="201"/>
      <c r="R401" s="2"/>
    </row>
    <row r="402" spans="11:18" ht="15.75" customHeight="1">
      <c r="K402" s="201"/>
      <c r="L402" s="201"/>
      <c r="R402" s="2"/>
    </row>
    <row r="403" spans="11:18" ht="15.75" customHeight="1">
      <c r="K403" s="201"/>
      <c r="L403" s="201"/>
      <c r="R403" s="2"/>
    </row>
    <row r="404" spans="11:18" ht="15.75" customHeight="1">
      <c r="K404" s="201"/>
      <c r="L404" s="201"/>
      <c r="R404" s="2"/>
    </row>
    <row r="405" spans="11:18" ht="15.75" customHeight="1">
      <c r="K405" s="201"/>
      <c r="L405" s="201"/>
      <c r="R405" s="2"/>
    </row>
    <row r="406" spans="11:18" ht="15.75" customHeight="1">
      <c r="K406" s="201"/>
      <c r="L406" s="201"/>
      <c r="R406" s="2"/>
    </row>
    <row r="407" spans="11:18" ht="15.75" customHeight="1">
      <c r="K407" s="201"/>
      <c r="L407" s="201"/>
      <c r="R407" s="2"/>
    </row>
    <row r="408" spans="11:18" ht="15.75" customHeight="1">
      <c r="K408" s="201"/>
      <c r="L408" s="201"/>
      <c r="R408" s="2"/>
    </row>
    <row r="409" spans="11:18" ht="15.75" customHeight="1">
      <c r="K409" s="201"/>
      <c r="L409" s="201"/>
      <c r="R409" s="2"/>
    </row>
    <row r="410" spans="11:18" ht="15.75" customHeight="1">
      <c r="K410" s="201"/>
      <c r="L410" s="201"/>
      <c r="R410" s="2"/>
    </row>
    <row r="411" spans="11:18" ht="15.75" customHeight="1">
      <c r="K411" s="201"/>
      <c r="L411" s="201"/>
      <c r="R411" s="2"/>
    </row>
    <row r="412" spans="11:18" ht="15.75" customHeight="1">
      <c r="K412" s="201"/>
      <c r="L412" s="201"/>
      <c r="R412" s="2"/>
    </row>
    <row r="413" spans="11:18" ht="15.75" customHeight="1">
      <c r="K413" s="201"/>
      <c r="L413" s="201"/>
      <c r="R413" s="2"/>
    </row>
    <row r="414" spans="11:18" ht="15.75" customHeight="1">
      <c r="L414" s="2"/>
      <c r="R414" s="2"/>
    </row>
    <row r="415" spans="11:18" ht="15.75" customHeight="1">
      <c r="L415" s="2"/>
      <c r="R415" s="2"/>
    </row>
    <row r="416" spans="11:18" ht="15.75" customHeight="1">
      <c r="L416" s="2"/>
      <c r="R416" s="2"/>
    </row>
    <row r="417" spans="12:18" ht="15.75" customHeight="1">
      <c r="L417" s="2"/>
      <c r="R417" s="2"/>
    </row>
    <row r="418" spans="12:18" ht="15.75" customHeight="1">
      <c r="L418" s="2"/>
      <c r="R418" s="2"/>
    </row>
    <row r="419" spans="12:18" ht="15.75" customHeight="1">
      <c r="L419" s="2"/>
      <c r="R419" s="2"/>
    </row>
    <row r="420" spans="12:18" ht="15.75" customHeight="1">
      <c r="L420" s="2"/>
      <c r="R420" s="2"/>
    </row>
    <row r="421" spans="12:18" ht="15.75" customHeight="1">
      <c r="L421" s="2"/>
      <c r="R421" s="2"/>
    </row>
    <row r="422" spans="12:18" ht="15.75" customHeight="1">
      <c r="L422" s="2"/>
      <c r="R422" s="2"/>
    </row>
    <row r="423" spans="12:18" ht="15.75" customHeight="1">
      <c r="L423" s="2"/>
      <c r="R423" s="2"/>
    </row>
    <row r="424" spans="12:18" ht="15.75" customHeight="1">
      <c r="L424" s="2"/>
      <c r="R424" s="2"/>
    </row>
    <row r="425" spans="12:18" ht="15.75" customHeight="1">
      <c r="L425" s="2"/>
      <c r="R425" s="2"/>
    </row>
    <row r="426" spans="12:18" ht="15.75" customHeight="1">
      <c r="L426" s="2"/>
      <c r="R426" s="2"/>
    </row>
    <row r="427" spans="12:18" ht="15.75" customHeight="1">
      <c r="L427" s="2"/>
      <c r="R427" s="2"/>
    </row>
    <row r="428" spans="12:18" ht="15.75" customHeight="1">
      <c r="L428" s="2"/>
      <c r="R428" s="2"/>
    </row>
    <row r="429" spans="12:18" ht="15.75" customHeight="1">
      <c r="L429" s="2"/>
      <c r="R429" s="2"/>
    </row>
    <row r="430" spans="12:18" ht="15.75" customHeight="1">
      <c r="L430" s="2"/>
      <c r="R430" s="2"/>
    </row>
    <row r="431" spans="12:18" ht="15.75" customHeight="1">
      <c r="L431" s="2"/>
      <c r="R431" s="2"/>
    </row>
    <row r="432" spans="12:18" ht="15.75" customHeight="1">
      <c r="L432" s="2"/>
      <c r="R432" s="2"/>
    </row>
    <row r="433" spans="12:18" ht="15.75" customHeight="1">
      <c r="L433" s="2"/>
      <c r="R433" s="2"/>
    </row>
    <row r="434" spans="12:18" ht="15.75" customHeight="1">
      <c r="L434" s="2"/>
      <c r="R434" s="2"/>
    </row>
    <row r="435" spans="12:18" ht="15.75" customHeight="1">
      <c r="L435" s="2"/>
      <c r="R435" s="2"/>
    </row>
    <row r="436" spans="12:18" ht="15.75" customHeight="1">
      <c r="L436" s="2"/>
      <c r="R436" s="2"/>
    </row>
    <row r="437" spans="12:18" ht="15.75" customHeight="1">
      <c r="L437" s="2"/>
      <c r="R437" s="2"/>
    </row>
    <row r="438" spans="12:18" ht="15.75" customHeight="1">
      <c r="L438" s="2"/>
      <c r="R438" s="2"/>
    </row>
    <row r="439" spans="12:18" ht="15.75" customHeight="1">
      <c r="L439" s="2"/>
      <c r="R439" s="2"/>
    </row>
    <row r="440" spans="12:18" ht="15.75" customHeight="1">
      <c r="L440" s="2"/>
      <c r="R440" s="2"/>
    </row>
    <row r="441" spans="12:18" ht="15.75" customHeight="1">
      <c r="L441" s="2"/>
      <c r="R441" s="2"/>
    </row>
    <row r="442" spans="12:18" ht="15.75" customHeight="1">
      <c r="L442" s="2"/>
      <c r="R442" s="2"/>
    </row>
    <row r="443" spans="12:18" ht="15.75" customHeight="1">
      <c r="L443" s="2"/>
      <c r="R443" s="2"/>
    </row>
    <row r="444" spans="12:18" ht="15.75" customHeight="1">
      <c r="L444" s="2"/>
      <c r="R444" s="2"/>
    </row>
    <row r="445" spans="12:18" ht="15.75" customHeight="1">
      <c r="L445" s="2"/>
      <c r="R445" s="2"/>
    </row>
    <row r="446" spans="12:18" ht="15.75" customHeight="1">
      <c r="L446" s="2"/>
      <c r="R446" s="2"/>
    </row>
    <row r="447" spans="12:18" ht="15.75" customHeight="1">
      <c r="L447" s="2"/>
      <c r="R447" s="2"/>
    </row>
    <row r="448" spans="12:18" ht="15.75" customHeight="1">
      <c r="L448" s="2"/>
      <c r="R448" s="2"/>
    </row>
    <row r="449" spans="12:18" ht="15.75" customHeight="1">
      <c r="L449" s="2"/>
      <c r="R449" s="2"/>
    </row>
    <row r="450" spans="12:18" ht="15.75" customHeight="1">
      <c r="L450" s="2"/>
      <c r="R450" s="2"/>
    </row>
    <row r="451" spans="12:18" ht="15.75" customHeight="1">
      <c r="L451" s="2"/>
      <c r="R451" s="2"/>
    </row>
    <row r="452" spans="12:18" ht="15.75" customHeight="1">
      <c r="L452" s="2"/>
      <c r="R452" s="2"/>
    </row>
    <row r="453" spans="12:18" ht="15.75" customHeight="1">
      <c r="L453" s="2"/>
      <c r="R453" s="2"/>
    </row>
    <row r="454" spans="12:18" ht="15.75" customHeight="1">
      <c r="L454" s="2"/>
      <c r="R454" s="2"/>
    </row>
    <row r="455" spans="12:18" ht="15.75" customHeight="1">
      <c r="L455" s="2"/>
      <c r="R455" s="2"/>
    </row>
    <row r="456" spans="12:18" ht="15.75" customHeight="1">
      <c r="L456" s="2"/>
      <c r="R456" s="2"/>
    </row>
    <row r="457" spans="12:18" ht="15.75" customHeight="1">
      <c r="L457" s="2"/>
      <c r="R457" s="2"/>
    </row>
    <row r="458" spans="12:18" ht="15.75" customHeight="1">
      <c r="L458" s="2"/>
      <c r="R458" s="2"/>
    </row>
    <row r="459" spans="12:18" ht="15.75" customHeight="1">
      <c r="L459" s="2"/>
      <c r="R459" s="2"/>
    </row>
    <row r="460" spans="12:18" ht="15.75" customHeight="1">
      <c r="L460" s="2"/>
      <c r="R460" s="2"/>
    </row>
    <row r="461" spans="12:18" ht="15.75" customHeight="1">
      <c r="L461" s="2"/>
      <c r="R461" s="2"/>
    </row>
    <row r="462" spans="12:18" ht="15.75" customHeight="1">
      <c r="L462" s="2"/>
      <c r="R462" s="2"/>
    </row>
    <row r="463" spans="12:18" ht="15.75" customHeight="1">
      <c r="L463" s="2"/>
      <c r="R463" s="2"/>
    </row>
    <row r="464" spans="12:18" ht="15.75" customHeight="1">
      <c r="L464" s="2"/>
      <c r="R464" s="2"/>
    </row>
    <row r="465" spans="12:18" ht="15.75" customHeight="1">
      <c r="L465" s="2"/>
      <c r="R465" s="2"/>
    </row>
    <row r="466" spans="12:18" ht="15.75" customHeight="1">
      <c r="L466" s="2"/>
      <c r="R466" s="2"/>
    </row>
    <row r="467" spans="12:18" ht="15.75" customHeight="1">
      <c r="L467" s="2"/>
      <c r="R467" s="2"/>
    </row>
    <row r="468" spans="12:18" ht="15.75" customHeight="1">
      <c r="L468" s="2"/>
      <c r="R468" s="2"/>
    </row>
    <row r="469" spans="12:18" ht="15.75" customHeight="1">
      <c r="L469" s="2"/>
      <c r="R469" s="2"/>
    </row>
    <row r="470" spans="12:18" ht="15.75" customHeight="1">
      <c r="L470" s="2"/>
      <c r="R470" s="2"/>
    </row>
    <row r="471" spans="12:18" ht="15.75" customHeight="1">
      <c r="L471" s="2"/>
      <c r="R471" s="2"/>
    </row>
    <row r="472" spans="12:18" ht="15.75" customHeight="1">
      <c r="L472" s="2"/>
      <c r="R472" s="2"/>
    </row>
    <row r="473" spans="12:18" ht="15.75" customHeight="1">
      <c r="L473" s="2"/>
      <c r="R473" s="2"/>
    </row>
    <row r="474" spans="12:18" ht="15.75" customHeight="1">
      <c r="L474" s="2"/>
      <c r="R474" s="2"/>
    </row>
    <row r="475" spans="12:18" ht="15.75" customHeight="1">
      <c r="L475" s="2"/>
      <c r="R475" s="2"/>
    </row>
    <row r="476" spans="12:18" ht="15.75" customHeight="1">
      <c r="L476" s="2"/>
      <c r="R476" s="2"/>
    </row>
    <row r="477" spans="12:18" ht="15.75" customHeight="1">
      <c r="L477" s="2"/>
      <c r="R477" s="2"/>
    </row>
    <row r="478" spans="12:18" ht="15.75" customHeight="1">
      <c r="L478" s="2"/>
      <c r="R478" s="2"/>
    </row>
    <row r="479" spans="12:18" ht="15.75" customHeight="1">
      <c r="L479" s="2"/>
      <c r="R479" s="2"/>
    </row>
    <row r="480" spans="12:18" ht="15.75" customHeight="1">
      <c r="L480" s="2"/>
      <c r="R480" s="2"/>
    </row>
    <row r="481" spans="12:18" ht="15.75" customHeight="1">
      <c r="L481" s="2"/>
      <c r="R481" s="2"/>
    </row>
    <row r="482" spans="12:18" ht="15.75" customHeight="1">
      <c r="L482" s="2"/>
      <c r="R482" s="2"/>
    </row>
    <row r="483" spans="12:18" ht="15.75" customHeight="1">
      <c r="L483" s="2"/>
      <c r="R483" s="2"/>
    </row>
    <row r="484" spans="12:18" ht="15.75" customHeight="1">
      <c r="L484" s="2"/>
      <c r="R484" s="2"/>
    </row>
    <row r="485" spans="12:18" ht="15.75" customHeight="1">
      <c r="L485" s="2"/>
      <c r="R485" s="2"/>
    </row>
    <row r="486" spans="12:18" ht="15.75" customHeight="1">
      <c r="L486" s="2"/>
      <c r="R486" s="2"/>
    </row>
    <row r="487" spans="12:18" ht="15.75" customHeight="1">
      <c r="L487" s="2"/>
      <c r="R487" s="2"/>
    </row>
    <row r="488" spans="12:18" ht="15.75" customHeight="1">
      <c r="L488" s="2"/>
      <c r="R488" s="2"/>
    </row>
    <row r="489" spans="12:18" ht="15.75" customHeight="1">
      <c r="L489" s="2"/>
      <c r="R489" s="2"/>
    </row>
    <row r="490" spans="12:18" ht="15.75" customHeight="1">
      <c r="L490" s="2"/>
      <c r="R490" s="2"/>
    </row>
    <row r="491" spans="12:18" ht="15.75" customHeight="1">
      <c r="L491" s="2"/>
      <c r="R491" s="2"/>
    </row>
    <row r="492" spans="12:18" ht="15.75" customHeight="1">
      <c r="L492" s="2"/>
      <c r="R492" s="2"/>
    </row>
    <row r="493" spans="12:18" ht="15.75" customHeight="1">
      <c r="L493" s="2"/>
      <c r="R493" s="2"/>
    </row>
    <row r="494" spans="12:18" ht="15.75" customHeight="1">
      <c r="L494" s="2"/>
      <c r="R494" s="2"/>
    </row>
    <row r="495" spans="12:18" ht="15.75" customHeight="1">
      <c r="L495" s="2"/>
      <c r="R495" s="2"/>
    </row>
    <row r="496" spans="12:18" ht="15.75" customHeight="1">
      <c r="L496" s="2"/>
      <c r="R496" s="2"/>
    </row>
    <row r="497" spans="12:18" ht="15.75" customHeight="1">
      <c r="L497" s="2"/>
      <c r="R497" s="2"/>
    </row>
    <row r="498" spans="12:18" ht="15.75" customHeight="1">
      <c r="L498" s="2"/>
      <c r="R498" s="2"/>
    </row>
    <row r="499" spans="12:18" ht="15.75" customHeight="1">
      <c r="L499" s="2"/>
      <c r="R499" s="2"/>
    </row>
    <row r="500" spans="12:18" ht="15.75" customHeight="1">
      <c r="L500" s="2"/>
      <c r="R500" s="2"/>
    </row>
    <row r="501" spans="12:18" ht="15.75" customHeight="1">
      <c r="L501" s="2"/>
      <c r="R501" s="2"/>
    </row>
    <row r="502" spans="12:18" ht="15.75" customHeight="1">
      <c r="L502" s="2"/>
      <c r="R502" s="2"/>
    </row>
    <row r="503" spans="12:18" ht="15.75" customHeight="1">
      <c r="L503" s="2"/>
      <c r="R503" s="2"/>
    </row>
    <row r="504" spans="12:18" ht="15.75" customHeight="1">
      <c r="L504" s="2"/>
      <c r="R504" s="2"/>
    </row>
    <row r="505" spans="12:18" ht="15.75" customHeight="1">
      <c r="L505" s="2"/>
      <c r="R505" s="2"/>
    </row>
    <row r="506" spans="12:18" ht="15.75" customHeight="1">
      <c r="L506" s="2"/>
      <c r="R506" s="2"/>
    </row>
    <row r="507" spans="12:18" ht="15.75" customHeight="1">
      <c r="L507" s="2"/>
      <c r="R507" s="2"/>
    </row>
    <row r="508" spans="12:18" ht="15.75" customHeight="1">
      <c r="L508" s="2"/>
      <c r="R508" s="2"/>
    </row>
    <row r="509" spans="12:18" ht="15.75" customHeight="1">
      <c r="L509" s="2"/>
      <c r="R509" s="2"/>
    </row>
    <row r="510" spans="12:18" ht="15.75" customHeight="1">
      <c r="L510" s="2"/>
      <c r="R510" s="2"/>
    </row>
    <row r="511" spans="12:18" ht="15.75" customHeight="1">
      <c r="L511" s="2"/>
      <c r="R511" s="2"/>
    </row>
    <row r="512" spans="12:18" ht="15.75" customHeight="1">
      <c r="L512" s="2"/>
      <c r="R512" s="2"/>
    </row>
    <row r="513" spans="12:18" ht="15.75" customHeight="1">
      <c r="L513" s="2"/>
      <c r="R513" s="2"/>
    </row>
    <row r="514" spans="12:18" ht="15.75" customHeight="1">
      <c r="L514" s="2"/>
      <c r="R514" s="2"/>
    </row>
    <row r="515" spans="12:18" ht="15.75" customHeight="1">
      <c r="L515" s="2"/>
      <c r="R515" s="2"/>
    </row>
    <row r="516" spans="12:18" ht="15.75" customHeight="1">
      <c r="L516" s="2"/>
      <c r="R516" s="2"/>
    </row>
    <row r="517" spans="12:18" ht="15.75" customHeight="1">
      <c r="L517" s="2"/>
      <c r="R517" s="2"/>
    </row>
    <row r="518" spans="12:18" ht="15.75" customHeight="1">
      <c r="L518" s="2"/>
      <c r="R518" s="2"/>
    </row>
    <row r="519" spans="12:18" ht="15.75" customHeight="1">
      <c r="L519" s="2"/>
      <c r="R519" s="2"/>
    </row>
    <row r="520" spans="12:18" ht="15.75" customHeight="1">
      <c r="L520" s="2"/>
      <c r="R520" s="2"/>
    </row>
    <row r="521" spans="12:18" ht="15.75" customHeight="1">
      <c r="L521" s="2"/>
      <c r="R521" s="2"/>
    </row>
    <row r="522" spans="12:18" ht="15.75" customHeight="1">
      <c r="L522" s="2"/>
      <c r="R522" s="2"/>
    </row>
    <row r="523" spans="12:18" ht="15.75" customHeight="1">
      <c r="L523" s="2"/>
      <c r="R523" s="2"/>
    </row>
    <row r="524" spans="12:18" ht="15.75" customHeight="1">
      <c r="L524" s="2"/>
      <c r="R524" s="2"/>
    </row>
    <row r="525" spans="12:18" ht="15.75" customHeight="1">
      <c r="L525" s="2"/>
      <c r="R525" s="2"/>
    </row>
    <row r="526" spans="12:18" ht="15.75" customHeight="1">
      <c r="L526" s="2"/>
      <c r="R526" s="2"/>
    </row>
    <row r="527" spans="12:18" ht="15.75" customHeight="1">
      <c r="L527" s="2"/>
      <c r="R527" s="2"/>
    </row>
    <row r="528" spans="12:18" ht="15.75" customHeight="1">
      <c r="L528" s="2"/>
      <c r="R528" s="2"/>
    </row>
    <row r="529" spans="12:18" ht="15.75" customHeight="1">
      <c r="L529" s="2"/>
      <c r="R529" s="2"/>
    </row>
    <row r="530" spans="12:18" ht="15.75" customHeight="1">
      <c r="L530" s="2"/>
      <c r="R530" s="2"/>
    </row>
    <row r="531" spans="12:18" ht="15.75" customHeight="1">
      <c r="L531" s="2"/>
      <c r="R531" s="2"/>
    </row>
    <row r="532" spans="12:18" ht="15.75" customHeight="1">
      <c r="L532" s="2"/>
      <c r="R532" s="2"/>
    </row>
    <row r="533" spans="12:18" ht="15.75" customHeight="1">
      <c r="L533" s="2"/>
      <c r="R533" s="2"/>
    </row>
    <row r="534" spans="12:18" ht="15.75" customHeight="1">
      <c r="L534" s="2"/>
      <c r="R534" s="2"/>
    </row>
    <row r="535" spans="12:18" ht="15.75" customHeight="1">
      <c r="L535" s="2"/>
      <c r="R535" s="2"/>
    </row>
    <row r="536" spans="12:18" ht="15.75" customHeight="1">
      <c r="L536" s="2"/>
      <c r="R536" s="2"/>
    </row>
    <row r="537" spans="12:18" ht="15.75" customHeight="1">
      <c r="L537" s="2"/>
      <c r="R537" s="2"/>
    </row>
    <row r="538" spans="12:18" ht="15.75" customHeight="1">
      <c r="L538" s="2"/>
      <c r="R538" s="2"/>
    </row>
    <row r="539" spans="12:18" ht="15.75" customHeight="1">
      <c r="L539" s="2"/>
      <c r="R539" s="2"/>
    </row>
    <row r="540" spans="12:18" ht="15.75" customHeight="1">
      <c r="L540" s="2"/>
      <c r="R540" s="2"/>
    </row>
    <row r="541" spans="12:18" ht="15.75" customHeight="1">
      <c r="L541" s="2"/>
      <c r="R541" s="2"/>
    </row>
    <row r="542" spans="12:18" ht="15.75" customHeight="1">
      <c r="L542" s="2"/>
      <c r="R542" s="2"/>
    </row>
    <row r="543" spans="12:18" ht="15.75" customHeight="1">
      <c r="L543" s="2"/>
      <c r="R543" s="2"/>
    </row>
    <row r="544" spans="12:18" ht="15.75" customHeight="1">
      <c r="L544" s="2"/>
      <c r="R544" s="2"/>
    </row>
    <row r="545" spans="12:18" ht="15.75" customHeight="1">
      <c r="L545" s="2"/>
      <c r="R545" s="2"/>
    </row>
    <row r="546" spans="12:18" ht="15.75" customHeight="1">
      <c r="L546" s="2"/>
      <c r="R546" s="2"/>
    </row>
    <row r="547" spans="12:18" ht="15.75" customHeight="1">
      <c r="L547" s="2"/>
      <c r="R547" s="2"/>
    </row>
    <row r="548" spans="12:18" ht="15.75" customHeight="1">
      <c r="L548" s="2"/>
      <c r="R548" s="2"/>
    </row>
    <row r="549" spans="12:18" ht="15.75" customHeight="1">
      <c r="L549" s="2"/>
      <c r="R549" s="2"/>
    </row>
    <row r="550" spans="12:18" ht="15.75" customHeight="1">
      <c r="L550" s="2"/>
      <c r="R550" s="2"/>
    </row>
    <row r="551" spans="12:18" ht="15.75" customHeight="1">
      <c r="L551" s="2"/>
      <c r="R551" s="2"/>
    </row>
    <row r="552" spans="12:18" ht="15.75" customHeight="1">
      <c r="L552" s="2"/>
      <c r="R552" s="2"/>
    </row>
    <row r="553" spans="12:18" ht="15.75" customHeight="1">
      <c r="L553" s="2"/>
      <c r="R553" s="2"/>
    </row>
    <row r="554" spans="12:18" ht="15.75" customHeight="1">
      <c r="L554" s="2"/>
      <c r="R554" s="2"/>
    </row>
    <row r="555" spans="12:18" ht="15.75" customHeight="1">
      <c r="L555" s="2"/>
      <c r="R555" s="2"/>
    </row>
    <row r="556" spans="12:18" ht="15.75" customHeight="1">
      <c r="L556" s="2"/>
      <c r="R556" s="2"/>
    </row>
    <row r="557" spans="12:18" ht="15.75" customHeight="1">
      <c r="L557" s="2"/>
      <c r="R557" s="2"/>
    </row>
    <row r="558" spans="12:18" ht="15.75" customHeight="1">
      <c r="L558" s="2"/>
      <c r="R558" s="2"/>
    </row>
    <row r="559" spans="12:18" ht="15.75" customHeight="1">
      <c r="L559" s="2"/>
      <c r="R559" s="2"/>
    </row>
    <row r="560" spans="12:18" ht="15.75" customHeight="1">
      <c r="L560" s="2"/>
      <c r="R560" s="2"/>
    </row>
    <row r="561" spans="12:18" ht="15.75" customHeight="1">
      <c r="L561" s="2"/>
      <c r="R561" s="2"/>
    </row>
    <row r="562" spans="12:18" ht="15.75" customHeight="1">
      <c r="L562" s="2"/>
      <c r="R562" s="2"/>
    </row>
    <row r="563" spans="12:18" ht="15.75" customHeight="1">
      <c r="L563" s="2"/>
      <c r="R563" s="2"/>
    </row>
    <row r="564" spans="12:18" ht="15.75" customHeight="1">
      <c r="L564" s="2"/>
      <c r="R564" s="2"/>
    </row>
    <row r="565" spans="12:18" ht="15.75" customHeight="1">
      <c r="L565" s="2"/>
      <c r="R565" s="2"/>
    </row>
    <row r="566" spans="12:18" ht="15.75" customHeight="1">
      <c r="L566" s="2"/>
      <c r="R566" s="2"/>
    </row>
    <row r="567" spans="12:18" ht="15.75" customHeight="1">
      <c r="L567" s="2"/>
      <c r="R567" s="2"/>
    </row>
    <row r="568" spans="12:18" ht="15.75" customHeight="1">
      <c r="L568" s="2"/>
      <c r="R568" s="2"/>
    </row>
    <row r="569" spans="12:18" ht="15.75" customHeight="1">
      <c r="L569" s="2"/>
      <c r="R569" s="2"/>
    </row>
    <row r="570" spans="12:18" ht="15.75" customHeight="1">
      <c r="L570" s="2"/>
      <c r="R570" s="2"/>
    </row>
    <row r="571" spans="12:18" ht="15.75" customHeight="1">
      <c r="L571" s="2"/>
      <c r="R571" s="2"/>
    </row>
    <row r="572" spans="12:18" ht="15.75" customHeight="1">
      <c r="L572" s="2"/>
      <c r="R572" s="2"/>
    </row>
    <row r="573" spans="12:18" ht="15.75" customHeight="1">
      <c r="L573" s="2"/>
      <c r="R573" s="2"/>
    </row>
    <row r="574" spans="12:18" ht="15.75" customHeight="1">
      <c r="L574" s="2"/>
      <c r="R574" s="2"/>
    </row>
    <row r="575" spans="12:18" ht="15.75" customHeight="1">
      <c r="L575" s="2"/>
      <c r="R575" s="2"/>
    </row>
    <row r="576" spans="12:18" ht="15.75" customHeight="1">
      <c r="L576" s="2"/>
      <c r="R576" s="2"/>
    </row>
    <row r="577" spans="12:18" ht="15.75" customHeight="1">
      <c r="L577" s="2"/>
      <c r="R577" s="2"/>
    </row>
    <row r="578" spans="12:18" ht="15.75" customHeight="1">
      <c r="L578" s="2"/>
      <c r="R578" s="2"/>
    </row>
    <row r="579" spans="12:18" ht="15.75" customHeight="1">
      <c r="L579" s="2"/>
      <c r="R579" s="2"/>
    </row>
    <row r="580" spans="12:18" ht="15.75" customHeight="1">
      <c r="L580" s="2"/>
      <c r="R580" s="2"/>
    </row>
    <row r="581" spans="12:18" ht="15.75" customHeight="1">
      <c r="L581" s="2"/>
      <c r="R581" s="2"/>
    </row>
    <row r="582" spans="12:18" ht="15.75" customHeight="1">
      <c r="L582" s="2"/>
      <c r="R582" s="2"/>
    </row>
    <row r="583" spans="12:18" ht="15.75" customHeight="1">
      <c r="L583" s="2"/>
      <c r="R583" s="2"/>
    </row>
    <row r="584" spans="12:18" ht="15.75" customHeight="1">
      <c r="L584" s="2"/>
      <c r="R584" s="2"/>
    </row>
    <row r="585" spans="12:18" ht="15.75" customHeight="1">
      <c r="L585" s="2"/>
      <c r="R585" s="2"/>
    </row>
    <row r="586" spans="12:18" ht="15.75" customHeight="1">
      <c r="L586" s="2"/>
      <c r="R586" s="2"/>
    </row>
    <row r="587" spans="12:18" ht="15.75" customHeight="1">
      <c r="L587" s="2"/>
      <c r="R587" s="2"/>
    </row>
    <row r="588" spans="12:18" ht="15.75" customHeight="1">
      <c r="L588" s="2"/>
      <c r="R588" s="2"/>
    </row>
    <row r="589" spans="12:18" ht="15.75" customHeight="1">
      <c r="L589" s="2"/>
      <c r="R589" s="2"/>
    </row>
    <row r="590" spans="12:18" ht="15.75" customHeight="1">
      <c r="L590" s="2"/>
      <c r="R590" s="2"/>
    </row>
    <row r="591" spans="12:18" ht="15.75" customHeight="1">
      <c r="L591" s="2"/>
      <c r="R591" s="2"/>
    </row>
    <row r="592" spans="12:18" ht="15.75" customHeight="1">
      <c r="L592" s="2"/>
      <c r="R592" s="2"/>
    </row>
    <row r="593" spans="12:18" ht="15.75" customHeight="1">
      <c r="L593" s="2"/>
      <c r="R593" s="2"/>
    </row>
    <row r="594" spans="12:18" ht="15.75" customHeight="1">
      <c r="L594" s="2"/>
      <c r="R594" s="2"/>
    </row>
    <row r="595" spans="12:18" ht="15.75" customHeight="1">
      <c r="L595" s="2"/>
      <c r="R595" s="2"/>
    </row>
    <row r="596" spans="12:18" ht="15.75" customHeight="1">
      <c r="L596" s="2"/>
      <c r="R596" s="2"/>
    </row>
    <row r="597" spans="12:18" ht="15.75" customHeight="1">
      <c r="L597" s="2"/>
      <c r="R597" s="2"/>
    </row>
    <row r="598" spans="12:18" ht="15.75" customHeight="1">
      <c r="L598" s="2"/>
      <c r="R598" s="2"/>
    </row>
    <row r="599" spans="12:18" ht="15.75" customHeight="1">
      <c r="L599" s="2"/>
      <c r="R599" s="2"/>
    </row>
    <row r="600" spans="12:18" ht="15.75" customHeight="1">
      <c r="L600" s="2"/>
      <c r="R600" s="2"/>
    </row>
    <row r="601" spans="12:18" ht="15.75" customHeight="1">
      <c r="L601" s="2"/>
      <c r="R601" s="2"/>
    </row>
    <row r="602" spans="12:18" ht="15.75" customHeight="1">
      <c r="L602" s="2"/>
      <c r="R602" s="2"/>
    </row>
    <row r="603" spans="12:18" ht="15.75" customHeight="1">
      <c r="L603" s="2"/>
      <c r="R603" s="2"/>
    </row>
    <row r="604" spans="12:18" ht="15.75" customHeight="1">
      <c r="L604" s="2"/>
      <c r="R604" s="2"/>
    </row>
    <row r="605" spans="12:18" ht="15.75" customHeight="1">
      <c r="L605" s="2"/>
      <c r="R605" s="2"/>
    </row>
    <row r="606" spans="12:18" ht="15.75" customHeight="1">
      <c r="L606" s="2"/>
      <c r="R606" s="2"/>
    </row>
    <row r="607" spans="12:18" ht="15.75" customHeight="1">
      <c r="L607" s="2"/>
      <c r="R607" s="2"/>
    </row>
    <row r="608" spans="12:18" ht="15.75" customHeight="1">
      <c r="L608" s="2"/>
      <c r="R608" s="2"/>
    </row>
    <row r="609" spans="12:18" ht="15.75" customHeight="1">
      <c r="L609" s="2"/>
      <c r="R609" s="2"/>
    </row>
    <row r="610" spans="12:18" ht="15.75" customHeight="1">
      <c r="L610" s="2"/>
      <c r="R610" s="2"/>
    </row>
    <row r="611" spans="12:18" ht="15.75" customHeight="1">
      <c r="L611" s="2"/>
      <c r="R611" s="2"/>
    </row>
    <row r="612" spans="12:18" ht="15.75" customHeight="1">
      <c r="L612" s="2"/>
      <c r="R612" s="2"/>
    </row>
    <row r="613" spans="12:18" ht="15.75" customHeight="1">
      <c r="L613" s="2"/>
      <c r="R613" s="2"/>
    </row>
    <row r="614" spans="12:18" ht="15.75" customHeight="1">
      <c r="L614" s="2"/>
      <c r="R614" s="2"/>
    </row>
    <row r="615" spans="12:18" ht="15.75" customHeight="1">
      <c r="L615" s="2"/>
      <c r="R615" s="2"/>
    </row>
    <row r="616" spans="12:18" ht="15.75" customHeight="1">
      <c r="L616" s="2"/>
      <c r="R616" s="2"/>
    </row>
    <row r="617" spans="12:18" ht="15.75" customHeight="1">
      <c r="L617" s="2"/>
      <c r="R617" s="2"/>
    </row>
    <row r="618" spans="12:18" ht="15.75" customHeight="1">
      <c r="L618" s="2"/>
      <c r="R618" s="2"/>
    </row>
    <row r="619" spans="12:18" ht="15.75" customHeight="1">
      <c r="L619" s="2"/>
      <c r="R619" s="2"/>
    </row>
    <row r="620" spans="12:18" ht="15.75" customHeight="1">
      <c r="L620" s="2"/>
      <c r="R620" s="2"/>
    </row>
    <row r="621" spans="12:18" ht="15.75" customHeight="1">
      <c r="L621" s="2"/>
      <c r="R621" s="2"/>
    </row>
    <row r="622" spans="12:18" ht="15.75" customHeight="1">
      <c r="L622" s="2"/>
      <c r="R622" s="2"/>
    </row>
    <row r="623" spans="12:18" ht="15.75" customHeight="1">
      <c r="L623" s="2"/>
      <c r="R623" s="2"/>
    </row>
    <row r="624" spans="12:18" ht="15.75" customHeight="1">
      <c r="L624" s="2"/>
      <c r="R624" s="2"/>
    </row>
    <row r="625" spans="12:18" ht="15.75" customHeight="1">
      <c r="L625" s="2"/>
      <c r="R625" s="2"/>
    </row>
    <row r="626" spans="12:18" ht="15.75" customHeight="1">
      <c r="L626" s="2"/>
      <c r="R626" s="2"/>
    </row>
    <row r="627" spans="12:18" ht="15.75" customHeight="1">
      <c r="L627" s="2"/>
      <c r="R627" s="2"/>
    </row>
    <row r="628" spans="12:18" ht="15.75" customHeight="1">
      <c r="L628" s="2"/>
      <c r="R628" s="2"/>
    </row>
    <row r="629" spans="12:18" ht="15.75" customHeight="1">
      <c r="L629" s="2"/>
      <c r="R629" s="2"/>
    </row>
    <row r="630" spans="12:18" ht="15.75" customHeight="1">
      <c r="L630" s="2"/>
      <c r="R630" s="2"/>
    </row>
    <row r="631" spans="12:18" ht="15.75" customHeight="1">
      <c r="L631" s="2"/>
      <c r="R631" s="2"/>
    </row>
    <row r="632" spans="12:18" ht="15.75" customHeight="1">
      <c r="L632" s="2"/>
      <c r="R632" s="2"/>
    </row>
    <row r="633" spans="12:18" ht="15.75" customHeight="1">
      <c r="L633" s="2"/>
      <c r="R633" s="2"/>
    </row>
    <row r="634" spans="12:18" ht="15.75" customHeight="1">
      <c r="L634" s="2"/>
      <c r="R634" s="2"/>
    </row>
    <row r="635" spans="12:18" ht="15.75" customHeight="1">
      <c r="L635" s="2"/>
      <c r="R635" s="2"/>
    </row>
    <row r="636" spans="12:18" ht="15.75" customHeight="1">
      <c r="L636" s="2"/>
      <c r="R636" s="2"/>
    </row>
    <row r="637" spans="12:18" ht="15.75" customHeight="1">
      <c r="L637" s="2"/>
      <c r="R637" s="2"/>
    </row>
    <row r="638" spans="12:18" ht="15.75" customHeight="1">
      <c r="L638" s="2"/>
      <c r="R638" s="2"/>
    </row>
    <row r="639" spans="12:18" ht="15.75" customHeight="1">
      <c r="L639" s="2"/>
      <c r="R639" s="2"/>
    </row>
    <row r="640" spans="12:18" ht="15.75" customHeight="1">
      <c r="L640" s="2"/>
      <c r="R640" s="2"/>
    </row>
    <row r="641" spans="12:18" ht="15.75" customHeight="1">
      <c r="L641" s="2"/>
      <c r="R641" s="2"/>
    </row>
    <row r="642" spans="12:18" ht="15.75" customHeight="1">
      <c r="L642" s="2"/>
      <c r="R642" s="2"/>
    </row>
    <row r="643" spans="12:18" ht="15.75" customHeight="1">
      <c r="L643" s="2"/>
      <c r="R643" s="2"/>
    </row>
    <row r="644" spans="12:18" ht="15.75" customHeight="1">
      <c r="L644" s="2"/>
      <c r="R644" s="2"/>
    </row>
    <row r="645" spans="12:18" ht="15.75" customHeight="1">
      <c r="L645" s="2"/>
      <c r="R645" s="2"/>
    </row>
    <row r="646" spans="12:18" ht="15.75" customHeight="1">
      <c r="L646" s="2"/>
      <c r="R646" s="2"/>
    </row>
    <row r="647" spans="12:18" ht="15.75" customHeight="1">
      <c r="L647" s="2"/>
      <c r="R647" s="2"/>
    </row>
    <row r="648" spans="12:18" ht="15.75" customHeight="1">
      <c r="L648" s="2"/>
      <c r="R648" s="2"/>
    </row>
    <row r="649" spans="12:18" ht="15.75" customHeight="1">
      <c r="L649" s="2"/>
      <c r="R649" s="2"/>
    </row>
    <row r="650" spans="12:18" ht="15.75" customHeight="1">
      <c r="L650" s="2"/>
      <c r="R650" s="2"/>
    </row>
    <row r="651" spans="12:18" ht="15.75" customHeight="1">
      <c r="L651" s="2"/>
      <c r="R651" s="2"/>
    </row>
    <row r="652" spans="12:18" ht="15.75" customHeight="1">
      <c r="L652" s="2"/>
      <c r="R652" s="2"/>
    </row>
    <row r="653" spans="12:18" ht="15.75" customHeight="1">
      <c r="L653" s="2"/>
      <c r="R653" s="2"/>
    </row>
    <row r="654" spans="12:18" ht="15.75" customHeight="1">
      <c r="L654" s="2"/>
      <c r="R654" s="2"/>
    </row>
    <row r="655" spans="12:18" ht="15.75" customHeight="1">
      <c r="L655" s="2"/>
      <c r="R655" s="2"/>
    </row>
    <row r="656" spans="12:18" ht="15.75" customHeight="1">
      <c r="L656" s="2"/>
      <c r="R656" s="2"/>
    </row>
    <row r="657" spans="12:18" ht="15.75" customHeight="1">
      <c r="L657" s="2"/>
      <c r="R657" s="2"/>
    </row>
    <row r="658" spans="12:18" ht="15.75" customHeight="1">
      <c r="L658" s="2"/>
      <c r="R658" s="2"/>
    </row>
    <row r="659" spans="12:18" ht="15.75" customHeight="1">
      <c r="L659" s="2"/>
      <c r="R659" s="2"/>
    </row>
    <row r="660" spans="12:18" ht="15.75" customHeight="1">
      <c r="L660" s="2"/>
      <c r="R660" s="2"/>
    </row>
    <row r="661" spans="12:18" ht="15.75" customHeight="1">
      <c r="L661" s="2"/>
      <c r="R661" s="2"/>
    </row>
    <row r="662" spans="12:18" ht="15.75" customHeight="1">
      <c r="L662" s="2"/>
      <c r="R662" s="2"/>
    </row>
    <row r="663" spans="12:18" ht="15.75" customHeight="1">
      <c r="L663" s="2"/>
      <c r="R663" s="2"/>
    </row>
    <row r="664" spans="12:18" ht="15.75" customHeight="1">
      <c r="L664" s="2"/>
      <c r="R664" s="2"/>
    </row>
    <row r="665" spans="12:18" ht="15.75" customHeight="1">
      <c r="L665" s="2"/>
      <c r="R665" s="2"/>
    </row>
    <row r="666" spans="12:18" ht="15.75" customHeight="1">
      <c r="L666" s="2"/>
      <c r="R666" s="2"/>
    </row>
    <row r="667" spans="12:18" ht="15.75" customHeight="1">
      <c r="L667" s="2"/>
      <c r="R667" s="2"/>
    </row>
    <row r="668" spans="12:18" ht="15.75" customHeight="1">
      <c r="L668" s="2"/>
      <c r="R668" s="2"/>
    </row>
    <row r="669" spans="12:18" ht="15.75" customHeight="1">
      <c r="L669" s="2"/>
      <c r="R669" s="2"/>
    </row>
    <row r="670" spans="12:18" ht="15.75" customHeight="1">
      <c r="L670" s="2"/>
      <c r="R670" s="2"/>
    </row>
    <row r="671" spans="12:18" ht="15.75" customHeight="1">
      <c r="L671" s="2"/>
      <c r="R671" s="2"/>
    </row>
    <row r="672" spans="12:18" ht="15.75" customHeight="1">
      <c r="L672" s="2"/>
      <c r="R672" s="2"/>
    </row>
    <row r="673" spans="12:18" ht="15.75" customHeight="1">
      <c r="L673" s="2"/>
      <c r="R673" s="2"/>
    </row>
    <row r="674" spans="12:18" ht="15.75" customHeight="1">
      <c r="L674" s="2"/>
      <c r="R674" s="2"/>
    </row>
    <row r="675" spans="12:18" ht="15.75" customHeight="1">
      <c r="L675" s="2"/>
      <c r="R675" s="2"/>
    </row>
    <row r="676" spans="12:18" ht="15.75" customHeight="1">
      <c r="L676" s="2"/>
      <c r="R676" s="2"/>
    </row>
    <row r="677" spans="12:18" ht="15.75" customHeight="1">
      <c r="L677" s="2"/>
      <c r="R677" s="2"/>
    </row>
    <row r="678" spans="12:18" ht="15.75" customHeight="1">
      <c r="L678" s="2"/>
      <c r="R678" s="2"/>
    </row>
    <row r="679" spans="12:18" ht="15.75" customHeight="1">
      <c r="L679" s="2"/>
      <c r="R679" s="2"/>
    </row>
    <row r="680" spans="12:18" ht="15.75" customHeight="1">
      <c r="L680" s="2"/>
      <c r="R680" s="2"/>
    </row>
    <row r="681" spans="12:18" ht="15.75" customHeight="1">
      <c r="L681" s="2"/>
      <c r="R681" s="2"/>
    </row>
    <row r="682" spans="12:18" ht="15.75" customHeight="1">
      <c r="L682" s="2"/>
      <c r="R682" s="2"/>
    </row>
    <row r="683" spans="12:18" ht="15.75" customHeight="1">
      <c r="L683" s="2"/>
      <c r="R683" s="2"/>
    </row>
    <row r="684" spans="12:18" ht="15.75" customHeight="1">
      <c r="L684" s="2"/>
      <c r="R684" s="2"/>
    </row>
    <row r="685" spans="12:18" ht="15.75" customHeight="1">
      <c r="L685" s="2"/>
      <c r="R685" s="2"/>
    </row>
    <row r="686" spans="12:18" ht="15.75" customHeight="1">
      <c r="L686" s="2"/>
      <c r="R686" s="2"/>
    </row>
    <row r="687" spans="12:18" ht="15.75" customHeight="1">
      <c r="L687" s="2"/>
      <c r="R687" s="2"/>
    </row>
    <row r="688" spans="12:18" ht="15.75" customHeight="1">
      <c r="L688" s="2"/>
      <c r="R688" s="2"/>
    </row>
    <row r="689" spans="12:18" ht="15.75" customHeight="1">
      <c r="L689" s="2"/>
      <c r="R689" s="2"/>
    </row>
    <row r="690" spans="12:18" ht="15.75" customHeight="1">
      <c r="L690" s="2"/>
      <c r="R690" s="2"/>
    </row>
    <row r="691" spans="12:18" ht="15.75" customHeight="1">
      <c r="L691" s="2"/>
      <c r="R691" s="2"/>
    </row>
    <row r="692" spans="12:18" ht="15.75" customHeight="1">
      <c r="L692" s="2"/>
      <c r="R692" s="2"/>
    </row>
    <row r="693" spans="12:18" ht="15.75" customHeight="1">
      <c r="L693" s="2"/>
      <c r="R693" s="2"/>
    </row>
    <row r="694" spans="12:18" ht="15.75" customHeight="1">
      <c r="L694" s="2"/>
      <c r="R694" s="2"/>
    </row>
    <row r="695" spans="12:18" ht="15.75" customHeight="1">
      <c r="L695" s="2"/>
      <c r="R695" s="2"/>
    </row>
    <row r="696" spans="12:18" ht="15.75" customHeight="1">
      <c r="L696" s="2"/>
      <c r="R696" s="2"/>
    </row>
    <row r="697" spans="12:18" ht="15.75" customHeight="1">
      <c r="L697" s="2"/>
      <c r="R697" s="2"/>
    </row>
    <row r="698" spans="12:18" ht="15.75" customHeight="1">
      <c r="L698" s="2"/>
      <c r="R698" s="2"/>
    </row>
    <row r="699" spans="12:18" ht="15.75" customHeight="1">
      <c r="L699" s="2"/>
      <c r="R699" s="2"/>
    </row>
    <row r="700" spans="12:18" ht="15.75" customHeight="1">
      <c r="L700" s="2"/>
      <c r="R700" s="2"/>
    </row>
    <row r="701" spans="12:18" ht="15.75" customHeight="1">
      <c r="L701" s="2"/>
      <c r="R701" s="2"/>
    </row>
    <row r="702" spans="12:18" ht="15.75" customHeight="1">
      <c r="L702" s="2"/>
      <c r="R702" s="2"/>
    </row>
    <row r="703" spans="12:18" ht="15.75" customHeight="1">
      <c r="L703" s="2"/>
      <c r="R703" s="2"/>
    </row>
    <row r="704" spans="12:18" ht="15.75" customHeight="1">
      <c r="L704" s="2"/>
      <c r="R704" s="2"/>
    </row>
    <row r="705" spans="12:18" ht="15.75" customHeight="1">
      <c r="L705" s="2"/>
      <c r="R705" s="2"/>
    </row>
    <row r="706" spans="12:18" ht="15.75" customHeight="1">
      <c r="L706" s="2"/>
      <c r="R706" s="2"/>
    </row>
    <row r="707" spans="12:18" ht="15.75" customHeight="1">
      <c r="L707" s="2"/>
      <c r="R707" s="2"/>
    </row>
    <row r="708" spans="12:18" ht="15.75" customHeight="1">
      <c r="L708" s="2"/>
      <c r="R708" s="2"/>
    </row>
    <row r="709" spans="12:18" ht="15.75" customHeight="1">
      <c r="L709" s="2"/>
      <c r="R709" s="2"/>
    </row>
    <row r="710" spans="12:18" ht="15.75" customHeight="1">
      <c r="L710" s="2"/>
      <c r="R710" s="2"/>
    </row>
    <row r="711" spans="12:18" ht="15.75" customHeight="1">
      <c r="L711" s="2"/>
      <c r="R711" s="2"/>
    </row>
    <row r="712" spans="12:18" ht="15.75" customHeight="1">
      <c r="L712" s="2"/>
      <c r="R712" s="2"/>
    </row>
    <row r="713" spans="12:18" ht="15.75" customHeight="1">
      <c r="L713" s="2"/>
      <c r="R713" s="2"/>
    </row>
    <row r="714" spans="12:18" ht="15.75" customHeight="1">
      <c r="L714" s="2"/>
      <c r="R714" s="2"/>
    </row>
    <row r="715" spans="12:18" ht="15.75" customHeight="1">
      <c r="L715" s="2"/>
      <c r="R715" s="2"/>
    </row>
    <row r="716" spans="12:18" ht="15.75" customHeight="1">
      <c r="L716" s="2"/>
      <c r="R716" s="2"/>
    </row>
    <row r="717" spans="12:18" ht="15.75" customHeight="1">
      <c r="L717" s="2"/>
      <c r="R717" s="2"/>
    </row>
    <row r="718" spans="12:18" ht="15.75" customHeight="1">
      <c r="L718" s="2"/>
      <c r="R718" s="2"/>
    </row>
    <row r="719" spans="12:18" ht="15.75" customHeight="1">
      <c r="L719" s="2"/>
      <c r="R719" s="2"/>
    </row>
    <row r="720" spans="12:18" ht="15.75" customHeight="1">
      <c r="L720" s="2"/>
      <c r="R720" s="2"/>
    </row>
    <row r="721" spans="12:18" ht="15.75" customHeight="1">
      <c r="L721" s="2"/>
      <c r="R721" s="2"/>
    </row>
    <row r="722" spans="12:18" ht="15.75" customHeight="1">
      <c r="L722" s="2"/>
      <c r="R722" s="2"/>
    </row>
    <row r="723" spans="12:18" ht="15.75" customHeight="1">
      <c r="L723" s="2"/>
      <c r="R723" s="2"/>
    </row>
    <row r="724" spans="12:18" ht="15.75" customHeight="1">
      <c r="L724" s="2"/>
      <c r="R724" s="2"/>
    </row>
    <row r="725" spans="12:18" ht="15.75" customHeight="1">
      <c r="L725" s="2"/>
      <c r="R725" s="2"/>
    </row>
    <row r="726" spans="12:18" ht="15.75" customHeight="1">
      <c r="L726" s="2"/>
      <c r="R726" s="2"/>
    </row>
    <row r="727" spans="12:18" ht="15.75" customHeight="1">
      <c r="L727" s="2"/>
      <c r="R727" s="2"/>
    </row>
    <row r="728" spans="12:18" ht="15.75" customHeight="1">
      <c r="L728" s="2"/>
      <c r="R728" s="2"/>
    </row>
    <row r="729" spans="12:18" ht="15.75" customHeight="1">
      <c r="L729" s="2"/>
      <c r="R729" s="2"/>
    </row>
    <row r="730" spans="12:18" ht="15.75" customHeight="1">
      <c r="L730" s="2"/>
      <c r="R730" s="2"/>
    </row>
    <row r="731" spans="12:18" ht="15.75" customHeight="1">
      <c r="L731" s="2"/>
      <c r="R731" s="2"/>
    </row>
    <row r="732" spans="12:18" ht="15.75" customHeight="1">
      <c r="L732" s="2"/>
      <c r="R732" s="2"/>
    </row>
    <row r="733" spans="12:18" ht="15.75" customHeight="1">
      <c r="L733" s="2"/>
      <c r="R733" s="2"/>
    </row>
    <row r="734" spans="12:18" ht="15.75" customHeight="1">
      <c r="L734" s="2"/>
      <c r="R734" s="2"/>
    </row>
    <row r="735" spans="12:18" ht="15.75" customHeight="1">
      <c r="L735" s="2"/>
      <c r="R735" s="2"/>
    </row>
    <row r="736" spans="12:18" ht="15.75" customHeight="1">
      <c r="L736" s="2"/>
      <c r="R736" s="2"/>
    </row>
    <row r="737" spans="12:18" ht="15.75" customHeight="1">
      <c r="L737" s="2"/>
      <c r="R737" s="2"/>
    </row>
    <row r="738" spans="12:18" ht="15.75" customHeight="1">
      <c r="L738" s="2"/>
      <c r="R738" s="2"/>
    </row>
    <row r="739" spans="12:18" ht="15.75" customHeight="1">
      <c r="L739" s="2"/>
      <c r="R739" s="2"/>
    </row>
    <row r="740" spans="12:18" ht="15.75" customHeight="1">
      <c r="L740" s="2"/>
      <c r="R740" s="2"/>
    </row>
    <row r="741" spans="12:18" ht="15.75" customHeight="1">
      <c r="L741" s="2"/>
      <c r="R741" s="2"/>
    </row>
    <row r="742" spans="12:18" ht="15.75" customHeight="1">
      <c r="L742" s="2"/>
      <c r="R742" s="2"/>
    </row>
    <row r="743" spans="12:18" ht="15.75" customHeight="1">
      <c r="L743" s="2"/>
      <c r="R743" s="2"/>
    </row>
    <row r="744" spans="12:18" ht="15.75" customHeight="1">
      <c r="L744" s="2"/>
      <c r="R744" s="2"/>
    </row>
    <row r="745" spans="12:18" ht="15.75" customHeight="1">
      <c r="L745" s="2"/>
      <c r="R745" s="2"/>
    </row>
    <row r="746" spans="12:18" ht="15.75" customHeight="1">
      <c r="L746" s="2"/>
      <c r="R746" s="2"/>
    </row>
    <row r="747" spans="12:18" ht="15.75" customHeight="1">
      <c r="L747" s="2"/>
      <c r="R747" s="2"/>
    </row>
    <row r="748" spans="12:18" ht="15.75" customHeight="1">
      <c r="L748" s="2"/>
      <c r="R748" s="2"/>
    </row>
    <row r="749" spans="12:18" ht="15.75" customHeight="1">
      <c r="L749" s="2"/>
      <c r="R749" s="2"/>
    </row>
    <row r="750" spans="12:18" ht="15.75" customHeight="1">
      <c r="L750" s="2"/>
      <c r="R750" s="2"/>
    </row>
    <row r="751" spans="12:18" ht="15.75" customHeight="1">
      <c r="L751" s="2"/>
      <c r="R751" s="2"/>
    </row>
    <row r="752" spans="12:18" ht="15.75" customHeight="1">
      <c r="L752" s="2"/>
      <c r="R752" s="2"/>
    </row>
    <row r="753" spans="12:18" ht="15.75" customHeight="1">
      <c r="L753" s="2"/>
      <c r="R753" s="2"/>
    </row>
    <row r="754" spans="12:18" ht="15.75" customHeight="1">
      <c r="L754" s="2"/>
      <c r="R754" s="2"/>
    </row>
    <row r="755" spans="12:18" ht="15.75" customHeight="1">
      <c r="L755" s="2"/>
      <c r="R755" s="2"/>
    </row>
    <row r="756" spans="12:18" ht="15.75" customHeight="1">
      <c r="L756" s="2"/>
      <c r="R756" s="2"/>
    </row>
    <row r="757" spans="12:18" ht="15.75" customHeight="1">
      <c r="L757" s="2"/>
      <c r="R757" s="2"/>
    </row>
    <row r="758" spans="12:18" ht="15.75" customHeight="1">
      <c r="L758" s="2"/>
      <c r="R758" s="2"/>
    </row>
    <row r="759" spans="12:18" ht="15.75" customHeight="1">
      <c r="L759" s="2"/>
      <c r="R759" s="2"/>
    </row>
    <row r="760" spans="12:18" ht="15.75" customHeight="1">
      <c r="L760" s="2"/>
      <c r="R760" s="2"/>
    </row>
    <row r="761" spans="12:18" ht="15.75" customHeight="1">
      <c r="L761" s="2"/>
      <c r="R761" s="2"/>
    </row>
    <row r="762" spans="12:18" ht="15.75" customHeight="1">
      <c r="L762" s="2"/>
      <c r="R762" s="2"/>
    </row>
    <row r="763" spans="12:18" ht="15.75" customHeight="1">
      <c r="L763" s="2"/>
      <c r="R763" s="2"/>
    </row>
    <row r="764" spans="12:18" ht="15.75" customHeight="1">
      <c r="L764" s="2"/>
      <c r="R764" s="2"/>
    </row>
    <row r="765" spans="12:18" ht="15.75" customHeight="1">
      <c r="L765" s="2"/>
      <c r="R765" s="2"/>
    </row>
    <row r="766" spans="12:18" ht="15.75" customHeight="1">
      <c r="L766" s="2"/>
      <c r="R766" s="2"/>
    </row>
    <row r="767" spans="12:18" ht="15.75" customHeight="1">
      <c r="L767" s="2"/>
      <c r="R767" s="2"/>
    </row>
    <row r="768" spans="12:18" ht="15.75" customHeight="1">
      <c r="L768" s="2"/>
      <c r="R768" s="2"/>
    </row>
    <row r="769" spans="12:18" ht="15.75" customHeight="1">
      <c r="L769" s="2"/>
      <c r="R769" s="2"/>
    </row>
    <row r="770" spans="12:18" ht="15.75" customHeight="1">
      <c r="L770" s="2"/>
      <c r="R770" s="2"/>
    </row>
    <row r="771" spans="12:18" ht="15.75" customHeight="1">
      <c r="L771" s="2"/>
      <c r="R771" s="2"/>
    </row>
    <row r="772" spans="12:18" ht="15.75" customHeight="1">
      <c r="L772" s="2"/>
      <c r="R772" s="2"/>
    </row>
    <row r="773" spans="12:18" ht="15.75" customHeight="1">
      <c r="L773" s="2"/>
      <c r="R773" s="2"/>
    </row>
    <row r="774" spans="12:18" ht="15.75" customHeight="1">
      <c r="L774" s="2"/>
      <c r="R774" s="2"/>
    </row>
    <row r="775" spans="12:18" ht="15.75" customHeight="1">
      <c r="L775" s="2"/>
      <c r="R775" s="2"/>
    </row>
    <row r="776" spans="12:18" ht="15.75" customHeight="1">
      <c r="L776" s="2"/>
      <c r="R776" s="2"/>
    </row>
    <row r="777" spans="12:18" ht="15.75" customHeight="1">
      <c r="L777" s="2"/>
      <c r="R777" s="2"/>
    </row>
    <row r="778" spans="12:18" ht="15.75" customHeight="1">
      <c r="L778" s="2"/>
      <c r="R778" s="2"/>
    </row>
    <row r="779" spans="12:18" ht="15.75" customHeight="1">
      <c r="L779" s="2"/>
      <c r="R779" s="2"/>
    </row>
    <row r="780" spans="12:18" ht="15.75" customHeight="1">
      <c r="L780" s="2"/>
      <c r="R780" s="2"/>
    </row>
    <row r="781" spans="12:18" ht="15.75" customHeight="1">
      <c r="L781" s="2"/>
      <c r="R781" s="2"/>
    </row>
    <row r="782" spans="12:18" ht="15.75" customHeight="1">
      <c r="L782" s="2"/>
      <c r="R782" s="2"/>
    </row>
    <row r="783" spans="12:18" ht="15.75" customHeight="1">
      <c r="L783" s="2"/>
      <c r="R783" s="2"/>
    </row>
    <row r="784" spans="12:18" ht="15.75" customHeight="1">
      <c r="L784" s="2"/>
      <c r="R784" s="2"/>
    </row>
    <row r="785" spans="12:18" ht="15.75" customHeight="1">
      <c r="L785" s="2"/>
      <c r="R785" s="2"/>
    </row>
    <row r="786" spans="12:18" ht="15.75" customHeight="1">
      <c r="L786" s="2"/>
      <c r="R786" s="2"/>
    </row>
    <row r="787" spans="12:18" ht="15.75" customHeight="1">
      <c r="L787" s="2"/>
      <c r="R787" s="2"/>
    </row>
    <row r="788" spans="12:18" ht="15.75" customHeight="1">
      <c r="L788" s="2"/>
      <c r="R788" s="2"/>
    </row>
    <row r="789" spans="12:18" ht="15.75" customHeight="1">
      <c r="L789" s="2"/>
      <c r="R789" s="2"/>
    </row>
    <row r="790" spans="12:18" ht="15.75" customHeight="1">
      <c r="L790" s="2"/>
      <c r="R790" s="2"/>
    </row>
    <row r="791" spans="12:18" ht="15.75" customHeight="1">
      <c r="L791" s="2"/>
      <c r="R791" s="2"/>
    </row>
    <row r="792" spans="12:18" ht="15.75" customHeight="1">
      <c r="L792" s="2"/>
      <c r="R792" s="2"/>
    </row>
    <row r="793" spans="12:18" ht="15.75" customHeight="1">
      <c r="L793" s="2"/>
      <c r="R793" s="2"/>
    </row>
    <row r="794" spans="12:18" ht="15.75" customHeight="1">
      <c r="L794" s="2"/>
      <c r="R794" s="2"/>
    </row>
    <row r="795" spans="12:18" ht="15.75" customHeight="1">
      <c r="L795" s="2"/>
      <c r="R795" s="2"/>
    </row>
    <row r="796" spans="12:18" ht="15.75" customHeight="1">
      <c r="L796" s="2"/>
      <c r="R796" s="2"/>
    </row>
    <row r="797" spans="12:18" ht="15.75" customHeight="1">
      <c r="L797" s="2"/>
      <c r="R797" s="2"/>
    </row>
    <row r="798" spans="12:18" ht="15.75" customHeight="1">
      <c r="L798" s="2"/>
      <c r="R798" s="2"/>
    </row>
    <row r="799" spans="12:18" ht="15.75" customHeight="1">
      <c r="L799" s="2"/>
      <c r="R799" s="2"/>
    </row>
    <row r="800" spans="12:18" ht="15.75" customHeight="1">
      <c r="L800" s="2"/>
      <c r="R800" s="2"/>
    </row>
    <row r="801" spans="12:18" ht="15.75" customHeight="1">
      <c r="L801" s="2"/>
      <c r="R801" s="2"/>
    </row>
    <row r="802" spans="12:18" ht="15.75" customHeight="1">
      <c r="L802" s="2"/>
      <c r="R802" s="2"/>
    </row>
    <row r="803" spans="12:18" ht="15.75" customHeight="1">
      <c r="L803" s="2"/>
      <c r="R803" s="2"/>
    </row>
    <row r="804" spans="12:18" ht="15.75" customHeight="1">
      <c r="L804" s="2"/>
      <c r="R804" s="2"/>
    </row>
    <row r="805" spans="12:18" ht="15.75" customHeight="1">
      <c r="L805" s="2"/>
      <c r="R805" s="2"/>
    </row>
    <row r="806" spans="12:18" ht="15.75" customHeight="1">
      <c r="L806" s="2"/>
      <c r="R806" s="2"/>
    </row>
    <row r="807" spans="12:18" ht="15.75" customHeight="1">
      <c r="L807" s="2"/>
      <c r="R807" s="2"/>
    </row>
    <row r="808" spans="12:18" ht="15.75" customHeight="1">
      <c r="L808" s="2"/>
      <c r="R808" s="2"/>
    </row>
    <row r="809" spans="12:18" ht="15.75" customHeight="1">
      <c r="L809" s="2"/>
      <c r="R809" s="2"/>
    </row>
    <row r="810" spans="12:18" ht="15.75" customHeight="1">
      <c r="L810" s="2"/>
      <c r="R810" s="2"/>
    </row>
    <row r="811" spans="12:18" ht="15.75" customHeight="1">
      <c r="L811" s="2"/>
      <c r="R811" s="2"/>
    </row>
    <row r="812" spans="12:18" ht="15.75" customHeight="1">
      <c r="L812" s="2"/>
      <c r="R812" s="2"/>
    </row>
    <row r="813" spans="12:18" ht="15.75" customHeight="1">
      <c r="L813" s="2"/>
      <c r="R813" s="2"/>
    </row>
    <row r="814" spans="12:18" ht="15.75" customHeight="1">
      <c r="L814" s="2"/>
      <c r="R814" s="2"/>
    </row>
    <row r="815" spans="12:18" ht="15.75" customHeight="1">
      <c r="L815" s="2"/>
      <c r="R815" s="2"/>
    </row>
    <row r="816" spans="12:18" ht="15.75" customHeight="1">
      <c r="L816" s="2"/>
      <c r="R816" s="2"/>
    </row>
    <row r="817" spans="12:18" ht="15.75" customHeight="1">
      <c r="L817" s="2"/>
      <c r="R817" s="2"/>
    </row>
    <row r="818" spans="12:18" ht="15.75" customHeight="1">
      <c r="L818" s="2"/>
      <c r="R818" s="2"/>
    </row>
    <row r="819" spans="12:18" ht="15.75" customHeight="1">
      <c r="L819" s="2"/>
      <c r="R819" s="2"/>
    </row>
    <row r="820" spans="12:18" ht="15.75" customHeight="1">
      <c r="L820" s="2"/>
      <c r="R820" s="2"/>
    </row>
    <row r="821" spans="12:18" ht="15.75" customHeight="1">
      <c r="L821" s="2"/>
      <c r="R821" s="2"/>
    </row>
    <row r="822" spans="12:18" ht="15.75" customHeight="1">
      <c r="L822" s="2"/>
      <c r="R822" s="2"/>
    </row>
    <row r="823" spans="12:18" ht="15.75" customHeight="1">
      <c r="L823" s="2"/>
      <c r="R823" s="2"/>
    </row>
    <row r="824" spans="12:18" ht="15.75" customHeight="1">
      <c r="L824" s="2"/>
      <c r="R824" s="2"/>
    </row>
    <row r="825" spans="12:18" ht="15.75" customHeight="1">
      <c r="L825" s="2"/>
      <c r="R825" s="2"/>
    </row>
    <row r="826" spans="12:18" ht="15.75" customHeight="1">
      <c r="L826" s="2"/>
      <c r="R826" s="2"/>
    </row>
    <row r="827" spans="12:18" ht="15.75" customHeight="1">
      <c r="L827" s="2"/>
      <c r="R827" s="2"/>
    </row>
    <row r="828" spans="12:18" ht="15.75" customHeight="1">
      <c r="L828" s="2"/>
      <c r="R828" s="2"/>
    </row>
    <row r="829" spans="12:18" ht="15.75" customHeight="1">
      <c r="L829" s="2"/>
      <c r="R829" s="2"/>
    </row>
    <row r="830" spans="12:18" ht="15.75" customHeight="1">
      <c r="L830" s="2"/>
      <c r="R830" s="2"/>
    </row>
    <row r="831" spans="12:18" ht="15.75" customHeight="1">
      <c r="L831" s="2"/>
      <c r="R831" s="2"/>
    </row>
    <row r="832" spans="12:18" ht="15.75" customHeight="1">
      <c r="L832" s="2"/>
      <c r="R832" s="2"/>
    </row>
    <row r="833" spans="12:18" ht="15.75" customHeight="1">
      <c r="L833" s="2"/>
      <c r="R833" s="2"/>
    </row>
    <row r="834" spans="12:18" ht="15.75" customHeight="1">
      <c r="L834" s="2"/>
      <c r="R834" s="2"/>
    </row>
    <row r="835" spans="12:18" ht="15.75" customHeight="1">
      <c r="L835" s="2"/>
      <c r="R835" s="2"/>
    </row>
    <row r="836" spans="12:18" ht="15.75" customHeight="1">
      <c r="L836" s="2"/>
      <c r="R836" s="2"/>
    </row>
    <row r="837" spans="12:18" ht="15.75" customHeight="1">
      <c r="L837" s="2"/>
      <c r="R837" s="2"/>
    </row>
    <row r="838" spans="12:18" ht="15.75" customHeight="1">
      <c r="L838" s="2"/>
      <c r="R838" s="2"/>
    </row>
    <row r="839" spans="12:18" ht="15.75" customHeight="1">
      <c r="L839" s="2"/>
      <c r="R839" s="2"/>
    </row>
    <row r="840" spans="12:18" ht="15.75" customHeight="1">
      <c r="L840" s="2"/>
      <c r="R840" s="2"/>
    </row>
    <row r="841" spans="12:18" ht="15.75" customHeight="1">
      <c r="L841" s="2"/>
      <c r="R841" s="2"/>
    </row>
    <row r="842" spans="12:18" ht="15.75" customHeight="1">
      <c r="L842" s="2"/>
      <c r="R842" s="2"/>
    </row>
    <row r="843" spans="12:18" ht="15.75" customHeight="1">
      <c r="L843" s="2"/>
      <c r="R843" s="2"/>
    </row>
    <row r="844" spans="12:18" ht="15.75" customHeight="1">
      <c r="L844" s="2"/>
      <c r="R844" s="2"/>
    </row>
    <row r="845" spans="12:18" ht="15.75" customHeight="1">
      <c r="L845" s="2"/>
      <c r="R845" s="2"/>
    </row>
    <row r="846" spans="12:18" ht="15.75" customHeight="1">
      <c r="L846" s="2"/>
      <c r="R846" s="2"/>
    </row>
    <row r="847" spans="12:18" ht="15.75" customHeight="1">
      <c r="L847" s="2"/>
      <c r="R847" s="2"/>
    </row>
    <row r="848" spans="12:18" ht="15.75" customHeight="1">
      <c r="L848" s="2"/>
      <c r="R848" s="2"/>
    </row>
    <row r="849" spans="12:18" ht="15.75" customHeight="1">
      <c r="L849" s="2"/>
      <c r="R849" s="2"/>
    </row>
    <row r="850" spans="12:18" ht="15.75" customHeight="1">
      <c r="L850" s="2"/>
      <c r="R850" s="2"/>
    </row>
    <row r="851" spans="12:18" ht="15.75" customHeight="1">
      <c r="L851" s="2"/>
      <c r="R851" s="2"/>
    </row>
    <row r="852" spans="12:18" ht="15.75" customHeight="1">
      <c r="L852" s="2"/>
      <c r="R852" s="2"/>
    </row>
    <row r="853" spans="12:18" ht="15.75" customHeight="1">
      <c r="L853" s="2"/>
      <c r="R853" s="2"/>
    </row>
    <row r="854" spans="12:18" ht="15.75" customHeight="1">
      <c r="L854" s="2"/>
      <c r="R854" s="2"/>
    </row>
    <row r="855" spans="12:18" ht="15.75" customHeight="1">
      <c r="L855" s="2"/>
      <c r="R855" s="2"/>
    </row>
    <row r="856" spans="12:18" ht="15.75" customHeight="1">
      <c r="L856" s="2"/>
      <c r="R856" s="2"/>
    </row>
    <row r="857" spans="12:18" ht="15.75" customHeight="1">
      <c r="L857" s="2"/>
      <c r="R857" s="2"/>
    </row>
    <row r="858" spans="12:18" ht="15.75" customHeight="1">
      <c r="L858" s="2"/>
      <c r="R858" s="2"/>
    </row>
    <row r="859" spans="12:18" ht="15.75" customHeight="1">
      <c r="L859" s="2"/>
      <c r="R859" s="2"/>
    </row>
    <row r="860" spans="12:18" ht="15.75" customHeight="1">
      <c r="L860" s="2"/>
      <c r="R860" s="2"/>
    </row>
    <row r="861" spans="12:18" ht="15.75" customHeight="1">
      <c r="L861" s="2"/>
      <c r="R861" s="2"/>
    </row>
    <row r="862" spans="12:18" ht="15.75" customHeight="1">
      <c r="L862" s="2"/>
      <c r="R862" s="2"/>
    </row>
    <row r="863" spans="12:18" ht="15.75" customHeight="1">
      <c r="L863" s="2"/>
      <c r="R863" s="2"/>
    </row>
    <row r="864" spans="12:18" ht="15.75" customHeight="1">
      <c r="L864" s="2"/>
      <c r="R864" s="2"/>
    </row>
    <row r="865" spans="12:18" ht="15.75" customHeight="1">
      <c r="L865" s="2"/>
      <c r="R865" s="2"/>
    </row>
    <row r="866" spans="12:18" ht="15.75" customHeight="1">
      <c r="L866" s="2"/>
      <c r="R866" s="2"/>
    </row>
    <row r="867" spans="12:18" ht="15.75" customHeight="1">
      <c r="L867" s="2"/>
      <c r="R867" s="2"/>
    </row>
    <row r="868" spans="12:18" ht="15.75" customHeight="1">
      <c r="L868" s="2"/>
      <c r="R868" s="2"/>
    </row>
    <row r="869" spans="12:18" ht="15.75" customHeight="1">
      <c r="L869" s="2"/>
      <c r="R869" s="2"/>
    </row>
    <row r="870" spans="12:18" ht="15.75" customHeight="1">
      <c r="L870" s="2"/>
      <c r="R870" s="2"/>
    </row>
    <row r="871" spans="12:18" ht="15.75" customHeight="1">
      <c r="L871" s="2"/>
      <c r="R871" s="2"/>
    </row>
    <row r="872" spans="12:18" ht="15.75" customHeight="1">
      <c r="L872" s="2"/>
      <c r="R872" s="2"/>
    </row>
    <row r="873" spans="12:18" ht="15.75" customHeight="1">
      <c r="L873" s="2"/>
      <c r="R873" s="2"/>
    </row>
    <row r="874" spans="12:18" ht="15.75" customHeight="1">
      <c r="L874" s="2"/>
      <c r="R874" s="2"/>
    </row>
    <row r="875" spans="12:18" ht="15.75" customHeight="1">
      <c r="L875" s="2"/>
      <c r="R875" s="2"/>
    </row>
    <row r="876" spans="12:18" ht="15.75" customHeight="1">
      <c r="L876" s="2"/>
      <c r="R876" s="2"/>
    </row>
    <row r="877" spans="12:18" ht="15.75" customHeight="1">
      <c r="L877" s="2"/>
      <c r="R877" s="2"/>
    </row>
    <row r="878" spans="12:18" ht="15.75" customHeight="1">
      <c r="L878" s="2"/>
      <c r="R878" s="2"/>
    </row>
    <row r="879" spans="12:18" ht="15.75" customHeight="1">
      <c r="L879" s="2"/>
      <c r="R879" s="2"/>
    </row>
    <row r="880" spans="12:18" ht="15.75" customHeight="1">
      <c r="L880" s="2"/>
      <c r="R880" s="2"/>
    </row>
    <row r="881" spans="12:18" ht="15.75" customHeight="1">
      <c r="L881" s="2"/>
      <c r="R881" s="2"/>
    </row>
    <row r="882" spans="12:18" ht="15.75" customHeight="1">
      <c r="L882" s="2"/>
      <c r="R882" s="2"/>
    </row>
    <row r="883" spans="12:18" ht="15.75" customHeight="1">
      <c r="L883" s="2"/>
      <c r="R883" s="2"/>
    </row>
    <row r="884" spans="12:18" ht="15.75" customHeight="1">
      <c r="L884" s="2"/>
      <c r="R884" s="2"/>
    </row>
    <row r="885" spans="12:18" ht="15.75" customHeight="1">
      <c r="L885" s="2"/>
      <c r="R885" s="2"/>
    </row>
    <row r="886" spans="12:18" ht="15.75" customHeight="1">
      <c r="L886" s="2"/>
      <c r="R886" s="2"/>
    </row>
    <row r="887" spans="12:18" ht="15.75" customHeight="1">
      <c r="L887" s="2"/>
      <c r="R887" s="2"/>
    </row>
    <row r="888" spans="12:18" ht="15.75" customHeight="1">
      <c r="L888" s="2"/>
      <c r="R888" s="2"/>
    </row>
    <row r="889" spans="12:18" ht="15.75" customHeight="1">
      <c r="L889" s="2"/>
      <c r="R889" s="2"/>
    </row>
    <row r="890" spans="12:18" ht="15.75" customHeight="1">
      <c r="L890" s="2"/>
      <c r="R890" s="2"/>
    </row>
  </sheetData>
  <mergeCells count="603">
    <mergeCell ref="F256:F257"/>
    <mergeCell ref="A244:A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A250:A251"/>
    <mergeCell ref="B250:B251"/>
    <mergeCell ref="C250:C251"/>
    <mergeCell ref="D248:D249"/>
    <mergeCell ref="E248:E249"/>
    <mergeCell ref="D250:D251"/>
    <mergeCell ref="E250:E251"/>
    <mergeCell ref="D242:D243"/>
    <mergeCell ref="E242:E243"/>
    <mergeCell ref="D244:D245"/>
    <mergeCell ref="E244:E245"/>
    <mergeCell ref="A236:A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A242:A243"/>
    <mergeCell ref="B242:B243"/>
    <mergeCell ref="C242:C243"/>
    <mergeCell ref="B244:B245"/>
    <mergeCell ref="C244:C245"/>
    <mergeCell ref="B204:B205"/>
    <mergeCell ref="C204:C205"/>
    <mergeCell ref="A206:A207"/>
    <mergeCell ref="B206:B207"/>
    <mergeCell ref="C206:C207"/>
    <mergeCell ref="D206:D207"/>
    <mergeCell ref="E206:E207"/>
    <mergeCell ref="D222:D223"/>
    <mergeCell ref="E222:E223"/>
    <mergeCell ref="B222:B223"/>
    <mergeCell ref="C222:C223"/>
    <mergeCell ref="D198:D199"/>
    <mergeCell ref="E198:E199"/>
    <mergeCell ref="D200:D201"/>
    <mergeCell ref="E200:E201"/>
    <mergeCell ref="A192:A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A198:A199"/>
    <mergeCell ref="B198:B199"/>
    <mergeCell ref="C198:C199"/>
    <mergeCell ref="B200:B201"/>
    <mergeCell ref="C200:C201"/>
    <mergeCell ref="D192:D193"/>
    <mergeCell ref="A190:A191"/>
    <mergeCell ref="B190:B191"/>
    <mergeCell ref="C190:C191"/>
    <mergeCell ref="D190:D191"/>
    <mergeCell ref="E190:E191"/>
    <mergeCell ref="B192:B193"/>
    <mergeCell ref="E192:E193"/>
    <mergeCell ref="D196:D197"/>
    <mergeCell ref="E196:E197"/>
    <mergeCell ref="A179:A181"/>
    <mergeCell ref="A182:A183"/>
    <mergeCell ref="B182:B183"/>
    <mergeCell ref="C182:C183"/>
    <mergeCell ref="A184:A185"/>
    <mergeCell ref="B184:B185"/>
    <mergeCell ref="C184:C185"/>
    <mergeCell ref="D204:D205"/>
    <mergeCell ref="E204:E205"/>
    <mergeCell ref="A200:A201"/>
    <mergeCell ref="A202:A203"/>
    <mergeCell ref="B202:B203"/>
    <mergeCell ref="C202:C203"/>
    <mergeCell ref="D202:D203"/>
    <mergeCell ref="E202:E203"/>
    <mergeCell ref="A204:A205"/>
    <mergeCell ref="A186:A187"/>
    <mergeCell ref="B186:B187"/>
    <mergeCell ref="C186:C187"/>
    <mergeCell ref="D186:D187"/>
    <mergeCell ref="E186:E187"/>
    <mergeCell ref="B188:B189"/>
    <mergeCell ref="D188:D189"/>
    <mergeCell ref="C192:C193"/>
    <mergeCell ref="B179:B181"/>
    <mergeCell ref="C179:C181"/>
    <mergeCell ref="D182:D183"/>
    <mergeCell ref="D184:D185"/>
    <mergeCell ref="D175:D176"/>
    <mergeCell ref="E175:E176"/>
    <mergeCell ref="D177:D178"/>
    <mergeCell ref="E177:E178"/>
    <mergeCell ref="D179:D181"/>
    <mergeCell ref="E179:E181"/>
    <mergeCell ref="E182:E183"/>
    <mergeCell ref="E184:E185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A177:A178"/>
    <mergeCell ref="B177:B178"/>
    <mergeCell ref="C177:C178"/>
    <mergeCell ref="C171:C172"/>
    <mergeCell ref="D171:D172"/>
    <mergeCell ref="A169:A170"/>
    <mergeCell ref="B169:B170"/>
    <mergeCell ref="C169:C170"/>
    <mergeCell ref="D169:D170"/>
    <mergeCell ref="E169:E170"/>
    <mergeCell ref="B171:B172"/>
    <mergeCell ref="E171:E172"/>
    <mergeCell ref="A171:A172"/>
    <mergeCell ref="A155:A156"/>
    <mergeCell ref="B155:B156"/>
    <mergeCell ref="C155:C156"/>
    <mergeCell ref="D155:D156"/>
    <mergeCell ref="E155:E156"/>
    <mergeCell ref="A157:A158"/>
    <mergeCell ref="B165:B166"/>
    <mergeCell ref="C165:C166"/>
    <mergeCell ref="A167:A168"/>
    <mergeCell ref="B167:B168"/>
    <mergeCell ref="C167:C168"/>
    <mergeCell ref="D167:D168"/>
    <mergeCell ref="E167:E168"/>
    <mergeCell ref="D149:D150"/>
    <mergeCell ref="E149:E150"/>
    <mergeCell ref="D151:D152"/>
    <mergeCell ref="E151:E152"/>
    <mergeCell ref="D153:D154"/>
    <mergeCell ref="E153:E154"/>
    <mergeCell ref="A145:A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A151:A152"/>
    <mergeCell ref="B151:B152"/>
    <mergeCell ref="C151:C152"/>
    <mergeCell ref="B153:B154"/>
    <mergeCell ref="C153:C154"/>
    <mergeCell ref="A153:A154"/>
    <mergeCell ref="C145:C146"/>
    <mergeCell ref="D145:D146"/>
    <mergeCell ref="A142:A144"/>
    <mergeCell ref="B142:B144"/>
    <mergeCell ref="C142:C144"/>
    <mergeCell ref="D142:D144"/>
    <mergeCell ref="E142:E144"/>
    <mergeCell ref="B145:B146"/>
    <mergeCell ref="E145:E146"/>
    <mergeCell ref="D165:D166"/>
    <mergeCell ref="E165:E166"/>
    <mergeCell ref="A161:A162"/>
    <mergeCell ref="A163:A164"/>
    <mergeCell ref="B163:B164"/>
    <mergeCell ref="C163:C164"/>
    <mergeCell ref="D163:D164"/>
    <mergeCell ref="E163:E164"/>
    <mergeCell ref="A165:A166"/>
    <mergeCell ref="A220:A221"/>
    <mergeCell ref="B220:B221"/>
    <mergeCell ref="C220:C221"/>
    <mergeCell ref="D220:D221"/>
    <mergeCell ref="E220:E221"/>
    <mergeCell ref="A222:A223"/>
    <mergeCell ref="B230:B231"/>
    <mergeCell ref="C230:C231"/>
    <mergeCell ref="A232:A233"/>
    <mergeCell ref="B232:B233"/>
    <mergeCell ref="C232:C233"/>
    <mergeCell ref="D232:D233"/>
    <mergeCell ref="E232:E233"/>
    <mergeCell ref="D224:D225"/>
    <mergeCell ref="E224:E225"/>
    <mergeCell ref="D226:D227"/>
    <mergeCell ref="E226:E227"/>
    <mergeCell ref="A224:A225"/>
    <mergeCell ref="B224:B225"/>
    <mergeCell ref="C224:C225"/>
    <mergeCell ref="B226:B227"/>
    <mergeCell ref="C226:C227"/>
    <mergeCell ref="D214:D215"/>
    <mergeCell ref="E214:E215"/>
    <mergeCell ref="D216:D217"/>
    <mergeCell ref="E216:E217"/>
    <mergeCell ref="D218:D219"/>
    <mergeCell ref="E218:E219"/>
    <mergeCell ref="A210:A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A216:A217"/>
    <mergeCell ref="B216:B217"/>
    <mergeCell ref="C216:C217"/>
    <mergeCell ref="B218:B219"/>
    <mergeCell ref="C218:C219"/>
    <mergeCell ref="A218:A219"/>
    <mergeCell ref="C210:C211"/>
    <mergeCell ref="D210:D211"/>
    <mergeCell ref="A208:A209"/>
    <mergeCell ref="B208:B209"/>
    <mergeCell ref="C208:C209"/>
    <mergeCell ref="D208:D209"/>
    <mergeCell ref="E208:E209"/>
    <mergeCell ref="B210:B211"/>
    <mergeCell ref="E210:E211"/>
    <mergeCell ref="D230:D231"/>
    <mergeCell ref="E230:E231"/>
    <mergeCell ref="G256:N256"/>
    <mergeCell ref="O256:T256"/>
    <mergeCell ref="U256:U257"/>
    <mergeCell ref="V256:V257"/>
    <mergeCell ref="A226:A227"/>
    <mergeCell ref="A228:A229"/>
    <mergeCell ref="B228:B229"/>
    <mergeCell ref="C228:C229"/>
    <mergeCell ref="D228:D229"/>
    <mergeCell ref="E228:E229"/>
    <mergeCell ref="A230:A231"/>
    <mergeCell ref="C236:C237"/>
    <mergeCell ref="D236:D237"/>
    <mergeCell ref="A234:A235"/>
    <mergeCell ref="B234:B235"/>
    <mergeCell ref="C234:C235"/>
    <mergeCell ref="D234:D235"/>
    <mergeCell ref="E234:E235"/>
    <mergeCell ref="B236:B237"/>
    <mergeCell ref="E236:E237"/>
    <mergeCell ref="D240:D241"/>
    <mergeCell ref="E240:E241"/>
    <mergeCell ref="D157:D158"/>
    <mergeCell ref="E157:E158"/>
    <mergeCell ref="D159:D160"/>
    <mergeCell ref="E159:E160"/>
    <mergeCell ref="D161:D162"/>
    <mergeCell ref="E161:E162"/>
    <mergeCell ref="B157:B158"/>
    <mergeCell ref="C157:C158"/>
    <mergeCell ref="A159:A160"/>
    <mergeCell ref="B159:B160"/>
    <mergeCell ref="C159:C160"/>
    <mergeCell ref="B161:B162"/>
    <mergeCell ref="C161:C162"/>
    <mergeCell ref="A126:A128"/>
    <mergeCell ref="B126:B128"/>
    <mergeCell ref="C126:C128"/>
    <mergeCell ref="D126:D128"/>
    <mergeCell ref="E126:E128"/>
    <mergeCell ref="A129:A130"/>
    <mergeCell ref="B137:B139"/>
    <mergeCell ref="C137:C139"/>
    <mergeCell ref="A140:A141"/>
    <mergeCell ref="B140:B141"/>
    <mergeCell ref="C140:C141"/>
    <mergeCell ref="D140:D141"/>
    <mergeCell ref="E140:E141"/>
    <mergeCell ref="D120:D121"/>
    <mergeCell ref="E120:E121"/>
    <mergeCell ref="D122:D123"/>
    <mergeCell ref="E122:E123"/>
    <mergeCell ref="D124:D125"/>
    <mergeCell ref="E124:E125"/>
    <mergeCell ref="A116:A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A122:A123"/>
    <mergeCell ref="B122:B123"/>
    <mergeCell ref="C122:C123"/>
    <mergeCell ref="B124:B125"/>
    <mergeCell ref="C124:C125"/>
    <mergeCell ref="A124:A125"/>
    <mergeCell ref="C116:C117"/>
    <mergeCell ref="D116:D117"/>
    <mergeCell ref="A114:A115"/>
    <mergeCell ref="B114:B115"/>
    <mergeCell ref="C114:C115"/>
    <mergeCell ref="D114:D115"/>
    <mergeCell ref="E114:E115"/>
    <mergeCell ref="B116:B117"/>
    <mergeCell ref="E116:E117"/>
    <mergeCell ref="D137:D139"/>
    <mergeCell ref="E137:E139"/>
    <mergeCell ref="A133:A134"/>
    <mergeCell ref="A135:A136"/>
    <mergeCell ref="B135:B136"/>
    <mergeCell ref="C135:C136"/>
    <mergeCell ref="D135:D136"/>
    <mergeCell ref="E135:E136"/>
    <mergeCell ref="A137:A139"/>
    <mergeCell ref="D129:D130"/>
    <mergeCell ref="E129:E130"/>
    <mergeCell ref="D131:D132"/>
    <mergeCell ref="E131:E132"/>
    <mergeCell ref="D133:D134"/>
    <mergeCell ref="E133:E134"/>
    <mergeCell ref="B129:B130"/>
    <mergeCell ref="C129:C130"/>
    <mergeCell ref="A131:A132"/>
    <mergeCell ref="B131:B132"/>
    <mergeCell ref="C131:C132"/>
    <mergeCell ref="B133:B134"/>
    <mergeCell ref="C133:C134"/>
    <mergeCell ref="A99:A100"/>
    <mergeCell ref="B99:B100"/>
    <mergeCell ref="C99:C100"/>
    <mergeCell ref="D99:D100"/>
    <mergeCell ref="E99:E100"/>
    <mergeCell ref="A101:A102"/>
    <mergeCell ref="B110:B111"/>
    <mergeCell ref="C110:C111"/>
    <mergeCell ref="A112:A113"/>
    <mergeCell ref="B112:B113"/>
    <mergeCell ref="C112:C113"/>
    <mergeCell ref="D112:D113"/>
    <mergeCell ref="E112:E113"/>
    <mergeCell ref="D93:D94"/>
    <mergeCell ref="E93:E94"/>
    <mergeCell ref="D95:D96"/>
    <mergeCell ref="E95:E96"/>
    <mergeCell ref="D97:D98"/>
    <mergeCell ref="E97:E98"/>
    <mergeCell ref="A89:A90"/>
    <mergeCell ref="A91:A92"/>
    <mergeCell ref="B91:B92"/>
    <mergeCell ref="C91:C92"/>
    <mergeCell ref="D91:D92"/>
    <mergeCell ref="E91:E92"/>
    <mergeCell ref="A93:A94"/>
    <mergeCell ref="B93:B94"/>
    <mergeCell ref="C93:C94"/>
    <mergeCell ref="A95:A96"/>
    <mergeCell ref="B95:B96"/>
    <mergeCell ref="C95:C96"/>
    <mergeCell ref="B97:B98"/>
    <mergeCell ref="C97:C98"/>
    <mergeCell ref="A97:A98"/>
    <mergeCell ref="C89:C90"/>
    <mergeCell ref="D89:D90"/>
    <mergeCell ref="A87:A88"/>
    <mergeCell ref="B87:B88"/>
    <mergeCell ref="C87:C88"/>
    <mergeCell ref="D87:D88"/>
    <mergeCell ref="E87:E88"/>
    <mergeCell ref="B89:B90"/>
    <mergeCell ref="E89:E90"/>
    <mergeCell ref="D110:D111"/>
    <mergeCell ref="E110:E111"/>
    <mergeCell ref="A105:A107"/>
    <mergeCell ref="A108:A109"/>
    <mergeCell ref="B108:B109"/>
    <mergeCell ref="C108:C109"/>
    <mergeCell ref="D108:D109"/>
    <mergeCell ref="E108:E109"/>
    <mergeCell ref="A110:A111"/>
    <mergeCell ref="D101:D102"/>
    <mergeCell ref="E101:E102"/>
    <mergeCell ref="D103:D104"/>
    <mergeCell ref="E103:E104"/>
    <mergeCell ref="D105:D107"/>
    <mergeCell ref="E105:E107"/>
    <mergeCell ref="B101:B102"/>
    <mergeCell ref="C101:C102"/>
    <mergeCell ref="A103:A104"/>
    <mergeCell ref="B103:B104"/>
    <mergeCell ref="C103:C104"/>
    <mergeCell ref="B105:B107"/>
    <mergeCell ref="C105:C107"/>
    <mergeCell ref="D73:D74"/>
    <mergeCell ref="E73:E74"/>
    <mergeCell ref="A75:A76"/>
    <mergeCell ref="B83:B84"/>
    <mergeCell ref="C83:C84"/>
    <mergeCell ref="A85:A86"/>
    <mergeCell ref="B85:B86"/>
    <mergeCell ref="C85:C86"/>
    <mergeCell ref="D85:D86"/>
    <mergeCell ref="E85:E86"/>
    <mergeCell ref="A69:A70"/>
    <mergeCell ref="B69:B70"/>
    <mergeCell ref="C69:C70"/>
    <mergeCell ref="B71:B72"/>
    <mergeCell ref="C71:C72"/>
    <mergeCell ref="A71:A72"/>
    <mergeCell ref="A73:A74"/>
    <mergeCell ref="B73:B74"/>
    <mergeCell ref="C73:C74"/>
    <mergeCell ref="A63:A64"/>
    <mergeCell ref="A65:A66"/>
    <mergeCell ref="B65:B66"/>
    <mergeCell ref="C65:C66"/>
    <mergeCell ref="D65:D66"/>
    <mergeCell ref="E65:E66"/>
    <mergeCell ref="A67:A68"/>
    <mergeCell ref="B67:B68"/>
    <mergeCell ref="C67:C68"/>
    <mergeCell ref="D83:D84"/>
    <mergeCell ref="E83:E84"/>
    <mergeCell ref="A79:A80"/>
    <mergeCell ref="A81:A82"/>
    <mergeCell ref="B81:B82"/>
    <mergeCell ref="C81:C82"/>
    <mergeCell ref="D81:D82"/>
    <mergeCell ref="E81:E82"/>
    <mergeCell ref="A83:A84"/>
    <mergeCell ref="D79:D80"/>
    <mergeCell ref="E79:E80"/>
    <mergeCell ref="B75:B76"/>
    <mergeCell ref="C75:C76"/>
    <mergeCell ref="A77:A78"/>
    <mergeCell ref="B77:B78"/>
    <mergeCell ref="C77:C78"/>
    <mergeCell ref="B79:B80"/>
    <mergeCell ref="C79:C80"/>
    <mergeCell ref="A59:A60"/>
    <mergeCell ref="B59:B60"/>
    <mergeCell ref="C59:C60"/>
    <mergeCell ref="D59:D60"/>
    <mergeCell ref="E59:E60"/>
    <mergeCell ref="D75:D76"/>
    <mergeCell ref="E75:E76"/>
    <mergeCell ref="D77:D78"/>
    <mergeCell ref="E77:E78"/>
    <mergeCell ref="C63:C64"/>
    <mergeCell ref="D63:D64"/>
    <mergeCell ref="A61:A62"/>
    <mergeCell ref="B61:B62"/>
    <mergeCell ref="C61:C62"/>
    <mergeCell ref="D61:D62"/>
    <mergeCell ref="E61:E62"/>
    <mergeCell ref="B63:B64"/>
    <mergeCell ref="E63:E64"/>
    <mergeCell ref="D67:D68"/>
    <mergeCell ref="E67:E68"/>
    <mergeCell ref="D69:D70"/>
    <mergeCell ref="E69:E70"/>
    <mergeCell ref="D71:D72"/>
    <mergeCell ref="E71:E72"/>
    <mergeCell ref="D49:D50"/>
    <mergeCell ref="E49:E50"/>
    <mergeCell ref="D51:D52"/>
    <mergeCell ref="E51:E52"/>
    <mergeCell ref="D53:D54"/>
    <mergeCell ref="E53:E54"/>
    <mergeCell ref="A45:A46"/>
    <mergeCell ref="A47:A48"/>
    <mergeCell ref="B47:B48"/>
    <mergeCell ref="C47:C48"/>
    <mergeCell ref="D47:D48"/>
    <mergeCell ref="E47:E48"/>
    <mergeCell ref="A49:A50"/>
    <mergeCell ref="B49:B50"/>
    <mergeCell ref="C49:C50"/>
    <mergeCell ref="A51:A52"/>
    <mergeCell ref="B51:B52"/>
    <mergeCell ref="C51:C52"/>
    <mergeCell ref="B53:B54"/>
    <mergeCell ref="C53:C54"/>
    <mergeCell ref="D41:D42"/>
    <mergeCell ref="E41:E42"/>
    <mergeCell ref="D43:D44"/>
    <mergeCell ref="E43:E44"/>
    <mergeCell ref="D45:D46"/>
    <mergeCell ref="E45:E46"/>
    <mergeCell ref="A37:A38"/>
    <mergeCell ref="A39:A40"/>
    <mergeCell ref="B39:B40"/>
    <mergeCell ref="C39:C40"/>
    <mergeCell ref="D39:D40"/>
    <mergeCell ref="E39:E40"/>
    <mergeCell ref="A41:A42"/>
    <mergeCell ref="B41:B42"/>
    <mergeCell ref="C41:C42"/>
    <mergeCell ref="A43:A44"/>
    <mergeCell ref="B43:B44"/>
    <mergeCell ref="C43:C44"/>
    <mergeCell ref="B45:B46"/>
    <mergeCell ref="C45:C46"/>
    <mergeCell ref="D57:D58"/>
    <mergeCell ref="E57:E58"/>
    <mergeCell ref="A53:A54"/>
    <mergeCell ref="A55:A56"/>
    <mergeCell ref="B55:B56"/>
    <mergeCell ref="C55:C56"/>
    <mergeCell ref="D55:D56"/>
    <mergeCell ref="E55:E56"/>
    <mergeCell ref="A57:A58"/>
    <mergeCell ref="B57:B58"/>
    <mergeCell ref="C57:C58"/>
    <mergeCell ref="D33:D34"/>
    <mergeCell ref="E33:E34"/>
    <mergeCell ref="D35:D36"/>
    <mergeCell ref="E35:E36"/>
    <mergeCell ref="D37:D38"/>
    <mergeCell ref="E37:E38"/>
    <mergeCell ref="A29:A30"/>
    <mergeCell ref="A31:A32"/>
    <mergeCell ref="B31:B32"/>
    <mergeCell ref="C31:C32"/>
    <mergeCell ref="D31:D32"/>
    <mergeCell ref="E31:E32"/>
    <mergeCell ref="A33:A34"/>
    <mergeCell ref="B33:B34"/>
    <mergeCell ref="C33:C34"/>
    <mergeCell ref="A35:A36"/>
    <mergeCell ref="B35:B36"/>
    <mergeCell ref="C35:C36"/>
    <mergeCell ref="B37:B38"/>
    <mergeCell ref="C37:C38"/>
    <mergeCell ref="C29:C30"/>
    <mergeCell ref="D29:D30"/>
    <mergeCell ref="A27:A28"/>
    <mergeCell ref="B27:B28"/>
    <mergeCell ref="C27:C28"/>
    <mergeCell ref="D27:D28"/>
    <mergeCell ref="E27:E28"/>
    <mergeCell ref="B29:B30"/>
    <mergeCell ref="E29:E30"/>
    <mergeCell ref="B25:B26"/>
    <mergeCell ref="C25:C26"/>
    <mergeCell ref="D25:D26"/>
    <mergeCell ref="E25:E26"/>
    <mergeCell ref="A21:A22"/>
    <mergeCell ref="A23:A24"/>
    <mergeCell ref="B23:B24"/>
    <mergeCell ref="C23:C24"/>
    <mergeCell ref="D23:D24"/>
    <mergeCell ref="E23:E24"/>
    <mergeCell ref="A25:A26"/>
    <mergeCell ref="D17:D18"/>
    <mergeCell ref="E17:E18"/>
    <mergeCell ref="D19:D20"/>
    <mergeCell ref="E19:E20"/>
    <mergeCell ref="D21:D22"/>
    <mergeCell ref="E21:E22"/>
    <mergeCell ref="A13:A14"/>
    <mergeCell ref="A15:A16"/>
    <mergeCell ref="B15:B16"/>
    <mergeCell ref="C15:C16"/>
    <mergeCell ref="D15:D16"/>
    <mergeCell ref="E15:E16"/>
    <mergeCell ref="A17:A18"/>
    <mergeCell ref="B17:B18"/>
    <mergeCell ref="C17:C18"/>
    <mergeCell ref="A19:A20"/>
    <mergeCell ref="B19:B20"/>
    <mergeCell ref="C19:C20"/>
    <mergeCell ref="B21:B22"/>
    <mergeCell ref="C21:C22"/>
    <mergeCell ref="D9:D10"/>
    <mergeCell ref="E9:E10"/>
    <mergeCell ref="D11:D12"/>
    <mergeCell ref="E11:E12"/>
    <mergeCell ref="D13:D14"/>
    <mergeCell ref="E13:E14"/>
    <mergeCell ref="A2:U2"/>
    <mergeCell ref="A3:U3"/>
    <mergeCell ref="A4:U4"/>
    <mergeCell ref="B6:G6"/>
    <mergeCell ref="H6:O6"/>
    <mergeCell ref="P6:U6"/>
    <mergeCell ref="A9:A10"/>
    <mergeCell ref="B9:B10"/>
    <mergeCell ref="C9:C10"/>
    <mergeCell ref="A11:A12"/>
    <mergeCell ref="B11:B12"/>
    <mergeCell ref="C11:C12"/>
    <mergeCell ref="B13:B14"/>
    <mergeCell ref="C13:C14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52</vt:i4>
      </vt:variant>
    </vt:vector>
  </HeadingPairs>
  <TitlesOfParts>
    <vt:vector size="52" baseType="lpstr">
      <vt:lpstr>08.01.19</vt:lpstr>
      <vt:lpstr>14.01.19</vt:lpstr>
      <vt:lpstr>21.01.19</vt:lpstr>
      <vt:lpstr>28.01.19</vt:lpstr>
      <vt:lpstr>04.02.19</vt:lpstr>
      <vt:lpstr>11.02.19</vt:lpstr>
      <vt:lpstr>18.02.2019</vt:lpstr>
      <vt:lpstr>25.02.2019</vt:lpstr>
      <vt:lpstr>04.03.2019</vt:lpstr>
      <vt:lpstr>11.03.2019</vt:lpstr>
      <vt:lpstr>01.04.2019</vt:lpstr>
      <vt:lpstr>18.03.2019</vt:lpstr>
      <vt:lpstr>25.03.2019</vt:lpstr>
      <vt:lpstr>08.04.2019</vt:lpstr>
      <vt:lpstr>22.04.2019</vt:lpstr>
      <vt:lpstr>15.04.2019</vt:lpstr>
      <vt:lpstr>02.05.2019</vt:lpstr>
      <vt:lpstr>06.05.2019</vt:lpstr>
      <vt:lpstr>13.05.2019</vt:lpstr>
      <vt:lpstr>27.05.19</vt:lpstr>
      <vt:lpstr>20.05.2019</vt:lpstr>
      <vt:lpstr>03.06.19</vt:lpstr>
      <vt:lpstr>10.06.19</vt:lpstr>
      <vt:lpstr>17.06.19</vt:lpstr>
      <vt:lpstr>01.07.19</vt:lpstr>
      <vt:lpstr>08.07.19</vt:lpstr>
      <vt:lpstr>15.07.19</vt:lpstr>
      <vt:lpstr>29.07.19</vt:lpstr>
      <vt:lpstr> 22.07.19</vt:lpstr>
      <vt:lpstr>05.08.19</vt:lpstr>
      <vt:lpstr>12.08.19</vt:lpstr>
      <vt:lpstr>19.08.19</vt:lpstr>
      <vt:lpstr>26.08.19</vt:lpstr>
      <vt:lpstr>02.09.19</vt:lpstr>
      <vt:lpstr>16.09.19</vt:lpstr>
      <vt:lpstr>23.09.19</vt:lpstr>
      <vt:lpstr> 09.09.19</vt:lpstr>
      <vt:lpstr>30.09.19</vt:lpstr>
      <vt:lpstr>07.10.19</vt:lpstr>
      <vt:lpstr>15.10.19</vt:lpstr>
      <vt:lpstr>21.10.19</vt:lpstr>
      <vt:lpstr> 28.10.19</vt:lpstr>
      <vt:lpstr>04.11.19</vt:lpstr>
      <vt:lpstr>11.11.19</vt:lpstr>
      <vt:lpstr> 18.11.19</vt:lpstr>
      <vt:lpstr>25.11.19</vt:lpstr>
      <vt:lpstr> 02.12.19</vt:lpstr>
      <vt:lpstr>09.12.19</vt:lpstr>
      <vt:lpstr>16.12.19</vt:lpstr>
      <vt:lpstr>23.12.19</vt:lpstr>
      <vt:lpstr>31.12.19</vt:lpstr>
      <vt:lpstr>Аркуш3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modified xsi:type="dcterms:W3CDTF">2020-01-22T10:38:16Z</dcterms:modified>
</cp:coreProperties>
</file>